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.xml" ContentType="application/vnd.openxmlformats-officedocument.spreadsheetml.workshee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27.xml" ContentType="application/vnd.openxmlformats-officedocument.spreadsheetml.worksheet+xml"/>
  <Override PartName="/xl/worksheets/sheet40.xml" ContentType="application/vnd.openxmlformats-officedocument.spreadsheetml.worksheet+xml"/>
  <Override PartName="/xl/worksheets/sheet3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9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91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11_955C00407E627105E435600C52607A00671D476C" xr6:coauthVersionLast="37" xr6:coauthVersionMax="37" xr10:uidLastSave="{00000000-0000-0000-0000-000000000000}"/>
  <bookViews>
    <workbookView xWindow="0" yWindow="0" windowWidth="23040" windowHeight="9390" tabRatio="870" xr2:uid="{00000000-000D-0000-FFFF-FFFF00000000}"/>
  </bookViews>
  <sheets>
    <sheet name="Instructions" sheetId="117" r:id="rId1"/>
    <sheet name="Commission Rates" sheetId="47" r:id="rId2"/>
    <sheet name="Exclusivity" sheetId="201" r:id="rId3"/>
    <sheet name="Rev. Assump. &amp; Add'l. Info." sheetId="80" r:id="rId4"/>
    <sheet name="Start Up Costs" sheetId="49" r:id="rId5"/>
    <sheet name="Invest. &amp; Support" sheetId="89" r:id="rId6"/>
    <sheet name="Yr 1-10 REVISED - FTIC" sheetId="202" state="hidden" r:id="rId7"/>
    <sheet name="Addl MP Voluntary" sheetId="199" r:id="rId8"/>
    <sheet name="Addl MP FTIC (DB)" sheetId="200" state="hidden" r:id="rId9"/>
    <sheet name="Fresh Food Co." sheetId="118" r:id="rId10"/>
    <sheet name="POD Breezeway" sheetId="15" r:id="rId11"/>
    <sheet name="Express GL" sheetId="158" r:id="rId12"/>
    <sheet name="Starbucks GL-SBX Truck" sheetId="159" r:id="rId13"/>
    <sheet name="Miro's" sheetId="160" r:id="rId14"/>
    <sheet name="Faculty Club" sheetId="161" r:id="rId15"/>
    <sheet name="Almazar  &amp; Brand X" sheetId="162" r:id="rId16"/>
    <sheet name="Burger King" sheetId="163" r:id="rId17"/>
    <sheet name="Bustelo" sheetId="164" r:id="rId18"/>
    <sheet name="Chilis" sheetId="165" r:id="rId19"/>
    <sheet name="Einstein" sheetId="167" r:id="rId20"/>
    <sheet name="Jamba" sheetId="168" r:id="rId21"/>
    <sheet name="Pollo Tropical" sheetId="169" r:id="rId22"/>
    <sheet name="Subway GC" sheetId="170" r:id="rId23"/>
    <sheet name="Sushi Maki" sheetId="171" r:id="rId24"/>
    <sheet name="Panda" sheetId="172" r:id="rId25"/>
    <sheet name="Starbucks Mango" sheetId="173" r:id="rId26"/>
    <sheet name="Taco Bell" sheetId="174" r:id="rId27"/>
    <sheet name="Chick-fil-A" sheetId="175" r:id="rId28"/>
    <sheet name="Dunkin" sheetId="176" r:id="rId29"/>
    <sheet name="Chipotle" sheetId="177" r:id="rId30"/>
    <sheet name="Sergios" sheetId="178" r:id="rId31"/>
    <sheet name="Moes PG5" sheetId="179" r:id="rId32"/>
    <sheet name="Papa Johns" sheetId="180" r:id="rId33"/>
    <sheet name="Salad" sheetId="181" r:id="rId34"/>
    <sheet name="Half Moon &amp; Tropical Smoothie" sheetId="182" r:id="rId35"/>
    <sheet name="Athletic Concessions - Kitchen" sheetId="183" r:id="rId36"/>
    <sheet name="Starbucks BBC" sheetId="184" r:id="rId37"/>
    <sheet name="Moes BBC" sheetId="185" r:id="rId38"/>
    <sheet name="Grille Works BBC" sheetId="186" r:id="rId39"/>
    <sheet name="Subway BBC" sheetId="187" r:id="rId40"/>
    <sheet name="Chic Fil A BBC" sheetId="189" r:id="rId41"/>
    <sheet name="Market Pavillion" sheetId="188" r:id="rId42"/>
    <sheet name="Panera" sheetId="190" r:id="rId43"/>
    <sheet name="Heritage Market" sheetId="191" r:id="rId44"/>
    <sheet name="Retail Roll Up" sheetId="192" r:id="rId45"/>
    <sheet name="Catering MMC" sheetId="193" r:id="rId46"/>
    <sheet name="Catering BBC" sheetId="194" r:id="rId47"/>
    <sheet name="Catering Roll Up" sheetId="195" r:id="rId48"/>
    <sheet name="G&amp;A" sheetId="197" r:id="rId49"/>
    <sheet name="Total Roll Up" sheetId="198" r:id="rId50"/>
  </sheets>
  <definedNames>
    <definedName name="_xlnm.Print_Area" localSheetId="15">'Almazar  &amp; Brand X'!$A$1:$V$125</definedName>
    <definedName name="_xlnm.Print_Area" localSheetId="35">'Athletic Concessions - Kitchen'!$A$1:$V$125</definedName>
    <definedName name="_xlnm.Print_Area" localSheetId="16">'Burger King'!$A$1:$V$125</definedName>
    <definedName name="_xlnm.Print_Area" localSheetId="17">Bustelo!$A$1:$V$125</definedName>
    <definedName name="_xlnm.Print_Area" localSheetId="46">'Catering BBC'!$A$1:$V$125</definedName>
    <definedName name="_xlnm.Print_Area" localSheetId="45">'Catering MMC'!$A$1:$V$125</definedName>
    <definedName name="_xlnm.Print_Area" localSheetId="47">'Catering Roll Up'!$A$1:$V$125</definedName>
    <definedName name="_xlnm.Print_Area" localSheetId="40">'Chic Fil A BBC'!$A$1:$V$125</definedName>
    <definedName name="_xlnm.Print_Area" localSheetId="27">'Chick-fil-A'!$A$1:$V$125</definedName>
    <definedName name="_xlnm.Print_Area" localSheetId="18">Chilis!$A$1:$V$125</definedName>
    <definedName name="_xlnm.Print_Area" localSheetId="29">Chipotle!$A$1:$V$125</definedName>
    <definedName name="_xlnm.Print_Area" localSheetId="28">Dunkin!$A$1:$V$125</definedName>
    <definedName name="_xlnm.Print_Area" localSheetId="19">Einstein!$A$1:$V$125</definedName>
    <definedName name="_xlnm.Print_Area" localSheetId="11">'Express GL'!$A$1:$V$125</definedName>
    <definedName name="_xlnm.Print_Area" localSheetId="14">'Faculty Club'!$A$1:$V$125</definedName>
    <definedName name="_xlnm.Print_Area" localSheetId="9">'Fresh Food Co.'!$A$1:$V$125</definedName>
    <definedName name="_xlnm.Print_Area" localSheetId="48">'G&amp;A'!$A$1:$V$125</definedName>
    <definedName name="_xlnm.Print_Area" localSheetId="38">'Grille Works BBC'!$A$1:$V$125</definedName>
    <definedName name="_xlnm.Print_Area" localSheetId="34">'Half Moon &amp; Tropical Smoothie'!$A$1:$V$125</definedName>
    <definedName name="_xlnm.Print_Area" localSheetId="43">'Heritage Market'!$A$1:$V$125</definedName>
    <definedName name="_xlnm.Print_Area" localSheetId="20">Jamba!$A$1:$V$125</definedName>
    <definedName name="_xlnm.Print_Area" localSheetId="41">'Market Pavillion'!$A$1:$V$125</definedName>
    <definedName name="_xlnm.Print_Area" localSheetId="13">'Miro''s'!$A$1:$V$125</definedName>
    <definedName name="_xlnm.Print_Area" localSheetId="37">'Moes BBC'!$A$1:$V$125</definedName>
    <definedName name="_xlnm.Print_Area" localSheetId="31">'Moes PG5'!$A$1:$V$125</definedName>
    <definedName name="_xlnm.Print_Area" localSheetId="24">Panda!$A$1:$V$125</definedName>
    <definedName name="_xlnm.Print_Area" localSheetId="42">Panera!$A$1:$V$125</definedName>
    <definedName name="_xlnm.Print_Area" localSheetId="32">'Papa Johns'!$A$1:$V$125</definedName>
    <definedName name="_xlnm.Print_Area" localSheetId="10">'POD Breezeway'!$A$1:$V$125</definedName>
    <definedName name="_xlnm.Print_Area" localSheetId="21">'Pollo Tropical'!$A$1:$V$125</definedName>
    <definedName name="_xlnm.Print_Area" localSheetId="44">'Retail Roll Up'!$A$1:$V$125</definedName>
    <definedName name="_xlnm.Print_Area" localSheetId="33">Salad!$A$1:$V$125</definedName>
    <definedName name="_xlnm.Print_Area" localSheetId="30">Sergios!$A$1:$V$125</definedName>
    <definedName name="_xlnm.Print_Area" localSheetId="36">'Starbucks BBC'!$A$1:$V$125</definedName>
    <definedName name="_xlnm.Print_Area" localSheetId="12">'Starbucks GL-SBX Truck'!$A$1:$V$125</definedName>
    <definedName name="_xlnm.Print_Area" localSheetId="25">'Starbucks Mango'!$A$1:$V$125</definedName>
    <definedName name="_xlnm.Print_Area" localSheetId="4">'Start Up Costs'!$A$1:$H$39</definedName>
    <definedName name="_xlnm.Print_Area" localSheetId="39">'Subway BBC'!$A$1:$V$125</definedName>
    <definedName name="_xlnm.Print_Area" localSheetId="22">'Subway GC'!$A$1:$V$125</definedName>
    <definedName name="_xlnm.Print_Area" localSheetId="23">'Sushi Maki'!$A$1:$V$125</definedName>
    <definedName name="_xlnm.Print_Area" localSheetId="26">'Taco Bell'!$A$1:$V$125</definedName>
    <definedName name="_xlnm.Print_Area" localSheetId="49">'Total Roll Up'!$A$1:$V$125</definedName>
  </definedNames>
  <calcPr calcId="179020" iterate="1"/>
</workbook>
</file>

<file path=xl/calcChain.xml><?xml version="1.0" encoding="utf-8"?>
<calcChain xmlns="http://schemas.openxmlformats.org/spreadsheetml/2006/main">
  <c r="N32" i="89" l="1"/>
  <c r="M30" i="89"/>
  <c r="L30" i="89"/>
  <c r="K30" i="89"/>
  <c r="J30" i="89"/>
  <c r="I30" i="89"/>
  <c r="H30" i="89"/>
  <c r="G30" i="89"/>
  <c r="F30" i="89"/>
  <c r="E30" i="89"/>
  <c r="D30" i="89"/>
  <c r="N29" i="89"/>
  <c r="N28" i="89"/>
  <c r="N27" i="89"/>
  <c r="N26" i="89"/>
  <c r="N25" i="89"/>
  <c r="N24" i="89"/>
  <c r="N23" i="89"/>
  <c r="N22" i="89"/>
  <c r="N21" i="89"/>
  <c r="N20" i="89"/>
  <c r="N19" i="89"/>
  <c r="N18" i="89"/>
  <c r="N17" i="89"/>
  <c r="N16" i="89"/>
  <c r="N15" i="89"/>
  <c r="N14" i="89"/>
  <c r="N13" i="89"/>
  <c r="N12" i="89"/>
  <c r="N11" i="89"/>
  <c r="N30" i="89"/>
  <c r="C115" i="198"/>
  <c r="C20" i="118"/>
  <c r="C19" i="118"/>
  <c r="C20" i="15"/>
  <c r="C19" i="15"/>
  <c r="C20" i="158"/>
  <c r="C19" i="158"/>
  <c r="C14" i="159"/>
  <c r="C20" i="159"/>
  <c r="C19" i="159"/>
  <c r="C14" i="160"/>
  <c r="C20" i="160"/>
  <c r="C19" i="160"/>
  <c r="C20" i="161"/>
  <c r="C19" i="161"/>
  <c r="C14" i="162"/>
  <c r="C20" i="162"/>
  <c r="C19" i="162"/>
  <c r="C14" i="163"/>
  <c r="C20" i="163"/>
  <c r="C21" i="163"/>
  <c r="C19" i="163"/>
  <c r="C20" i="164"/>
  <c r="C19" i="164"/>
  <c r="C20" i="165"/>
  <c r="C19" i="165"/>
  <c r="C14" i="167"/>
  <c r="C20" i="167"/>
  <c r="C21" i="167"/>
  <c r="C19" i="167"/>
  <c r="C20" i="168"/>
  <c r="C21" i="168"/>
  <c r="C19" i="168"/>
  <c r="C20" i="169"/>
  <c r="C21" i="169"/>
  <c r="C19" i="169"/>
  <c r="C14" i="170"/>
  <c r="C20" i="170"/>
  <c r="C21" i="170"/>
  <c r="C19" i="170"/>
  <c r="C14" i="171"/>
  <c r="C20" i="171"/>
  <c r="C19" i="171"/>
  <c r="C20" i="172"/>
  <c r="C21" i="172"/>
  <c r="C19" i="172"/>
  <c r="C20" i="173"/>
  <c r="C19" i="173"/>
  <c r="C20" i="174"/>
  <c r="C21" i="174"/>
  <c r="C19" i="174"/>
  <c r="C20" i="175"/>
  <c r="C21" i="175"/>
  <c r="C19" i="175"/>
  <c r="C20" i="176"/>
  <c r="C21" i="176"/>
  <c r="C19" i="176"/>
  <c r="C14" i="177"/>
  <c r="C20" i="177"/>
  <c r="C19" i="177"/>
  <c r="C20" i="178"/>
  <c r="C19" i="178"/>
  <c r="C20" i="179"/>
  <c r="C21" i="179"/>
  <c r="C19" i="179"/>
  <c r="C20" i="180"/>
  <c r="C21" i="180"/>
  <c r="C19" i="180"/>
  <c r="C20" i="181"/>
  <c r="C19" i="181"/>
  <c r="C14" i="182"/>
  <c r="C20" i="182"/>
  <c r="C19" i="182"/>
  <c r="C14" i="183"/>
  <c r="C20" i="183"/>
  <c r="C19" i="183"/>
  <c r="C20" i="184"/>
  <c r="C19" i="184"/>
  <c r="C20" i="185"/>
  <c r="C21" i="185"/>
  <c r="C19" i="185"/>
  <c r="C20" i="186"/>
  <c r="C19" i="186"/>
  <c r="C20" i="187"/>
  <c r="C21" i="187"/>
  <c r="C19" i="187"/>
  <c r="C20" i="188"/>
  <c r="C19" i="188"/>
  <c r="C14" i="189"/>
  <c r="C20" i="189"/>
  <c r="C19" i="189"/>
  <c r="C20" i="190"/>
  <c r="C19" i="190"/>
  <c r="C20" i="191"/>
  <c r="C19" i="191"/>
  <c r="C19" i="192"/>
  <c r="C19" i="195"/>
  <c r="C19" i="198"/>
  <c r="C20" i="192"/>
  <c r="C20" i="195"/>
  <c r="C20" i="198"/>
  <c r="C21" i="192"/>
  <c r="C21" i="195"/>
  <c r="C21" i="198"/>
  <c r="C23" i="192"/>
  <c r="C23" i="195"/>
  <c r="C23" i="198"/>
  <c r="C24" i="118"/>
  <c r="C24" i="192"/>
  <c r="C24" i="195"/>
  <c r="C24" i="198"/>
  <c r="C25" i="192"/>
  <c r="C25" i="193"/>
  <c r="C25" i="195"/>
  <c r="C25" i="198"/>
  <c r="C26" i="192"/>
  <c r="C26" i="195"/>
  <c r="C26" i="198"/>
  <c r="C27" i="160"/>
  <c r="C27" i="162"/>
  <c r="C27" i="171"/>
  <c r="C27" i="181"/>
  <c r="C27" i="182"/>
  <c r="C27" i="192"/>
  <c r="C27" i="195"/>
  <c r="C27" i="198"/>
  <c r="C28" i="198"/>
  <c r="D115" i="198"/>
  <c r="U114" i="198"/>
  <c r="E20" i="118"/>
  <c r="E19" i="118"/>
  <c r="G19" i="118"/>
  <c r="I19" i="118"/>
  <c r="K19" i="118"/>
  <c r="M19" i="118"/>
  <c r="O19" i="118"/>
  <c r="Q19" i="118"/>
  <c r="S19" i="118"/>
  <c r="U19" i="118"/>
  <c r="I19" i="15"/>
  <c r="K19" i="15"/>
  <c r="M19" i="15"/>
  <c r="O19" i="15"/>
  <c r="Q19" i="15"/>
  <c r="S19" i="15"/>
  <c r="U19" i="15"/>
  <c r="E20" i="158"/>
  <c r="E19" i="158"/>
  <c r="G19" i="158"/>
  <c r="I19" i="158"/>
  <c r="K19" i="158"/>
  <c r="M19" i="158"/>
  <c r="O19" i="158"/>
  <c r="Q19" i="158"/>
  <c r="S19" i="158"/>
  <c r="U19" i="158"/>
  <c r="E20" i="159"/>
  <c r="E19" i="159"/>
  <c r="G19" i="159"/>
  <c r="I19" i="159"/>
  <c r="K19" i="159"/>
  <c r="M19" i="159"/>
  <c r="O19" i="159"/>
  <c r="Q19" i="159"/>
  <c r="S19" i="159"/>
  <c r="U19" i="159"/>
  <c r="E8" i="160"/>
  <c r="E14" i="160"/>
  <c r="E20" i="160"/>
  <c r="E19" i="160"/>
  <c r="G19" i="160"/>
  <c r="I19" i="160"/>
  <c r="K19" i="160"/>
  <c r="M19" i="160"/>
  <c r="O19" i="160"/>
  <c r="Q19" i="160"/>
  <c r="S19" i="160"/>
  <c r="U19" i="160"/>
  <c r="E20" i="161"/>
  <c r="E19" i="161"/>
  <c r="G19" i="161"/>
  <c r="I19" i="161"/>
  <c r="K19" i="161"/>
  <c r="M19" i="161"/>
  <c r="O19" i="161"/>
  <c r="Q19" i="161"/>
  <c r="S19" i="161"/>
  <c r="U19" i="161"/>
  <c r="E8" i="162"/>
  <c r="E14" i="162"/>
  <c r="E20" i="162"/>
  <c r="E19" i="162"/>
  <c r="G19" i="162"/>
  <c r="I19" i="162"/>
  <c r="K19" i="162"/>
  <c r="M19" i="162"/>
  <c r="O19" i="162"/>
  <c r="Q19" i="162"/>
  <c r="S19" i="162"/>
  <c r="U19" i="162"/>
  <c r="E8" i="163"/>
  <c r="E14" i="163"/>
  <c r="E20" i="163"/>
  <c r="E19" i="163"/>
  <c r="G19" i="163"/>
  <c r="I19" i="163"/>
  <c r="K19" i="163"/>
  <c r="M19" i="163"/>
  <c r="O19" i="163"/>
  <c r="Q19" i="163"/>
  <c r="S19" i="163"/>
  <c r="U19" i="163"/>
  <c r="E20" i="164"/>
  <c r="E19" i="164"/>
  <c r="G19" i="164"/>
  <c r="I19" i="164"/>
  <c r="K19" i="164"/>
  <c r="M19" i="164"/>
  <c r="O19" i="164"/>
  <c r="Q19" i="164"/>
  <c r="S19" i="164"/>
  <c r="U19" i="164"/>
  <c r="E20" i="165"/>
  <c r="E19" i="165"/>
  <c r="G19" i="165"/>
  <c r="I19" i="165"/>
  <c r="K19" i="165"/>
  <c r="M19" i="165"/>
  <c r="O19" i="165"/>
  <c r="Q19" i="165"/>
  <c r="S19" i="165"/>
  <c r="U19" i="165"/>
  <c r="E8" i="167"/>
  <c r="E14" i="167"/>
  <c r="E20" i="167"/>
  <c r="E19" i="167"/>
  <c r="G19" i="167"/>
  <c r="I19" i="167"/>
  <c r="K19" i="167"/>
  <c r="M19" i="167"/>
  <c r="O19" i="167"/>
  <c r="Q19" i="167"/>
  <c r="S19" i="167"/>
  <c r="U19" i="167"/>
  <c r="G14" i="168"/>
  <c r="I14" i="168"/>
  <c r="K14" i="168"/>
  <c r="M14" i="168"/>
  <c r="O14" i="168"/>
  <c r="Q14" i="168"/>
  <c r="S14" i="168"/>
  <c r="U14" i="168"/>
  <c r="U20" i="168"/>
  <c r="U21" i="168"/>
  <c r="U19" i="168"/>
  <c r="G14" i="169"/>
  <c r="I14" i="169"/>
  <c r="K14" i="169"/>
  <c r="M14" i="169"/>
  <c r="O14" i="169"/>
  <c r="Q14" i="169"/>
  <c r="S14" i="169"/>
  <c r="U14" i="169"/>
  <c r="U20" i="169"/>
  <c r="U21" i="169"/>
  <c r="U19" i="169"/>
  <c r="E8" i="170"/>
  <c r="E14" i="170"/>
  <c r="E20" i="170"/>
  <c r="E19" i="170"/>
  <c r="G19" i="170"/>
  <c r="I19" i="170"/>
  <c r="K19" i="170"/>
  <c r="M19" i="170"/>
  <c r="O19" i="170"/>
  <c r="Q19" i="170"/>
  <c r="S19" i="170"/>
  <c r="U19" i="170"/>
  <c r="E8" i="171"/>
  <c r="E14" i="171"/>
  <c r="E20" i="171"/>
  <c r="E19" i="171"/>
  <c r="G19" i="171"/>
  <c r="I19" i="171"/>
  <c r="K19" i="171"/>
  <c r="M19" i="171"/>
  <c r="O19" i="171"/>
  <c r="Q19" i="171"/>
  <c r="S19" i="171"/>
  <c r="U19" i="171"/>
  <c r="G14" i="172"/>
  <c r="I14" i="172"/>
  <c r="K14" i="172"/>
  <c r="M14" i="172"/>
  <c r="O14" i="172"/>
  <c r="Q14" i="172"/>
  <c r="S14" i="172"/>
  <c r="U14" i="172"/>
  <c r="E20" i="172"/>
  <c r="G20" i="172"/>
  <c r="I20" i="172"/>
  <c r="K20" i="172"/>
  <c r="M20" i="172"/>
  <c r="O20" i="172"/>
  <c r="Q20" i="172"/>
  <c r="S20" i="172"/>
  <c r="U20" i="172"/>
  <c r="U21" i="172"/>
  <c r="U19" i="172"/>
  <c r="G14" i="173"/>
  <c r="I14" i="173"/>
  <c r="K14" i="173"/>
  <c r="M14" i="173"/>
  <c r="O14" i="173"/>
  <c r="Q14" i="173"/>
  <c r="S14" i="173"/>
  <c r="U14" i="173"/>
  <c r="E20" i="173"/>
  <c r="G20" i="173"/>
  <c r="I20" i="173"/>
  <c r="K20" i="173"/>
  <c r="M20" i="173"/>
  <c r="O20" i="173"/>
  <c r="Q20" i="173"/>
  <c r="S20" i="173"/>
  <c r="U20" i="173"/>
  <c r="U19" i="173"/>
  <c r="G14" i="174"/>
  <c r="I14" i="174"/>
  <c r="K14" i="174"/>
  <c r="M14" i="174"/>
  <c r="O14" i="174"/>
  <c r="Q14" i="174"/>
  <c r="S14" i="174"/>
  <c r="U14" i="174"/>
  <c r="E20" i="174"/>
  <c r="G20" i="174"/>
  <c r="I20" i="174"/>
  <c r="K20" i="174"/>
  <c r="M20" i="174"/>
  <c r="O20" i="174"/>
  <c r="Q20" i="174"/>
  <c r="S20" i="174"/>
  <c r="U20" i="174"/>
  <c r="U21" i="174"/>
  <c r="U19" i="174"/>
  <c r="I14" i="175"/>
  <c r="K14" i="175"/>
  <c r="M14" i="175"/>
  <c r="O14" i="175"/>
  <c r="Q14" i="175"/>
  <c r="S14" i="175"/>
  <c r="U14" i="175"/>
  <c r="E20" i="175"/>
  <c r="G20" i="175"/>
  <c r="I20" i="175"/>
  <c r="K20" i="175"/>
  <c r="M20" i="175"/>
  <c r="O20" i="175"/>
  <c r="Q20" i="175"/>
  <c r="S20" i="175"/>
  <c r="U20" i="175"/>
  <c r="U21" i="175"/>
  <c r="U19" i="175"/>
  <c r="E8" i="176"/>
  <c r="G8" i="176"/>
  <c r="I8" i="176"/>
  <c r="K8" i="176"/>
  <c r="M8" i="176"/>
  <c r="O8" i="176"/>
  <c r="Q8" i="176"/>
  <c r="S8" i="176"/>
  <c r="U8" i="176"/>
  <c r="U14" i="176"/>
  <c r="I20" i="176"/>
  <c r="K20" i="176"/>
  <c r="M20" i="176"/>
  <c r="O20" i="176"/>
  <c r="Q20" i="176"/>
  <c r="S20" i="176"/>
  <c r="U20" i="176"/>
  <c r="U19" i="176"/>
  <c r="I14" i="177"/>
  <c r="K14" i="177"/>
  <c r="M14" i="177"/>
  <c r="O14" i="177"/>
  <c r="Q14" i="177"/>
  <c r="S14" i="177"/>
  <c r="U14" i="177"/>
  <c r="E8" i="177"/>
  <c r="E14" i="177"/>
  <c r="E20" i="177"/>
  <c r="G20" i="177"/>
  <c r="I20" i="177"/>
  <c r="K20" i="177"/>
  <c r="M20" i="177"/>
  <c r="O20" i="177"/>
  <c r="Q20" i="177"/>
  <c r="S20" i="177"/>
  <c r="U20" i="177"/>
  <c r="U19" i="177"/>
  <c r="E20" i="178"/>
  <c r="G20" i="178"/>
  <c r="I20" i="178"/>
  <c r="K20" i="178"/>
  <c r="M20" i="178"/>
  <c r="O20" i="178"/>
  <c r="Q20" i="178"/>
  <c r="S20" i="178"/>
  <c r="U20" i="178"/>
  <c r="U19" i="178"/>
  <c r="I14" i="179"/>
  <c r="K14" i="179"/>
  <c r="M14" i="179"/>
  <c r="O14" i="179"/>
  <c r="Q14" i="179"/>
  <c r="S14" i="179"/>
  <c r="U14" i="179"/>
  <c r="E20" i="179"/>
  <c r="G20" i="179"/>
  <c r="I20" i="179"/>
  <c r="K20" i="179"/>
  <c r="M20" i="179"/>
  <c r="O20" i="179"/>
  <c r="Q20" i="179"/>
  <c r="S20" i="179"/>
  <c r="U20" i="179"/>
  <c r="U21" i="179"/>
  <c r="U19" i="179"/>
  <c r="E8" i="180"/>
  <c r="G8" i="180"/>
  <c r="I8" i="180"/>
  <c r="K8" i="180"/>
  <c r="M8" i="180"/>
  <c r="O8" i="180"/>
  <c r="Q8" i="180"/>
  <c r="S8" i="180"/>
  <c r="U8" i="180"/>
  <c r="U14" i="180"/>
  <c r="E20" i="180"/>
  <c r="G20" i="180"/>
  <c r="I20" i="180"/>
  <c r="K20" i="180"/>
  <c r="M20" i="180"/>
  <c r="O20" i="180"/>
  <c r="Q20" i="180"/>
  <c r="S20" i="180"/>
  <c r="U20" i="180"/>
  <c r="U19" i="180"/>
  <c r="I14" i="181"/>
  <c r="K14" i="181"/>
  <c r="M14" i="181"/>
  <c r="O14" i="181"/>
  <c r="Q14" i="181"/>
  <c r="S14" i="181"/>
  <c r="U14" i="181"/>
  <c r="G20" i="181"/>
  <c r="I20" i="181"/>
  <c r="K20" i="181"/>
  <c r="M20" i="181"/>
  <c r="O20" i="181"/>
  <c r="Q20" i="181"/>
  <c r="S20" i="181"/>
  <c r="U20" i="181"/>
  <c r="U19" i="181"/>
  <c r="E8" i="182"/>
  <c r="G8" i="182"/>
  <c r="I8" i="182"/>
  <c r="K8" i="182"/>
  <c r="M8" i="182"/>
  <c r="O8" i="182"/>
  <c r="Q8" i="182"/>
  <c r="S8" i="182"/>
  <c r="U8" i="182"/>
  <c r="U14" i="182"/>
  <c r="E14" i="182"/>
  <c r="E20" i="182"/>
  <c r="G20" i="182"/>
  <c r="I20" i="182"/>
  <c r="K20" i="182"/>
  <c r="M20" i="182"/>
  <c r="O20" i="182"/>
  <c r="Q20" i="182"/>
  <c r="S20" i="182"/>
  <c r="U20" i="182"/>
  <c r="U19" i="182"/>
  <c r="G14" i="183"/>
  <c r="I14" i="183"/>
  <c r="K14" i="183"/>
  <c r="M14" i="183"/>
  <c r="O14" i="183"/>
  <c r="Q14" i="183"/>
  <c r="S14" i="183"/>
  <c r="U14" i="183"/>
  <c r="G20" i="183"/>
  <c r="I20" i="183"/>
  <c r="K20" i="183"/>
  <c r="M20" i="183"/>
  <c r="O20" i="183"/>
  <c r="Q20" i="183"/>
  <c r="S20" i="183"/>
  <c r="U20" i="183"/>
  <c r="U19" i="183"/>
  <c r="G14" i="184"/>
  <c r="I14" i="184"/>
  <c r="K14" i="184"/>
  <c r="M14" i="184"/>
  <c r="O14" i="184"/>
  <c r="Q14" i="184"/>
  <c r="S14" i="184"/>
  <c r="U14" i="184"/>
  <c r="E20" i="184"/>
  <c r="G20" i="184"/>
  <c r="I20" i="184"/>
  <c r="K20" i="184"/>
  <c r="M20" i="184"/>
  <c r="O20" i="184"/>
  <c r="Q20" i="184"/>
  <c r="S20" i="184"/>
  <c r="U20" i="184"/>
  <c r="U19" i="184"/>
  <c r="E20" i="185"/>
  <c r="G20" i="185"/>
  <c r="I20" i="185"/>
  <c r="K20" i="185"/>
  <c r="M20" i="185"/>
  <c r="O20" i="185"/>
  <c r="Q20" i="185"/>
  <c r="S20" i="185"/>
  <c r="U20" i="185"/>
  <c r="U19" i="185"/>
  <c r="G14" i="186"/>
  <c r="I14" i="186"/>
  <c r="K14" i="186"/>
  <c r="M14" i="186"/>
  <c r="O14" i="186"/>
  <c r="Q14" i="186"/>
  <c r="S14" i="186"/>
  <c r="U14" i="186"/>
  <c r="E20" i="186"/>
  <c r="G20" i="186"/>
  <c r="I20" i="186"/>
  <c r="K20" i="186"/>
  <c r="M20" i="186"/>
  <c r="O20" i="186"/>
  <c r="Q20" i="186"/>
  <c r="S20" i="186"/>
  <c r="U20" i="186"/>
  <c r="U19" i="186"/>
  <c r="G14" i="187"/>
  <c r="I14" i="187"/>
  <c r="K14" i="187"/>
  <c r="M14" i="187"/>
  <c r="O14" i="187"/>
  <c r="Q14" i="187"/>
  <c r="S14" i="187"/>
  <c r="U14" i="187"/>
  <c r="E20" i="187"/>
  <c r="G20" i="187"/>
  <c r="I20" i="187"/>
  <c r="K20" i="187"/>
  <c r="M20" i="187"/>
  <c r="O20" i="187"/>
  <c r="Q20" i="187"/>
  <c r="S20" i="187"/>
  <c r="U20" i="187"/>
  <c r="U21" i="187"/>
  <c r="U19" i="187"/>
  <c r="G14" i="188"/>
  <c r="I14" i="188"/>
  <c r="K14" i="188"/>
  <c r="M14" i="188"/>
  <c r="O14" i="188"/>
  <c r="Q14" i="188"/>
  <c r="S14" i="188"/>
  <c r="U14" i="188"/>
  <c r="E20" i="188"/>
  <c r="G20" i="188"/>
  <c r="I20" i="188"/>
  <c r="K20" i="188"/>
  <c r="M20" i="188"/>
  <c r="O20" i="188"/>
  <c r="Q20" i="188"/>
  <c r="S20" i="188"/>
  <c r="U20" i="188"/>
  <c r="U19" i="188"/>
  <c r="G14" i="189"/>
  <c r="I14" i="189"/>
  <c r="K14" i="189"/>
  <c r="M14" i="189"/>
  <c r="O14" i="189"/>
  <c r="Q14" i="189"/>
  <c r="S14" i="189"/>
  <c r="U14" i="189"/>
  <c r="E20" i="189"/>
  <c r="G20" i="189"/>
  <c r="I20" i="189"/>
  <c r="K20" i="189"/>
  <c r="M20" i="189"/>
  <c r="O20" i="189"/>
  <c r="Q20" i="189"/>
  <c r="S20" i="189"/>
  <c r="U20" i="189"/>
  <c r="U19" i="189"/>
  <c r="G14" i="190"/>
  <c r="I14" i="190"/>
  <c r="K14" i="190"/>
  <c r="M14" i="190"/>
  <c r="O14" i="190"/>
  <c r="Q14" i="190"/>
  <c r="S14" i="190"/>
  <c r="U14" i="190"/>
  <c r="E20" i="190"/>
  <c r="G20" i="190"/>
  <c r="I20" i="190"/>
  <c r="K20" i="190"/>
  <c r="M20" i="190"/>
  <c r="O20" i="190"/>
  <c r="Q20" i="190"/>
  <c r="S20" i="190"/>
  <c r="U20" i="190"/>
  <c r="U19" i="190"/>
  <c r="I14" i="191"/>
  <c r="K14" i="191"/>
  <c r="M14" i="191"/>
  <c r="O14" i="191"/>
  <c r="Q14" i="191"/>
  <c r="S14" i="191"/>
  <c r="U14" i="191"/>
  <c r="G20" i="191"/>
  <c r="I20" i="191"/>
  <c r="K20" i="191"/>
  <c r="M20" i="191"/>
  <c r="O20" i="191"/>
  <c r="Q20" i="191"/>
  <c r="S20" i="191"/>
  <c r="U20" i="191"/>
  <c r="U19" i="191"/>
  <c r="U19" i="192"/>
  <c r="U19" i="195"/>
  <c r="U19" i="198"/>
  <c r="G20" i="118"/>
  <c r="I20" i="118"/>
  <c r="K20" i="118"/>
  <c r="M20" i="118"/>
  <c r="O20" i="118"/>
  <c r="Q20" i="118"/>
  <c r="S20" i="118"/>
  <c r="U20" i="118"/>
  <c r="I20" i="15"/>
  <c r="K20" i="15"/>
  <c r="M20" i="15"/>
  <c r="O20" i="15"/>
  <c r="Q20" i="15"/>
  <c r="S20" i="15"/>
  <c r="U20" i="15"/>
  <c r="G20" i="158"/>
  <c r="I20" i="158"/>
  <c r="K20" i="158"/>
  <c r="M20" i="158"/>
  <c r="O20" i="158"/>
  <c r="Q20" i="158"/>
  <c r="S20" i="158"/>
  <c r="U20" i="158"/>
  <c r="G20" i="159"/>
  <c r="I20" i="159"/>
  <c r="K20" i="159"/>
  <c r="M20" i="159"/>
  <c r="O20" i="159"/>
  <c r="Q20" i="159"/>
  <c r="S20" i="159"/>
  <c r="U20" i="159"/>
  <c r="G20" i="160"/>
  <c r="I20" i="160"/>
  <c r="K20" i="160"/>
  <c r="M20" i="160"/>
  <c r="O20" i="160"/>
  <c r="Q20" i="160"/>
  <c r="S20" i="160"/>
  <c r="U20" i="160"/>
  <c r="G20" i="161"/>
  <c r="I20" i="161"/>
  <c r="K20" i="161"/>
  <c r="M20" i="161"/>
  <c r="O20" i="161"/>
  <c r="Q20" i="161"/>
  <c r="S20" i="161"/>
  <c r="U20" i="161"/>
  <c r="G20" i="162"/>
  <c r="I20" i="162"/>
  <c r="K20" i="162"/>
  <c r="M20" i="162"/>
  <c r="O20" i="162"/>
  <c r="Q20" i="162"/>
  <c r="S20" i="162"/>
  <c r="U20" i="162"/>
  <c r="G20" i="163"/>
  <c r="I20" i="163"/>
  <c r="K20" i="163"/>
  <c r="M20" i="163"/>
  <c r="O20" i="163"/>
  <c r="Q20" i="163"/>
  <c r="S20" i="163"/>
  <c r="U20" i="163"/>
  <c r="G20" i="164"/>
  <c r="I20" i="164"/>
  <c r="K20" i="164"/>
  <c r="M20" i="164"/>
  <c r="O20" i="164"/>
  <c r="Q20" i="164"/>
  <c r="S20" i="164"/>
  <c r="U20" i="164"/>
  <c r="G20" i="165"/>
  <c r="I20" i="165"/>
  <c r="K20" i="165"/>
  <c r="M20" i="165"/>
  <c r="O20" i="165"/>
  <c r="Q20" i="165"/>
  <c r="S20" i="165"/>
  <c r="U20" i="165"/>
  <c r="G20" i="167"/>
  <c r="I20" i="167"/>
  <c r="K20" i="167"/>
  <c r="M20" i="167"/>
  <c r="O20" i="167"/>
  <c r="Q20" i="167"/>
  <c r="S20" i="167"/>
  <c r="U20" i="167"/>
  <c r="G20" i="170"/>
  <c r="I20" i="170"/>
  <c r="K20" i="170"/>
  <c r="M20" i="170"/>
  <c r="O20" i="170"/>
  <c r="Q20" i="170"/>
  <c r="S20" i="170"/>
  <c r="U20" i="170"/>
  <c r="G20" i="171"/>
  <c r="I20" i="171"/>
  <c r="K20" i="171"/>
  <c r="M20" i="171"/>
  <c r="O20" i="171"/>
  <c r="Q20" i="171"/>
  <c r="S20" i="171"/>
  <c r="U20" i="171"/>
  <c r="U20" i="192"/>
  <c r="U20" i="195"/>
  <c r="U20" i="198"/>
  <c r="E21" i="118"/>
  <c r="G21" i="118"/>
  <c r="I21" i="118"/>
  <c r="K21" i="118"/>
  <c r="M21" i="118"/>
  <c r="O21" i="118"/>
  <c r="Q21" i="118"/>
  <c r="S21" i="118"/>
  <c r="U21" i="118"/>
  <c r="G21" i="15"/>
  <c r="I21" i="15"/>
  <c r="K21" i="15"/>
  <c r="M21" i="15"/>
  <c r="O21" i="15"/>
  <c r="Q21" i="15"/>
  <c r="S21" i="15"/>
  <c r="U21" i="15"/>
  <c r="G21" i="158"/>
  <c r="I21" i="158"/>
  <c r="K21" i="158"/>
  <c r="M21" i="158"/>
  <c r="O21" i="158"/>
  <c r="Q21" i="158"/>
  <c r="S21" i="158"/>
  <c r="U21" i="158"/>
  <c r="G21" i="159"/>
  <c r="I21" i="159"/>
  <c r="K21" i="159"/>
  <c r="M21" i="159"/>
  <c r="O21" i="159"/>
  <c r="Q21" i="159"/>
  <c r="S21" i="159"/>
  <c r="U21" i="159"/>
  <c r="G21" i="160"/>
  <c r="I21" i="160"/>
  <c r="K21" i="160"/>
  <c r="M21" i="160"/>
  <c r="O21" i="160"/>
  <c r="Q21" i="160"/>
  <c r="S21" i="160"/>
  <c r="U21" i="160"/>
  <c r="G21" i="161"/>
  <c r="I21" i="161"/>
  <c r="K21" i="161"/>
  <c r="M21" i="161"/>
  <c r="O21" i="161"/>
  <c r="Q21" i="161"/>
  <c r="S21" i="161"/>
  <c r="U21" i="161"/>
  <c r="G21" i="162"/>
  <c r="I21" i="162"/>
  <c r="K21" i="162"/>
  <c r="M21" i="162"/>
  <c r="O21" i="162"/>
  <c r="Q21" i="162"/>
  <c r="S21" i="162"/>
  <c r="U21" i="162"/>
  <c r="G21" i="163"/>
  <c r="I21" i="163"/>
  <c r="K21" i="163"/>
  <c r="M21" i="163"/>
  <c r="O21" i="163"/>
  <c r="Q21" i="163"/>
  <c r="S21" i="163"/>
  <c r="U21" i="163"/>
  <c r="G21" i="164"/>
  <c r="I21" i="164"/>
  <c r="K21" i="164"/>
  <c r="M21" i="164"/>
  <c r="O21" i="164"/>
  <c r="Q21" i="164"/>
  <c r="S21" i="164"/>
  <c r="U21" i="164"/>
  <c r="G21" i="165"/>
  <c r="I21" i="165"/>
  <c r="K21" i="165"/>
  <c r="M21" i="165"/>
  <c r="O21" i="165"/>
  <c r="Q21" i="165"/>
  <c r="S21" i="165"/>
  <c r="U21" i="165"/>
  <c r="G21" i="167"/>
  <c r="I21" i="167"/>
  <c r="K21" i="167"/>
  <c r="M21" i="167"/>
  <c r="O21" i="167"/>
  <c r="Q21" i="167"/>
  <c r="S21" i="167"/>
  <c r="U21" i="167"/>
  <c r="G21" i="170"/>
  <c r="I21" i="170"/>
  <c r="K21" i="170"/>
  <c r="M21" i="170"/>
  <c r="O21" i="170"/>
  <c r="Q21" i="170"/>
  <c r="S21" i="170"/>
  <c r="U21" i="170"/>
  <c r="G21" i="171"/>
  <c r="I21" i="171"/>
  <c r="K21" i="171"/>
  <c r="M21" i="171"/>
  <c r="O21" i="171"/>
  <c r="Q21" i="171"/>
  <c r="S21" i="171"/>
  <c r="U21" i="171"/>
  <c r="G21" i="173"/>
  <c r="I21" i="173"/>
  <c r="K21" i="173"/>
  <c r="M21" i="173"/>
  <c r="O21" i="173"/>
  <c r="Q21" i="173"/>
  <c r="S21" i="173"/>
  <c r="U21" i="173"/>
  <c r="I21" i="176"/>
  <c r="K21" i="176"/>
  <c r="M21" i="176"/>
  <c r="O21" i="176"/>
  <c r="Q21" i="176"/>
  <c r="S21" i="176"/>
  <c r="U21" i="176"/>
  <c r="G21" i="177"/>
  <c r="I21" i="177"/>
  <c r="K21" i="177"/>
  <c r="M21" i="177"/>
  <c r="O21" i="177"/>
  <c r="Q21" i="177"/>
  <c r="S21" i="177"/>
  <c r="U21" i="177"/>
  <c r="G21" i="178"/>
  <c r="I21" i="178"/>
  <c r="K21" i="178"/>
  <c r="M21" i="178"/>
  <c r="O21" i="178"/>
  <c r="Q21" i="178"/>
  <c r="S21" i="178"/>
  <c r="U21" i="178"/>
  <c r="G21" i="180"/>
  <c r="I21" i="180"/>
  <c r="K21" i="180"/>
  <c r="M21" i="180"/>
  <c r="O21" i="180"/>
  <c r="Q21" i="180"/>
  <c r="S21" i="180"/>
  <c r="U21" i="180"/>
  <c r="G21" i="181"/>
  <c r="I21" i="181"/>
  <c r="K21" i="181"/>
  <c r="M21" i="181"/>
  <c r="O21" i="181"/>
  <c r="Q21" i="181"/>
  <c r="S21" i="181"/>
  <c r="U21" i="181"/>
  <c r="G21" i="182"/>
  <c r="I21" i="182"/>
  <c r="K21" i="182"/>
  <c r="M21" i="182"/>
  <c r="O21" i="182"/>
  <c r="Q21" i="182"/>
  <c r="S21" i="182"/>
  <c r="U21" i="182"/>
  <c r="G21" i="183"/>
  <c r="I21" i="183"/>
  <c r="K21" i="183"/>
  <c r="M21" i="183"/>
  <c r="O21" i="183"/>
  <c r="Q21" i="183"/>
  <c r="S21" i="183"/>
  <c r="U21" i="183"/>
  <c r="G21" i="184"/>
  <c r="I21" i="184"/>
  <c r="K21" i="184"/>
  <c r="M21" i="184"/>
  <c r="O21" i="184"/>
  <c r="Q21" i="184"/>
  <c r="S21" i="184"/>
  <c r="U21" i="184"/>
  <c r="G21" i="185"/>
  <c r="I21" i="185"/>
  <c r="K21" i="185"/>
  <c r="M21" i="185"/>
  <c r="O21" i="185"/>
  <c r="Q21" i="185"/>
  <c r="S21" i="185"/>
  <c r="U21" i="185"/>
  <c r="G21" i="186"/>
  <c r="I21" i="186"/>
  <c r="K21" i="186"/>
  <c r="M21" i="186"/>
  <c r="O21" i="186"/>
  <c r="Q21" i="186"/>
  <c r="S21" i="186"/>
  <c r="U21" i="186"/>
  <c r="G21" i="188"/>
  <c r="I21" i="188"/>
  <c r="K21" i="188"/>
  <c r="M21" i="188"/>
  <c r="O21" i="188"/>
  <c r="Q21" i="188"/>
  <c r="S21" i="188"/>
  <c r="U21" i="188"/>
  <c r="G21" i="189"/>
  <c r="I21" i="189"/>
  <c r="K21" i="189"/>
  <c r="M21" i="189"/>
  <c r="O21" i="189"/>
  <c r="Q21" i="189"/>
  <c r="S21" i="189"/>
  <c r="U21" i="189"/>
  <c r="G21" i="190"/>
  <c r="I21" i="190"/>
  <c r="K21" i="190"/>
  <c r="M21" i="190"/>
  <c r="O21" i="190"/>
  <c r="Q21" i="190"/>
  <c r="S21" i="190"/>
  <c r="U21" i="190"/>
  <c r="G21" i="191"/>
  <c r="I21" i="191"/>
  <c r="K21" i="191"/>
  <c r="M21" i="191"/>
  <c r="O21" i="191"/>
  <c r="Q21" i="191"/>
  <c r="S21" i="191"/>
  <c r="U21" i="191"/>
  <c r="U21" i="192"/>
  <c r="U21" i="195"/>
  <c r="U21" i="198"/>
  <c r="K23" i="118"/>
  <c r="M23" i="118"/>
  <c r="O23" i="118"/>
  <c r="Q23" i="118"/>
  <c r="S23" i="118"/>
  <c r="U23" i="118"/>
  <c r="U23" i="192"/>
  <c r="U23" i="195"/>
  <c r="U23" i="198"/>
  <c r="U24" i="192"/>
  <c r="U24" i="195"/>
  <c r="U24" i="198"/>
  <c r="E25" i="118"/>
  <c r="G25" i="118"/>
  <c r="I25" i="118"/>
  <c r="K25" i="118"/>
  <c r="M25" i="118"/>
  <c r="O25" i="118"/>
  <c r="Q25" i="118"/>
  <c r="S25" i="118"/>
  <c r="U25" i="118"/>
  <c r="U25" i="192"/>
  <c r="E25" i="193"/>
  <c r="G25" i="193"/>
  <c r="I25" i="193"/>
  <c r="K25" i="193"/>
  <c r="M25" i="193"/>
  <c r="O25" i="193"/>
  <c r="Q25" i="193"/>
  <c r="S25" i="193"/>
  <c r="U25" i="193"/>
  <c r="E25" i="194"/>
  <c r="G25" i="194"/>
  <c r="I25" i="194"/>
  <c r="K25" i="194"/>
  <c r="M25" i="194"/>
  <c r="O25" i="194"/>
  <c r="Q25" i="194"/>
  <c r="S25" i="194"/>
  <c r="U25" i="194"/>
  <c r="U25" i="195"/>
  <c r="U25" i="198"/>
  <c r="E26" i="118"/>
  <c r="G26" i="118"/>
  <c r="I26" i="118"/>
  <c r="K26" i="118"/>
  <c r="M26" i="118"/>
  <c r="O26" i="118"/>
  <c r="Q26" i="118"/>
  <c r="S26" i="118"/>
  <c r="U26" i="118"/>
  <c r="U26" i="192"/>
  <c r="U26" i="195"/>
  <c r="U26" i="198"/>
  <c r="E27" i="118"/>
  <c r="G27" i="118"/>
  <c r="I27" i="118"/>
  <c r="K27" i="118"/>
  <c r="M27" i="118"/>
  <c r="O27" i="118"/>
  <c r="Q27" i="118"/>
  <c r="S27" i="118"/>
  <c r="U27" i="118"/>
  <c r="E27" i="160"/>
  <c r="G27" i="160"/>
  <c r="I27" i="160"/>
  <c r="K27" i="160"/>
  <c r="M27" i="160"/>
  <c r="O27" i="160"/>
  <c r="Q27" i="160"/>
  <c r="S27" i="160"/>
  <c r="U27" i="160"/>
  <c r="E27" i="162"/>
  <c r="G27" i="162"/>
  <c r="I27" i="162"/>
  <c r="K27" i="162"/>
  <c r="M27" i="162"/>
  <c r="O27" i="162"/>
  <c r="Q27" i="162"/>
  <c r="S27" i="162"/>
  <c r="U27" i="162"/>
  <c r="E27" i="171"/>
  <c r="G27" i="171"/>
  <c r="I27" i="171"/>
  <c r="K27" i="171"/>
  <c r="M27" i="171"/>
  <c r="O27" i="171"/>
  <c r="Q27" i="171"/>
  <c r="S27" i="171"/>
  <c r="U27" i="171"/>
  <c r="E27" i="177"/>
  <c r="G27" i="177"/>
  <c r="I27" i="177"/>
  <c r="K27" i="177"/>
  <c r="M27" i="177"/>
  <c r="O27" i="177"/>
  <c r="Q27" i="177"/>
  <c r="S27" i="177"/>
  <c r="U27" i="177"/>
  <c r="E27" i="182"/>
  <c r="G27" i="182"/>
  <c r="I27" i="182"/>
  <c r="K27" i="182"/>
  <c r="M27" i="182"/>
  <c r="O27" i="182"/>
  <c r="Q27" i="182"/>
  <c r="S27" i="182"/>
  <c r="U27" i="182"/>
  <c r="U27" i="192"/>
  <c r="U27" i="195"/>
  <c r="U27" i="198"/>
  <c r="U28" i="198"/>
  <c r="V114" i="198"/>
  <c r="S114" i="198"/>
  <c r="S20" i="168"/>
  <c r="S21" i="168"/>
  <c r="S19" i="168"/>
  <c r="S20" i="169"/>
  <c r="S21" i="169"/>
  <c r="S19" i="169"/>
  <c r="S21" i="172"/>
  <c r="S19" i="172"/>
  <c r="S19" i="173"/>
  <c r="S21" i="174"/>
  <c r="S19" i="174"/>
  <c r="S21" i="175"/>
  <c r="S19" i="175"/>
  <c r="S14" i="176"/>
  <c r="S19" i="176"/>
  <c r="S19" i="177"/>
  <c r="G14" i="178"/>
  <c r="I14" i="178"/>
  <c r="K14" i="178"/>
  <c r="M14" i="178"/>
  <c r="O14" i="178"/>
  <c r="Q14" i="178"/>
  <c r="S14" i="178"/>
  <c r="S19" i="178"/>
  <c r="S21" i="179"/>
  <c r="S19" i="179"/>
  <c r="S19" i="180"/>
  <c r="S19" i="181"/>
  <c r="S14" i="182"/>
  <c r="S19" i="182"/>
  <c r="S19" i="183"/>
  <c r="S19" i="184"/>
  <c r="S19" i="185"/>
  <c r="S19" i="186"/>
  <c r="S21" i="187"/>
  <c r="S19" i="187"/>
  <c r="S19" i="188"/>
  <c r="S19" i="189"/>
  <c r="S19" i="190"/>
  <c r="S19" i="191"/>
  <c r="S19" i="192"/>
  <c r="S19" i="195"/>
  <c r="S19" i="198"/>
  <c r="S20" i="192"/>
  <c r="S20" i="195"/>
  <c r="S20" i="198"/>
  <c r="S21" i="192"/>
  <c r="S21" i="195"/>
  <c r="S21" i="198"/>
  <c r="S23" i="192"/>
  <c r="S23" i="195"/>
  <c r="S23" i="198"/>
  <c r="S24" i="192"/>
  <c r="S24" i="195"/>
  <c r="S24" i="198"/>
  <c r="S25" i="192"/>
  <c r="S25" i="195"/>
  <c r="S25" i="198"/>
  <c r="S26" i="192"/>
  <c r="S26" i="195"/>
  <c r="S26" i="198"/>
  <c r="S27" i="192"/>
  <c r="S27" i="195"/>
  <c r="S27" i="198"/>
  <c r="S28" i="198"/>
  <c r="T114" i="198"/>
  <c r="Q114" i="198"/>
  <c r="Q20" i="168"/>
  <c r="Q21" i="168"/>
  <c r="Q19" i="168"/>
  <c r="Q20" i="169"/>
  <c r="Q21" i="169"/>
  <c r="Q19" i="169"/>
  <c r="Q21" i="172"/>
  <c r="Q19" i="172"/>
  <c r="Q19" i="173"/>
  <c r="Q21" i="174"/>
  <c r="Q19" i="174"/>
  <c r="Q21" i="175"/>
  <c r="Q19" i="175"/>
  <c r="Q14" i="176"/>
  <c r="Q19" i="176"/>
  <c r="Q19" i="177"/>
  <c r="Q19" i="178"/>
  <c r="Q21" i="179"/>
  <c r="Q19" i="179"/>
  <c r="Q19" i="180"/>
  <c r="Q19" i="181"/>
  <c r="Q14" i="182"/>
  <c r="Q19" i="182"/>
  <c r="Q19" i="183"/>
  <c r="Q19" i="184"/>
  <c r="Q19" i="185"/>
  <c r="Q19" i="186"/>
  <c r="Q21" i="187"/>
  <c r="Q19" i="187"/>
  <c r="Q19" i="188"/>
  <c r="Q19" i="189"/>
  <c r="Q19" i="190"/>
  <c r="Q19" i="191"/>
  <c r="Q19" i="192"/>
  <c r="Q19" i="195"/>
  <c r="Q19" i="198"/>
  <c r="Q20" i="192"/>
  <c r="Q20" i="195"/>
  <c r="Q20" i="198"/>
  <c r="Q21" i="192"/>
  <c r="Q21" i="195"/>
  <c r="Q21" i="198"/>
  <c r="Q23" i="192"/>
  <c r="Q23" i="195"/>
  <c r="Q23" i="198"/>
  <c r="Q24" i="192"/>
  <c r="Q24" i="195"/>
  <c r="Q24" i="198"/>
  <c r="Q25" i="192"/>
  <c r="Q25" i="195"/>
  <c r="Q25" i="198"/>
  <c r="Q26" i="192"/>
  <c r="Q26" i="195"/>
  <c r="Q26" i="198"/>
  <c r="Q27" i="192"/>
  <c r="Q27" i="195"/>
  <c r="Q27" i="198"/>
  <c r="Q28" i="198"/>
  <c r="R114" i="198"/>
  <c r="O114" i="198"/>
  <c r="O20" i="168"/>
  <c r="O21" i="168"/>
  <c r="O19" i="168"/>
  <c r="O20" i="169"/>
  <c r="O21" i="169"/>
  <c r="O19" i="169"/>
  <c r="O21" i="172"/>
  <c r="O19" i="172"/>
  <c r="O19" i="173"/>
  <c r="O21" i="174"/>
  <c r="O19" i="174"/>
  <c r="O21" i="175"/>
  <c r="O19" i="175"/>
  <c r="O14" i="176"/>
  <c r="O19" i="176"/>
  <c r="O19" i="177"/>
  <c r="O19" i="178"/>
  <c r="O21" i="179"/>
  <c r="O19" i="179"/>
  <c r="O19" i="180"/>
  <c r="O19" i="181"/>
  <c r="O14" i="182"/>
  <c r="O19" i="182"/>
  <c r="O19" i="183"/>
  <c r="O19" i="184"/>
  <c r="O19" i="185"/>
  <c r="O19" i="186"/>
  <c r="O21" i="187"/>
  <c r="O19" i="187"/>
  <c r="O19" i="188"/>
  <c r="O19" i="189"/>
  <c r="O19" i="190"/>
  <c r="O19" i="191"/>
  <c r="O19" i="192"/>
  <c r="O19" i="195"/>
  <c r="O19" i="198"/>
  <c r="O20" i="192"/>
  <c r="O20" i="195"/>
  <c r="O20" i="198"/>
  <c r="O21" i="192"/>
  <c r="O21" i="195"/>
  <c r="O21" i="198"/>
  <c r="O23" i="192"/>
  <c r="O23" i="195"/>
  <c r="O23" i="198"/>
  <c r="O24" i="192"/>
  <c r="O24" i="195"/>
  <c r="O24" i="198"/>
  <c r="O25" i="192"/>
  <c r="O25" i="195"/>
  <c r="O25" i="198"/>
  <c r="O26" i="192"/>
  <c r="O26" i="195"/>
  <c r="O26" i="198"/>
  <c r="O27" i="192"/>
  <c r="O27" i="195"/>
  <c r="O27" i="198"/>
  <c r="O28" i="198"/>
  <c r="P114" i="198"/>
  <c r="M114" i="198"/>
  <c r="M20" i="168"/>
  <c r="M21" i="168"/>
  <c r="M19" i="168"/>
  <c r="M20" i="169"/>
  <c r="M21" i="169"/>
  <c r="M19" i="169"/>
  <c r="M21" i="172"/>
  <c r="M19" i="172"/>
  <c r="M19" i="173"/>
  <c r="M21" i="174"/>
  <c r="M19" i="174"/>
  <c r="M21" i="175"/>
  <c r="M19" i="175"/>
  <c r="M14" i="176"/>
  <c r="M19" i="176"/>
  <c r="M19" i="177"/>
  <c r="M19" i="178"/>
  <c r="M21" i="179"/>
  <c r="M19" i="179"/>
  <c r="M19" i="180"/>
  <c r="M19" i="181"/>
  <c r="M14" i="182"/>
  <c r="M19" i="182"/>
  <c r="M19" i="183"/>
  <c r="M19" i="184"/>
  <c r="M19" i="185"/>
  <c r="M19" i="186"/>
  <c r="M21" i="187"/>
  <c r="M19" i="187"/>
  <c r="M19" i="188"/>
  <c r="M19" i="189"/>
  <c r="M19" i="190"/>
  <c r="M19" i="191"/>
  <c r="M19" i="192"/>
  <c r="M19" i="195"/>
  <c r="M19" i="198"/>
  <c r="M20" i="192"/>
  <c r="M20" i="195"/>
  <c r="M20" i="198"/>
  <c r="M21" i="192"/>
  <c r="M21" i="195"/>
  <c r="M21" i="198"/>
  <c r="M23" i="192"/>
  <c r="M23" i="195"/>
  <c r="M23" i="198"/>
  <c r="M24" i="192"/>
  <c r="M24" i="195"/>
  <c r="M24" i="198"/>
  <c r="M25" i="192"/>
  <c r="M25" i="195"/>
  <c r="M25" i="198"/>
  <c r="M26" i="192"/>
  <c r="M26" i="195"/>
  <c r="M26" i="198"/>
  <c r="M27" i="192"/>
  <c r="M27" i="195"/>
  <c r="M27" i="198"/>
  <c r="M28" i="198"/>
  <c r="N114" i="198"/>
  <c r="K114" i="198"/>
  <c r="K20" i="168"/>
  <c r="K21" i="168"/>
  <c r="K19" i="168"/>
  <c r="K20" i="169"/>
  <c r="K21" i="169"/>
  <c r="K19" i="169"/>
  <c r="K21" i="172"/>
  <c r="K19" i="172"/>
  <c r="K19" i="173"/>
  <c r="K21" i="174"/>
  <c r="K19" i="174"/>
  <c r="K21" i="175"/>
  <c r="K19" i="175"/>
  <c r="K14" i="176"/>
  <c r="K19" i="176"/>
  <c r="K19" i="177"/>
  <c r="K19" i="178"/>
  <c r="K21" i="179"/>
  <c r="K19" i="179"/>
  <c r="K19" i="180"/>
  <c r="K19" i="181"/>
  <c r="K14" i="182"/>
  <c r="K19" i="182"/>
  <c r="K19" i="183"/>
  <c r="K19" i="184"/>
  <c r="K19" i="185"/>
  <c r="K19" i="186"/>
  <c r="K21" i="187"/>
  <c r="K19" i="187"/>
  <c r="K19" i="188"/>
  <c r="K19" i="189"/>
  <c r="K19" i="190"/>
  <c r="K19" i="191"/>
  <c r="K19" i="192"/>
  <c r="K19" i="195"/>
  <c r="K19" i="198"/>
  <c r="K20" i="192"/>
  <c r="K20" i="195"/>
  <c r="K20" i="198"/>
  <c r="K21" i="192"/>
  <c r="K21" i="195"/>
  <c r="K21" i="198"/>
  <c r="K23" i="192"/>
  <c r="K23" i="195"/>
  <c r="K23" i="198"/>
  <c r="K24" i="192"/>
  <c r="K24" i="195"/>
  <c r="K24" i="198"/>
  <c r="K25" i="192"/>
  <c r="K25" i="195"/>
  <c r="K25" i="198"/>
  <c r="K26" i="192"/>
  <c r="K26" i="195"/>
  <c r="K26" i="198"/>
  <c r="K27" i="192"/>
  <c r="K27" i="195"/>
  <c r="K27" i="198"/>
  <c r="K28" i="198"/>
  <c r="L114" i="198"/>
  <c r="I114" i="198"/>
  <c r="I20" i="168"/>
  <c r="I21" i="168"/>
  <c r="I19" i="168"/>
  <c r="I20" i="169"/>
  <c r="I21" i="169"/>
  <c r="I19" i="169"/>
  <c r="I21" i="172"/>
  <c r="I19" i="172"/>
  <c r="I19" i="173"/>
  <c r="I21" i="174"/>
  <c r="I19" i="174"/>
  <c r="I21" i="175"/>
  <c r="I19" i="175"/>
  <c r="I14" i="176"/>
  <c r="I19" i="176"/>
  <c r="I19" i="177"/>
  <c r="I19" i="178"/>
  <c r="I21" i="179"/>
  <c r="I19" i="179"/>
  <c r="I19" i="180"/>
  <c r="I19" i="181"/>
  <c r="I14" i="182"/>
  <c r="I19" i="182"/>
  <c r="I19" i="183"/>
  <c r="I19" i="184"/>
  <c r="I19" i="185"/>
  <c r="I19" i="186"/>
  <c r="I21" i="187"/>
  <c r="I19" i="187"/>
  <c r="I19" i="188"/>
  <c r="I19" i="189"/>
  <c r="I19" i="190"/>
  <c r="I19" i="191"/>
  <c r="I19" i="192"/>
  <c r="I19" i="195"/>
  <c r="I19" i="198"/>
  <c r="I20" i="192"/>
  <c r="I20" i="195"/>
  <c r="I20" i="198"/>
  <c r="I21" i="192"/>
  <c r="I21" i="195"/>
  <c r="I21" i="198"/>
  <c r="I23" i="192"/>
  <c r="I23" i="195"/>
  <c r="I23" i="198"/>
  <c r="I24" i="192"/>
  <c r="I24" i="195"/>
  <c r="I24" i="198"/>
  <c r="I25" i="192"/>
  <c r="I25" i="195"/>
  <c r="I25" i="198"/>
  <c r="I26" i="192"/>
  <c r="I26" i="195"/>
  <c r="I26" i="198"/>
  <c r="I27" i="192"/>
  <c r="I27" i="195"/>
  <c r="I27" i="198"/>
  <c r="I28" i="198"/>
  <c r="J114" i="198"/>
  <c r="G114" i="198"/>
  <c r="G20" i="168"/>
  <c r="G21" i="168"/>
  <c r="G19" i="168"/>
  <c r="G20" i="169"/>
  <c r="G21" i="169"/>
  <c r="G19" i="169"/>
  <c r="G21" i="172"/>
  <c r="G19" i="172"/>
  <c r="G19" i="173"/>
  <c r="G21" i="174"/>
  <c r="G19" i="174"/>
  <c r="G21" i="175"/>
  <c r="G19" i="175"/>
  <c r="G14" i="176"/>
  <c r="G19" i="176"/>
  <c r="G19" i="177"/>
  <c r="G19" i="178"/>
  <c r="G21" i="179"/>
  <c r="G19" i="179"/>
  <c r="G19" i="180"/>
  <c r="G19" i="181"/>
  <c r="G14" i="182"/>
  <c r="G19" i="182"/>
  <c r="G19" i="183"/>
  <c r="G19" i="184"/>
  <c r="G19" i="185"/>
  <c r="G19" i="186"/>
  <c r="G21" i="187"/>
  <c r="G19" i="187"/>
  <c r="G19" i="188"/>
  <c r="G19" i="189"/>
  <c r="G19" i="190"/>
  <c r="G19" i="191"/>
  <c r="G19" i="192"/>
  <c r="G19" i="195"/>
  <c r="G19" i="198"/>
  <c r="G20" i="192"/>
  <c r="G20" i="195"/>
  <c r="G20" i="198"/>
  <c r="G21" i="192"/>
  <c r="G21" i="195"/>
  <c r="G21" i="198"/>
  <c r="G23" i="118"/>
  <c r="G23" i="192"/>
  <c r="G23" i="195"/>
  <c r="G23" i="198"/>
  <c r="G24" i="192"/>
  <c r="G24" i="195"/>
  <c r="G24" i="198"/>
  <c r="G25" i="192"/>
  <c r="G25" i="195"/>
  <c r="G25" i="198"/>
  <c r="G26" i="192"/>
  <c r="G26" i="195"/>
  <c r="G26" i="198"/>
  <c r="G27" i="192"/>
  <c r="G27" i="195"/>
  <c r="G27" i="198"/>
  <c r="G28" i="198"/>
  <c r="H114" i="198"/>
  <c r="E114" i="198"/>
  <c r="E20" i="15"/>
  <c r="E19" i="15"/>
  <c r="E20" i="168"/>
  <c r="E21" i="168"/>
  <c r="E19" i="168"/>
  <c r="E20" i="169"/>
  <c r="E21" i="169"/>
  <c r="E19" i="169"/>
  <c r="E21" i="172"/>
  <c r="E19" i="172"/>
  <c r="E19" i="173"/>
  <c r="E21" i="174"/>
  <c r="E19" i="174"/>
  <c r="E21" i="175"/>
  <c r="E19" i="175"/>
  <c r="E20" i="176"/>
  <c r="E21" i="176"/>
  <c r="E19" i="176"/>
  <c r="E19" i="177"/>
  <c r="E19" i="178"/>
  <c r="E21" i="179"/>
  <c r="E19" i="179"/>
  <c r="E19" i="180"/>
  <c r="E20" i="181"/>
  <c r="E19" i="181"/>
  <c r="E19" i="182"/>
  <c r="E19" i="183"/>
  <c r="E19" i="184"/>
  <c r="E19" i="185"/>
  <c r="E19" i="186"/>
  <c r="E21" i="187"/>
  <c r="E19" i="187"/>
  <c r="E19" i="188"/>
  <c r="E19" i="189"/>
  <c r="E19" i="190"/>
  <c r="E20" i="191"/>
  <c r="E19" i="191"/>
  <c r="E19" i="192"/>
  <c r="E19" i="195"/>
  <c r="E19" i="198"/>
  <c r="E20" i="192"/>
  <c r="E20" i="195"/>
  <c r="E20" i="198"/>
  <c r="E21" i="192"/>
  <c r="E21" i="195"/>
  <c r="E21" i="198"/>
  <c r="E23" i="192"/>
  <c r="E23" i="195"/>
  <c r="E23" i="198"/>
  <c r="E24" i="192"/>
  <c r="E24" i="195"/>
  <c r="E24" i="198"/>
  <c r="E25" i="192"/>
  <c r="E25" i="195"/>
  <c r="E25" i="198"/>
  <c r="E26" i="192"/>
  <c r="E26" i="195"/>
  <c r="E26" i="198"/>
  <c r="E27" i="181"/>
  <c r="E27" i="192"/>
  <c r="E27" i="195"/>
  <c r="E27" i="198"/>
  <c r="E28" i="198"/>
  <c r="F114" i="198"/>
  <c r="C114" i="198"/>
  <c r="D114" i="198"/>
  <c r="D68" i="47"/>
  <c r="D62" i="47"/>
  <c r="D61" i="47"/>
  <c r="D60" i="47"/>
  <c r="D59" i="47"/>
  <c r="D54" i="47"/>
  <c r="D53" i="47"/>
  <c r="D52" i="47"/>
  <c r="D51" i="47"/>
  <c r="D48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G46" i="177"/>
  <c r="G8" i="177"/>
  <c r="G10" i="177"/>
  <c r="D102" i="199"/>
  <c r="D97" i="199"/>
  <c r="D96" i="199"/>
  <c r="D95" i="199"/>
  <c r="D94" i="199"/>
  <c r="D93" i="199"/>
  <c r="D88" i="199"/>
  <c r="D87" i="199"/>
  <c r="D86" i="199"/>
  <c r="D85" i="199"/>
  <c r="D82" i="199"/>
  <c r="D79" i="199"/>
  <c r="D78" i="199"/>
  <c r="D77" i="199"/>
  <c r="D76" i="199"/>
  <c r="D75" i="199"/>
  <c r="D74" i="199"/>
  <c r="D73" i="199"/>
  <c r="D72" i="199"/>
  <c r="D71" i="199"/>
  <c r="D70" i="199"/>
  <c r="D69" i="199"/>
  <c r="D68" i="199"/>
  <c r="D67" i="199"/>
  <c r="D66" i="199"/>
  <c r="D65" i="199"/>
  <c r="D64" i="199"/>
  <c r="D63" i="199"/>
  <c r="D62" i="199"/>
  <c r="D61" i="199"/>
  <c r="D60" i="199"/>
  <c r="D59" i="199"/>
  <c r="D58" i="199"/>
  <c r="D57" i="199"/>
  <c r="D56" i="199"/>
  <c r="D55" i="199"/>
  <c r="D54" i="199"/>
  <c r="D53" i="199"/>
  <c r="D52" i="199"/>
  <c r="D51" i="199"/>
  <c r="D50" i="199"/>
  <c r="D49" i="199"/>
  <c r="E37" i="89"/>
  <c r="F37" i="89"/>
  <c r="G37" i="89"/>
  <c r="H37" i="89"/>
  <c r="I37" i="89"/>
  <c r="J37" i="89"/>
  <c r="K37" i="89"/>
  <c r="L37" i="89"/>
  <c r="M37" i="89"/>
  <c r="C36" i="197"/>
  <c r="E36" i="197"/>
  <c r="C37" i="197"/>
  <c r="E37" i="197"/>
  <c r="E37" i="169"/>
  <c r="G37" i="169"/>
  <c r="E37" i="188"/>
  <c r="G37" i="191"/>
  <c r="A102" i="198"/>
  <c r="G14" i="165"/>
  <c r="I14" i="165"/>
  <c r="K14" i="165"/>
  <c r="M14" i="165"/>
  <c r="O14" i="165"/>
  <c r="Q14" i="165"/>
  <c r="S14" i="165"/>
  <c r="U14" i="165"/>
  <c r="I14" i="164"/>
  <c r="K14" i="164"/>
  <c r="M14" i="164"/>
  <c r="O14" i="164"/>
  <c r="Q14" i="164"/>
  <c r="S14" i="164"/>
  <c r="U14" i="164"/>
  <c r="G14" i="161"/>
  <c r="I14" i="161"/>
  <c r="K14" i="161"/>
  <c r="M14" i="161"/>
  <c r="O14" i="161"/>
  <c r="Q14" i="161"/>
  <c r="S14" i="161"/>
  <c r="U14" i="161"/>
  <c r="G14" i="159"/>
  <c r="I14" i="159"/>
  <c r="K14" i="159"/>
  <c r="M14" i="159"/>
  <c r="O14" i="159"/>
  <c r="Q14" i="159"/>
  <c r="S14" i="159"/>
  <c r="U14" i="159"/>
  <c r="I14" i="158"/>
  <c r="K14" i="158"/>
  <c r="M14" i="158"/>
  <c r="O14" i="158"/>
  <c r="Q14" i="158"/>
  <c r="S14" i="158"/>
  <c r="U14" i="158"/>
  <c r="C28" i="178"/>
  <c r="D55" i="178"/>
  <c r="C28" i="173"/>
  <c r="D55" i="173"/>
  <c r="E37" i="186"/>
  <c r="G37" i="186"/>
  <c r="G38" i="183"/>
  <c r="G37" i="183"/>
  <c r="E39" i="179"/>
  <c r="G39" i="179"/>
  <c r="E38" i="179"/>
  <c r="G38" i="179"/>
  <c r="E37" i="179"/>
  <c r="G37" i="179"/>
  <c r="C37" i="118"/>
  <c r="E37" i="118"/>
  <c r="G37" i="118"/>
  <c r="E36" i="118"/>
  <c r="G36" i="118"/>
  <c r="S28" i="194"/>
  <c r="T97" i="194"/>
  <c r="Q28" i="194"/>
  <c r="R97" i="194"/>
  <c r="O28" i="194"/>
  <c r="P97" i="194"/>
  <c r="M28" i="194"/>
  <c r="N97" i="194"/>
  <c r="K28" i="194"/>
  <c r="L97" i="194"/>
  <c r="I28" i="194"/>
  <c r="J97" i="194"/>
  <c r="G28" i="194"/>
  <c r="H97" i="194"/>
  <c r="E28" i="194"/>
  <c r="F97" i="194"/>
  <c r="C28" i="194"/>
  <c r="D97" i="194"/>
  <c r="T96" i="194"/>
  <c r="R96" i="194"/>
  <c r="P96" i="194"/>
  <c r="N96" i="194"/>
  <c r="L96" i="194"/>
  <c r="J96" i="194"/>
  <c r="H96" i="194"/>
  <c r="F96" i="194"/>
  <c r="D96" i="194"/>
  <c r="T95" i="194"/>
  <c r="R95" i="194"/>
  <c r="P95" i="194"/>
  <c r="N95" i="194"/>
  <c r="L95" i="194"/>
  <c r="J95" i="194"/>
  <c r="H95" i="194"/>
  <c r="F95" i="194"/>
  <c r="D95" i="194"/>
  <c r="T94" i="194"/>
  <c r="R94" i="194"/>
  <c r="P94" i="194"/>
  <c r="N94" i="194"/>
  <c r="L94" i="194"/>
  <c r="J94" i="194"/>
  <c r="H94" i="194"/>
  <c r="F94" i="194"/>
  <c r="D94" i="194"/>
  <c r="T93" i="194"/>
  <c r="R93" i="194"/>
  <c r="P93" i="194"/>
  <c r="N93" i="194"/>
  <c r="L93" i="194"/>
  <c r="J93" i="194"/>
  <c r="H93" i="194"/>
  <c r="F93" i="194"/>
  <c r="D93" i="194"/>
  <c r="T91" i="194"/>
  <c r="R91" i="194"/>
  <c r="P91" i="194"/>
  <c r="N91" i="194"/>
  <c r="L91" i="194"/>
  <c r="J91" i="194"/>
  <c r="H91" i="194"/>
  <c r="F91" i="194"/>
  <c r="D91" i="194"/>
  <c r="T89" i="194"/>
  <c r="R89" i="194"/>
  <c r="P89" i="194"/>
  <c r="N89" i="194"/>
  <c r="L89" i="194"/>
  <c r="J89" i="194"/>
  <c r="H89" i="194"/>
  <c r="F89" i="194"/>
  <c r="D89" i="194"/>
  <c r="T87" i="194"/>
  <c r="R87" i="194"/>
  <c r="P87" i="194"/>
  <c r="N87" i="194"/>
  <c r="L87" i="194"/>
  <c r="J87" i="194"/>
  <c r="H87" i="194"/>
  <c r="F87" i="194"/>
  <c r="D87" i="194"/>
  <c r="T85" i="194"/>
  <c r="R85" i="194"/>
  <c r="P85" i="194"/>
  <c r="N85" i="194"/>
  <c r="L85" i="194"/>
  <c r="J85" i="194"/>
  <c r="H85" i="194"/>
  <c r="F85" i="194"/>
  <c r="D85" i="194"/>
  <c r="T84" i="194"/>
  <c r="R84" i="194"/>
  <c r="P84" i="194"/>
  <c r="N84" i="194"/>
  <c r="L84" i="194"/>
  <c r="J84" i="194"/>
  <c r="H84" i="194"/>
  <c r="F84" i="194"/>
  <c r="D84" i="194"/>
  <c r="T83" i="194"/>
  <c r="R83" i="194"/>
  <c r="P83" i="194"/>
  <c r="N83" i="194"/>
  <c r="L83" i="194"/>
  <c r="J83" i="194"/>
  <c r="H83" i="194"/>
  <c r="F83" i="194"/>
  <c r="D83" i="194"/>
  <c r="T82" i="194"/>
  <c r="R82" i="194"/>
  <c r="P82" i="194"/>
  <c r="N82" i="194"/>
  <c r="L82" i="194"/>
  <c r="J82" i="194"/>
  <c r="H82" i="194"/>
  <c r="F82" i="194"/>
  <c r="D82" i="194"/>
  <c r="T81" i="194"/>
  <c r="R81" i="194"/>
  <c r="P81" i="194"/>
  <c r="N81" i="194"/>
  <c r="L81" i="194"/>
  <c r="J81" i="194"/>
  <c r="H81" i="194"/>
  <c r="F81" i="194"/>
  <c r="D81" i="194"/>
  <c r="T80" i="194"/>
  <c r="R80" i="194"/>
  <c r="P80" i="194"/>
  <c r="N80" i="194"/>
  <c r="L80" i="194"/>
  <c r="J80" i="194"/>
  <c r="H80" i="194"/>
  <c r="F80" i="194"/>
  <c r="D80" i="194"/>
  <c r="T79" i="194"/>
  <c r="R79" i="194"/>
  <c r="P79" i="194"/>
  <c r="N79" i="194"/>
  <c r="L79" i="194"/>
  <c r="J79" i="194"/>
  <c r="H79" i="194"/>
  <c r="F79" i="194"/>
  <c r="D79" i="194"/>
  <c r="T74" i="194"/>
  <c r="R74" i="194"/>
  <c r="P74" i="194"/>
  <c r="N74" i="194"/>
  <c r="L74" i="194"/>
  <c r="J74" i="194"/>
  <c r="H74" i="194"/>
  <c r="F74" i="194"/>
  <c r="D74" i="194"/>
  <c r="T73" i="194"/>
  <c r="R73" i="194"/>
  <c r="P73" i="194"/>
  <c r="N73" i="194"/>
  <c r="L73" i="194"/>
  <c r="J73" i="194"/>
  <c r="H73" i="194"/>
  <c r="F73" i="194"/>
  <c r="D73" i="194"/>
  <c r="T72" i="194"/>
  <c r="R72" i="194"/>
  <c r="P72" i="194"/>
  <c r="N72" i="194"/>
  <c r="L72" i="194"/>
  <c r="J72" i="194"/>
  <c r="H72" i="194"/>
  <c r="F72" i="194"/>
  <c r="D72" i="194"/>
  <c r="T71" i="194"/>
  <c r="R71" i="194"/>
  <c r="P71" i="194"/>
  <c r="N71" i="194"/>
  <c r="L71" i="194"/>
  <c r="J71" i="194"/>
  <c r="H71" i="194"/>
  <c r="F71" i="194"/>
  <c r="D71" i="194"/>
  <c r="T69" i="194"/>
  <c r="R69" i="194"/>
  <c r="P69" i="194"/>
  <c r="N69" i="194"/>
  <c r="L69" i="194"/>
  <c r="J69" i="194"/>
  <c r="H69" i="194"/>
  <c r="F69" i="194"/>
  <c r="D69" i="194"/>
  <c r="T62" i="194"/>
  <c r="R62" i="194"/>
  <c r="P62" i="194"/>
  <c r="N62" i="194"/>
  <c r="L62" i="194"/>
  <c r="J62" i="194"/>
  <c r="H62" i="194"/>
  <c r="F62" i="194"/>
  <c r="D62" i="194"/>
  <c r="T61" i="194"/>
  <c r="R61" i="194"/>
  <c r="P61" i="194"/>
  <c r="N61" i="194"/>
  <c r="L61" i="194"/>
  <c r="J61" i="194"/>
  <c r="H61" i="194"/>
  <c r="F61" i="194"/>
  <c r="D61" i="194"/>
  <c r="T60" i="194"/>
  <c r="R60" i="194"/>
  <c r="P60" i="194"/>
  <c r="N60" i="194"/>
  <c r="L60" i="194"/>
  <c r="J60" i="194"/>
  <c r="H60" i="194"/>
  <c r="F60" i="194"/>
  <c r="D60" i="194"/>
  <c r="T59" i="194"/>
  <c r="R59" i="194"/>
  <c r="P59" i="194"/>
  <c r="N59" i="194"/>
  <c r="L59" i="194"/>
  <c r="J59" i="194"/>
  <c r="H59" i="194"/>
  <c r="F59" i="194"/>
  <c r="D59" i="194"/>
  <c r="T58" i="194"/>
  <c r="R58" i="194"/>
  <c r="P58" i="194"/>
  <c r="N58" i="194"/>
  <c r="L58" i="194"/>
  <c r="J58" i="194"/>
  <c r="H58" i="194"/>
  <c r="F58" i="194"/>
  <c r="D58" i="194"/>
  <c r="T57" i="194"/>
  <c r="R57" i="194"/>
  <c r="P57" i="194"/>
  <c r="N57" i="194"/>
  <c r="L57" i="194"/>
  <c r="J57" i="194"/>
  <c r="H57" i="194"/>
  <c r="F57" i="194"/>
  <c r="D57" i="194"/>
  <c r="T53" i="194"/>
  <c r="R53" i="194"/>
  <c r="P53" i="194"/>
  <c r="N53" i="194"/>
  <c r="L53" i="194"/>
  <c r="J53" i="194"/>
  <c r="H53" i="194"/>
  <c r="F53" i="194"/>
  <c r="D53" i="194"/>
  <c r="T52" i="194"/>
  <c r="R52" i="194"/>
  <c r="P52" i="194"/>
  <c r="N52" i="194"/>
  <c r="L52" i="194"/>
  <c r="J52" i="194"/>
  <c r="H52" i="194"/>
  <c r="F52" i="194"/>
  <c r="D52" i="194"/>
  <c r="C28" i="193"/>
  <c r="D97" i="193"/>
  <c r="D96" i="193"/>
  <c r="D95" i="193"/>
  <c r="D94" i="193"/>
  <c r="D93" i="193"/>
  <c r="D91" i="193"/>
  <c r="D89" i="193"/>
  <c r="D87" i="193"/>
  <c r="D85" i="193"/>
  <c r="D84" i="193"/>
  <c r="D83" i="193"/>
  <c r="D82" i="193"/>
  <c r="D81" i="193"/>
  <c r="D80" i="193"/>
  <c r="D79" i="193"/>
  <c r="D74" i="193"/>
  <c r="D73" i="193"/>
  <c r="D72" i="193"/>
  <c r="D71" i="193"/>
  <c r="D69" i="193"/>
  <c r="D62" i="193"/>
  <c r="D61" i="193"/>
  <c r="D60" i="193"/>
  <c r="D59" i="193"/>
  <c r="D58" i="193"/>
  <c r="D57" i="193"/>
  <c r="D53" i="193"/>
  <c r="D52" i="193"/>
  <c r="C28" i="189"/>
  <c r="D55" i="189"/>
  <c r="Q28" i="185"/>
  <c r="R55" i="185"/>
  <c r="I28" i="185"/>
  <c r="J55" i="185"/>
  <c r="C28" i="174"/>
  <c r="D55" i="174"/>
  <c r="C28" i="170"/>
  <c r="D55" i="170"/>
  <c r="C28" i="169"/>
  <c r="D55" i="169"/>
  <c r="C28" i="165"/>
  <c r="D55" i="165"/>
  <c r="E28" i="191"/>
  <c r="F97" i="191"/>
  <c r="C28" i="191"/>
  <c r="D97" i="191"/>
  <c r="F96" i="191"/>
  <c r="D96" i="191"/>
  <c r="F95" i="191"/>
  <c r="D95" i="191"/>
  <c r="F94" i="191"/>
  <c r="D94" i="191"/>
  <c r="F93" i="191"/>
  <c r="D93" i="191"/>
  <c r="F91" i="191"/>
  <c r="D91" i="191"/>
  <c r="F89" i="191"/>
  <c r="D89" i="191"/>
  <c r="F87" i="191"/>
  <c r="D87" i="191"/>
  <c r="F85" i="191"/>
  <c r="D85" i="191"/>
  <c r="F84" i="191"/>
  <c r="D84" i="191"/>
  <c r="F83" i="191"/>
  <c r="D83" i="191"/>
  <c r="F82" i="191"/>
  <c r="D82" i="191"/>
  <c r="F81" i="191"/>
  <c r="D81" i="191"/>
  <c r="F80" i="191"/>
  <c r="D80" i="191"/>
  <c r="F79" i="191"/>
  <c r="D79" i="191"/>
  <c r="F74" i="191"/>
  <c r="D74" i="191"/>
  <c r="F73" i="191"/>
  <c r="D73" i="191"/>
  <c r="F72" i="191"/>
  <c r="D72" i="191"/>
  <c r="F71" i="191"/>
  <c r="D71" i="191"/>
  <c r="F69" i="191"/>
  <c r="D69" i="191"/>
  <c r="F62" i="191"/>
  <c r="D62" i="191"/>
  <c r="F61" i="191"/>
  <c r="D61" i="191"/>
  <c r="F60" i="191"/>
  <c r="D60" i="191"/>
  <c r="F59" i="191"/>
  <c r="D59" i="191"/>
  <c r="F58" i="191"/>
  <c r="D58" i="191"/>
  <c r="F57" i="191"/>
  <c r="D57" i="191"/>
  <c r="F53" i="191"/>
  <c r="D53" i="191"/>
  <c r="F52" i="191"/>
  <c r="D52" i="191"/>
  <c r="C28" i="190"/>
  <c r="D97" i="190"/>
  <c r="D96" i="190"/>
  <c r="D95" i="190"/>
  <c r="D94" i="190"/>
  <c r="D93" i="190"/>
  <c r="D91" i="190"/>
  <c r="D89" i="190"/>
  <c r="D87" i="190"/>
  <c r="D85" i="190"/>
  <c r="D84" i="190"/>
  <c r="D83" i="190"/>
  <c r="D82" i="190"/>
  <c r="D81" i="190"/>
  <c r="D80" i="190"/>
  <c r="D79" i="190"/>
  <c r="D74" i="190"/>
  <c r="D73" i="190"/>
  <c r="D72" i="190"/>
  <c r="D71" i="190"/>
  <c r="D69" i="190"/>
  <c r="D62" i="190"/>
  <c r="D61" i="190"/>
  <c r="D60" i="190"/>
  <c r="D59" i="190"/>
  <c r="D58" i="190"/>
  <c r="D57" i="190"/>
  <c r="D53" i="190"/>
  <c r="D52" i="190"/>
  <c r="C28" i="188"/>
  <c r="D97" i="188"/>
  <c r="D96" i="188"/>
  <c r="D95" i="188"/>
  <c r="D94" i="188"/>
  <c r="D93" i="188"/>
  <c r="D91" i="188"/>
  <c r="D89" i="188"/>
  <c r="D87" i="188"/>
  <c r="D85" i="188"/>
  <c r="D84" i="188"/>
  <c r="D83" i="188"/>
  <c r="D82" i="188"/>
  <c r="D81" i="188"/>
  <c r="D80" i="188"/>
  <c r="D79" i="188"/>
  <c r="D74" i="188"/>
  <c r="D73" i="188"/>
  <c r="D72" i="188"/>
  <c r="D71" i="188"/>
  <c r="D69" i="188"/>
  <c r="D62" i="188"/>
  <c r="D61" i="188"/>
  <c r="D60" i="188"/>
  <c r="D59" i="188"/>
  <c r="D58" i="188"/>
  <c r="D57" i="188"/>
  <c r="D53" i="188"/>
  <c r="D52" i="188"/>
  <c r="D97" i="189"/>
  <c r="D96" i="189"/>
  <c r="D95" i="189"/>
  <c r="D94" i="189"/>
  <c r="D93" i="189"/>
  <c r="D91" i="189"/>
  <c r="D89" i="189"/>
  <c r="D87" i="189"/>
  <c r="D85" i="189"/>
  <c r="D84" i="189"/>
  <c r="D83" i="189"/>
  <c r="D82" i="189"/>
  <c r="D81" i="189"/>
  <c r="D80" i="189"/>
  <c r="D79" i="189"/>
  <c r="D74" i="189"/>
  <c r="D73" i="189"/>
  <c r="D72" i="189"/>
  <c r="D71" i="189"/>
  <c r="D69" i="189"/>
  <c r="D62" i="189"/>
  <c r="D61" i="189"/>
  <c r="D60" i="189"/>
  <c r="D59" i="189"/>
  <c r="D58" i="189"/>
  <c r="D57" i="189"/>
  <c r="D53" i="189"/>
  <c r="D52" i="189"/>
  <c r="C28" i="187"/>
  <c r="D97" i="187"/>
  <c r="D96" i="187"/>
  <c r="D95" i="187"/>
  <c r="D94" i="187"/>
  <c r="D93" i="187"/>
  <c r="D91" i="187"/>
  <c r="D89" i="187"/>
  <c r="D87" i="187"/>
  <c r="D85" i="187"/>
  <c r="D84" i="187"/>
  <c r="D83" i="187"/>
  <c r="D82" i="187"/>
  <c r="D81" i="187"/>
  <c r="D80" i="187"/>
  <c r="D79" i="187"/>
  <c r="D74" i="187"/>
  <c r="D73" i="187"/>
  <c r="D72" i="187"/>
  <c r="D71" i="187"/>
  <c r="D69" i="187"/>
  <c r="D62" i="187"/>
  <c r="D61" i="187"/>
  <c r="D60" i="187"/>
  <c r="D59" i="187"/>
  <c r="D58" i="187"/>
  <c r="D57" i="187"/>
  <c r="D55" i="187"/>
  <c r="D53" i="187"/>
  <c r="D52" i="187"/>
  <c r="C28" i="186"/>
  <c r="D97" i="186"/>
  <c r="D96" i="186"/>
  <c r="D95" i="186"/>
  <c r="D94" i="186"/>
  <c r="D93" i="186"/>
  <c r="D91" i="186"/>
  <c r="D89" i="186"/>
  <c r="D87" i="186"/>
  <c r="D85" i="186"/>
  <c r="D84" i="186"/>
  <c r="D83" i="186"/>
  <c r="D82" i="186"/>
  <c r="D81" i="186"/>
  <c r="D80" i="186"/>
  <c r="D79" i="186"/>
  <c r="D74" i="186"/>
  <c r="D73" i="186"/>
  <c r="D72" i="186"/>
  <c r="D71" i="186"/>
  <c r="D69" i="186"/>
  <c r="D62" i="186"/>
  <c r="D61" i="186"/>
  <c r="D60" i="186"/>
  <c r="D59" i="186"/>
  <c r="D58" i="186"/>
  <c r="D57" i="186"/>
  <c r="D53" i="186"/>
  <c r="D52" i="186"/>
  <c r="S28" i="185"/>
  <c r="T97" i="185"/>
  <c r="R97" i="185"/>
  <c r="O28" i="185"/>
  <c r="P97" i="185"/>
  <c r="M28" i="185"/>
  <c r="N97" i="185"/>
  <c r="K28" i="185"/>
  <c r="L97" i="185"/>
  <c r="J97" i="185"/>
  <c r="G28" i="185"/>
  <c r="H97" i="185"/>
  <c r="E28" i="185"/>
  <c r="F97" i="185"/>
  <c r="C28" i="185"/>
  <c r="D97" i="185"/>
  <c r="T96" i="185"/>
  <c r="R96" i="185"/>
  <c r="P96" i="185"/>
  <c r="N96" i="185"/>
  <c r="L96" i="185"/>
  <c r="J96" i="185"/>
  <c r="H96" i="185"/>
  <c r="F96" i="185"/>
  <c r="D96" i="185"/>
  <c r="T95" i="185"/>
  <c r="R95" i="185"/>
  <c r="P95" i="185"/>
  <c r="N95" i="185"/>
  <c r="L95" i="185"/>
  <c r="J95" i="185"/>
  <c r="H95" i="185"/>
  <c r="F95" i="185"/>
  <c r="D95" i="185"/>
  <c r="T94" i="185"/>
  <c r="R94" i="185"/>
  <c r="P94" i="185"/>
  <c r="N94" i="185"/>
  <c r="L94" i="185"/>
  <c r="J94" i="185"/>
  <c r="H94" i="185"/>
  <c r="F94" i="185"/>
  <c r="D94" i="185"/>
  <c r="T93" i="185"/>
  <c r="R93" i="185"/>
  <c r="P93" i="185"/>
  <c r="N93" i="185"/>
  <c r="L93" i="185"/>
  <c r="J93" i="185"/>
  <c r="H93" i="185"/>
  <c r="F93" i="185"/>
  <c r="D93" i="185"/>
  <c r="T91" i="185"/>
  <c r="R91" i="185"/>
  <c r="P91" i="185"/>
  <c r="N91" i="185"/>
  <c r="L91" i="185"/>
  <c r="J91" i="185"/>
  <c r="H91" i="185"/>
  <c r="F91" i="185"/>
  <c r="D91" i="185"/>
  <c r="T89" i="185"/>
  <c r="R89" i="185"/>
  <c r="P89" i="185"/>
  <c r="N89" i="185"/>
  <c r="L89" i="185"/>
  <c r="J89" i="185"/>
  <c r="H89" i="185"/>
  <c r="F89" i="185"/>
  <c r="D89" i="185"/>
  <c r="T87" i="185"/>
  <c r="R87" i="185"/>
  <c r="P87" i="185"/>
  <c r="N87" i="185"/>
  <c r="L87" i="185"/>
  <c r="J87" i="185"/>
  <c r="H87" i="185"/>
  <c r="F87" i="185"/>
  <c r="D87" i="185"/>
  <c r="T85" i="185"/>
  <c r="R85" i="185"/>
  <c r="P85" i="185"/>
  <c r="N85" i="185"/>
  <c r="L85" i="185"/>
  <c r="J85" i="185"/>
  <c r="H85" i="185"/>
  <c r="F85" i="185"/>
  <c r="D85" i="185"/>
  <c r="T84" i="185"/>
  <c r="R84" i="185"/>
  <c r="P84" i="185"/>
  <c r="N84" i="185"/>
  <c r="L84" i="185"/>
  <c r="J84" i="185"/>
  <c r="H84" i="185"/>
  <c r="F84" i="185"/>
  <c r="D84" i="185"/>
  <c r="T83" i="185"/>
  <c r="R83" i="185"/>
  <c r="P83" i="185"/>
  <c r="N83" i="185"/>
  <c r="L83" i="185"/>
  <c r="J83" i="185"/>
  <c r="H83" i="185"/>
  <c r="F83" i="185"/>
  <c r="D83" i="185"/>
  <c r="T82" i="185"/>
  <c r="R82" i="185"/>
  <c r="P82" i="185"/>
  <c r="N82" i="185"/>
  <c r="L82" i="185"/>
  <c r="J82" i="185"/>
  <c r="H82" i="185"/>
  <c r="F82" i="185"/>
  <c r="D82" i="185"/>
  <c r="T81" i="185"/>
  <c r="R81" i="185"/>
  <c r="P81" i="185"/>
  <c r="N81" i="185"/>
  <c r="L81" i="185"/>
  <c r="J81" i="185"/>
  <c r="H81" i="185"/>
  <c r="F81" i="185"/>
  <c r="D81" i="185"/>
  <c r="T80" i="185"/>
  <c r="R80" i="185"/>
  <c r="P80" i="185"/>
  <c r="N80" i="185"/>
  <c r="L80" i="185"/>
  <c r="J80" i="185"/>
  <c r="H80" i="185"/>
  <c r="F80" i="185"/>
  <c r="D80" i="185"/>
  <c r="T79" i="185"/>
  <c r="R79" i="185"/>
  <c r="P79" i="185"/>
  <c r="N79" i="185"/>
  <c r="L79" i="185"/>
  <c r="J79" i="185"/>
  <c r="H79" i="185"/>
  <c r="F79" i="185"/>
  <c r="D79" i="185"/>
  <c r="T74" i="185"/>
  <c r="R74" i="185"/>
  <c r="P74" i="185"/>
  <c r="N74" i="185"/>
  <c r="L74" i="185"/>
  <c r="J74" i="185"/>
  <c r="H74" i="185"/>
  <c r="F74" i="185"/>
  <c r="D74" i="185"/>
  <c r="T73" i="185"/>
  <c r="R73" i="185"/>
  <c r="P73" i="185"/>
  <c r="N73" i="185"/>
  <c r="L73" i="185"/>
  <c r="J73" i="185"/>
  <c r="H73" i="185"/>
  <c r="F73" i="185"/>
  <c r="D73" i="185"/>
  <c r="T72" i="185"/>
  <c r="R72" i="185"/>
  <c r="P72" i="185"/>
  <c r="N72" i="185"/>
  <c r="L72" i="185"/>
  <c r="J72" i="185"/>
  <c r="H72" i="185"/>
  <c r="F72" i="185"/>
  <c r="D72" i="185"/>
  <c r="T71" i="185"/>
  <c r="R71" i="185"/>
  <c r="P71" i="185"/>
  <c r="N71" i="185"/>
  <c r="L71" i="185"/>
  <c r="J71" i="185"/>
  <c r="H71" i="185"/>
  <c r="F71" i="185"/>
  <c r="D71" i="185"/>
  <c r="T69" i="185"/>
  <c r="R69" i="185"/>
  <c r="P69" i="185"/>
  <c r="N69" i="185"/>
  <c r="L69" i="185"/>
  <c r="J69" i="185"/>
  <c r="H69" i="185"/>
  <c r="F69" i="185"/>
  <c r="D69" i="185"/>
  <c r="T62" i="185"/>
  <c r="R62" i="185"/>
  <c r="P62" i="185"/>
  <c r="N62" i="185"/>
  <c r="L62" i="185"/>
  <c r="J62" i="185"/>
  <c r="H62" i="185"/>
  <c r="F62" i="185"/>
  <c r="D62" i="185"/>
  <c r="T61" i="185"/>
  <c r="R61" i="185"/>
  <c r="P61" i="185"/>
  <c r="N61" i="185"/>
  <c r="L61" i="185"/>
  <c r="J61" i="185"/>
  <c r="H61" i="185"/>
  <c r="F61" i="185"/>
  <c r="D61" i="185"/>
  <c r="T60" i="185"/>
  <c r="R60" i="185"/>
  <c r="P60" i="185"/>
  <c r="N60" i="185"/>
  <c r="L60" i="185"/>
  <c r="J60" i="185"/>
  <c r="H60" i="185"/>
  <c r="F60" i="185"/>
  <c r="D60" i="185"/>
  <c r="T59" i="185"/>
  <c r="R59" i="185"/>
  <c r="P59" i="185"/>
  <c r="N59" i="185"/>
  <c r="L59" i="185"/>
  <c r="J59" i="185"/>
  <c r="H59" i="185"/>
  <c r="F59" i="185"/>
  <c r="D59" i="185"/>
  <c r="T58" i="185"/>
  <c r="R58" i="185"/>
  <c r="P58" i="185"/>
  <c r="N58" i="185"/>
  <c r="L58" i="185"/>
  <c r="J58" i="185"/>
  <c r="H58" i="185"/>
  <c r="F58" i="185"/>
  <c r="D58" i="185"/>
  <c r="T57" i="185"/>
  <c r="R57" i="185"/>
  <c r="P57" i="185"/>
  <c r="N57" i="185"/>
  <c r="L57" i="185"/>
  <c r="J57" i="185"/>
  <c r="H57" i="185"/>
  <c r="F57" i="185"/>
  <c r="D57" i="185"/>
  <c r="T55" i="185"/>
  <c r="P55" i="185"/>
  <c r="N55" i="185"/>
  <c r="L55" i="185"/>
  <c r="H55" i="185"/>
  <c r="F55" i="185"/>
  <c r="D55" i="185"/>
  <c r="T53" i="185"/>
  <c r="R53" i="185"/>
  <c r="P53" i="185"/>
  <c r="N53" i="185"/>
  <c r="L53" i="185"/>
  <c r="J53" i="185"/>
  <c r="H53" i="185"/>
  <c r="F53" i="185"/>
  <c r="D53" i="185"/>
  <c r="T52" i="185"/>
  <c r="R52" i="185"/>
  <c r="P52" i="185"/>
  <c r="N52" i="185"/>
  <c r="L52" i="185"/>
  <c r="J52" i="185"/>
  <c r="H52" i="185"/>
  <c r="F52" i="185"/>
  <c r="D52" i="185"/>
  <c r="C28" i="184"/>
  <c r="D97" i="184"/>
  <c r="D96" i="184"/>
  <c r="D95" i="184"/>
  <c r="D94" i="184"/>
  <c r="D93" i="184"/>
  <c r="D91" i="184"/>
  <c r="D89" i="184"/>
  <c r="D87" i="184"/>
  <c r="D85" i="184"/>
  <c r="D84" i="184"/>
  <c r="D83" i="184"/>
  <c r="D82" i="184"/>
  <c r="D81" i="184"/>
  <c r="D80" i="184"/>
  <c r="D79" i="184"/>
  <c r="D74" i="184"/>
  <c r="D73" i="184"/>
  <c r="D72" i="184"/>
  <c r="D71" i="184"/>
  <c r="D69" i="184"/>
  <c r="D62" i="184"/>
  <c r="D61" i="184"/>
  <c r="D60" i="184"/>
  <c r="D59" i="184"/>
  <c r="D58" i="184"/>
  <c r="D57" i="184"/>
  <c r="D55" i="184"/>
  <c r="D53" i="184"/>
  <c r="D52" i="184"/>
  <c r="C28" i="183"/>
  <c r="D97" i="183"/>
  <c r="D96" i="183"/>
  <c r="D95" i="183"/>
  <c r="D94" i="183"/>
  <c r="D93" i="183"/>
  <c r="D91" i="183"/>
  <c r="D89" i="183"/>
  <c r="D87" i="183"/>
  <c r="D85" i="183"/>
  <c r="D84" i="183"/>
  <c r="D83" i="183"/>
  <c r="D82" i="183"/>
  <c r="D81" i="183"/>
  <c r="D80" i="183"/>
  <c r="D79" i="183"/>
  <c r="D74" i="183"/>
  <c r="D73" i="183"/>
  <c r="D72" i="183"/>
  <c r="D71" i="183"/>
  <c r="D69" i="183"/>
  <c r="D62" i="183"/>
  <c r="D61" i="183"/>
  <c r="D60" i="183"/>
  <c r="D59" i="183"/>
  <c r="D58" i="183"/>
  <c r="D57" i="183"/>
  <c r="D53" i="183"/>
  <c r="D52" i="183"/>
  <c r="C28" i="181"/>
  <c r="D97" i="181"/>
  <c r="D96" i="181"/>
  <c r="D95" i="181"/>
  <c r="D94" i="181"/>
  <c r="D93" i="181"/>
  <c r="D91" i="181"/>
  <c r="D89" i="181"/>
  <c r="D87" i="181"/>
  <c r="D85" i="181"/>
  <c r="D84" i="181"/>
  <c r="D83" i="181"/>
  <c r="D82" i="181"/>
  <c r="D81" i="181"/>
  <c r="D80" i="181"/>
  <c r="D79" i="181"/>
  <c r="D74" i="181"/>
  <c r="D73" i="181"/>
  <c r="D72" i="181"/>
  <c r="D71" i="181"/>
  <c r="D69" i="181"/>
  <c r="D62" i="181"/>
  <c r="D61" i="181"/>
  <c r="D60" i="181"/>
  <c r="D59" i="181"/>
  <c r="D58" i="181"/>
  <c r="D57" i="181"/>
  <c r="D53" i="181"/>
  <c r="D52" i="181"/>
  <c r="S28" i="180"/>
  <c r="T97" i="180"/>
  <c r="Q28" i="180"/>
  <c r="R97" i="180"/>
  <c r="O28" i="180"/>
  <c r="P97" i="180"/>
  <c r="M28" i="180"/>
  <c r="N97" i="180"/>
  <c r="K28" i="180"/>
  <c r="L97" i="180"/>
  <c r="I28" i="180"/>
  <c r="J97" i="180"/>
  <c r="G28" i="180"/>
  <c r="H97" i="180"/>
  <c r="E28" i="180"/>
  <c r="F97" i="180"/>
  <c r="C28" i="180"/>
  <c r="D97" i="180"/>
  <c r="T96" i="180"/>
  <c r="R96" i="180"/>
  <c r="P96" i="180"/>
  <c r="N96" i="180"/>
  <c r="L96" i="180"/>
  <c r="J96" i="180"/>
  <c r="H96" i="180"/>
  <c r="F96" i="180"/>
  <c r="D96" i="180"/>
  <c r="T95" i="180"/>
  <c r="R95" i="180"/>
  <c r="P95" i="180"/>
  <c r="N95" i="180"/>
  <c r="L95" i="180"/>
  <c r="J95" i="180"/>
  <c r="H95" i="180"/>
  <c r="F95" i="180"/>
  <c r="D95" i="180"/>
  <c r="T94" i="180"/>
  <c r="R94" i="180"/>
  <c r="P94" i="180"/>
  <c r="N94" i="180"/>
  <c r="L94" i="180"/>
  <c r="J94" i="180"/>
  <c r="H94" i="180"/>
  <c r="F94" i="180"/>
  <c r="D94" i="180"/>
  <c r="T93" i="180"/>
  <c r="R93" i="180"/>
  <c r="P93" i="180"/>
  <c r="N93" i="180"/>
  <c r="L93" i="180"/>
  <c r="J93" i="180"/>
  <c r="H93" i="180"/>
  <c r="F93" i="180"/>
  <c r="D93" i="180"/>
  <c r="T91" i="180"/>
  <c r="R91" i="180"/>
  <c r="P91" i="180"/>
  <c r="N91" i="180"/>
  <c r="L91" i="180"/>
  <c r="J91" i="180"/>
  <c r="H91" i="180"/>
  <c r="F91" i="180"/>
  <c r="D91" i="180"/>
  <c r="T89" i="180"/>
  <c r="R89" i="180"/>
  <c r="P89" i="180"/>
  <c r="N89" i="180"/>
  <c r="L89" i="180"/>
  <c r="J89" i="180"/>
  <c r="H89" i="180"/>
  <c r="F89" i="180"/>
  <c r="D89" i="180"/>
  <c r="T87" i="180"/>
  <c r="R87" i="180"/>
  <c r="P87" i="180"/>
  <c r="N87" i="180"/>
  <c r="L87" i="180"/>
  <c r="J87" i="180"/>
  <c r="H87" i="180"/>
  <c r="F87" i="180"/>
  <c r="D87" i="180"/>
  <c r="T85" i="180"/>
  <c r="R85" i="180"/>
  <c r="P85" i="180"/>
  <c r="N85" i="180"/>
  <c r="L85" i="180"/>
  <c r="J85" i="180"/>
  <c r="H85" i="180"/>
  <c r="F85" i="180"/>
  <c r="D85" i="180"/>
  <c r="T84" i="180"/>
  <c r="R84" i="180"/>
  <c r="P84" i="180"/>
  <c r="N84" i="180"/>
  <c r="L84" i="180"/>
  <c r="J84" i="180"/>
  <c r="H84" i="180"/>
  <c r="F84" i="180"/>
  <c r="D84" i="180"/>
  <c r="T83" i="180"/>
  <c r="R83" i="180"/>
  <c r="P83" i="180"/>
  <c r="N83" i="180"/>
  <c r="L83" i="180"/>
  <c r="J83" i="180"/>
  <c r="H83" i="180"/>
  <c r="F83" i="180"/>
  <c r="D83" i="180"/>
  <c r="T82" i="180"/>
  <c r="R82" i="180"/>
  <c r="P82" i="180"/>
  <c r="N82" i="180"/>
  <c r="L82" i="180"/>
  <c r="J82" i="180"/>
  <c r="H82" i="180"/>
  <c r="F82" i="180"/>
  <c r="D82" i="180"/>
  <c r="T81" i="180"/>
  <c r="R81" i="180"/>
  <c r="P81" i="180"/>
  <c r="N81" i="180"/>
  <c r="L81" i="180"/>
  <c r="J81" i="180"/>
  <c r="H81" i="180"/>
  <c r="F81" i="180"/>
  <c r="D81" i="180"/>
  <c r="T80" i="180"/>
  <c r="R80" i="180"/>
  <c r="P80" i="180"/>
  <c r="N80" i="180"/>
  <c r="L80" i="180"/>
  <c r="J80" i="180"/>
  <c r="H80" i="180"/>
  <c r="F80" i="180"/>
  <c r="D80" i="180"/>
  <c r="T79" i="180"/>
  <c r="R79" i="180"/>
  <c r="P79" i="180"/>
  <c r="N79" i="180"/>
  <c r="L79" i="180"/>
  <c r="J79" i="180"/>
  <c r="H79" i="180"/>
  <c r="F79" i="180"/>
  <c r="D79" i="180"/>
  <c r="T74" i="180"/>
  <c r="R74" i="180"/>
  <c r="P74" i="180"/>
  <c r="N74" i="180"/>
  <c r="L74" i="180"/>
  <c r="J74" i="180"/>
  <c r="H74" i="180"/>
  <c r="F74" i="180"/>
  <c r="D74" i="180"/>
  <c r="T73" i="180"/>
  <c r="R73" i="180"/>
  <c r="P73" i="180"/>
  <c r="N73" i="180"/>
  <c r="L73" i="180"/>
  <c r="J73" i="180"/>
  <c r="H73" i="180"/>
  <c r="F73" i="180"/>
  <c r="D73" i="180"/>
  <c r="T72" i="180"/>
  <c r="R72" i="180"/>
  <c r="P72" i="180"/>
  <c r="N72" i="180"/>
  <c r="L72" i="180"/>
  <c r="J72" i="180"/>
  <c r="H72" i="180"/>
  <c r="F72" i="180"/>
  <c r="D72" i="180"/>
  <c r="T71" i="180"/>
  <c r="R71" i="180"/>
  <c r="P71" i="180"/>
  <c r="N71" i="180"/>
  <c r="L71" i="180"/>
  <c r="J71" i="180"/>
  <c r="H71" i="180"/>
  <c r="F71" i="180"/>
  <c r="D71" i="180"/>
  <c r="T69" i="180"/>
  <c r="R69" i="180"/>
  <c r="P69" i="180"/>
  <c r="N69" i="180"/>
  <c r="L69" i="180"/>
  <c r="J69" i="180"/>
  <c r="H69" i="180"/>
  <c r="F69" i="180"/>
  <c r="D69" i="180"/>
  <c r="T62" i="180"/>
  <c r="R62" i="180"/>
  <c r="P62" i="180"/>
  <c r="N62" i="180"/>
  <c r="L62" i="180"/>
  <c r="J62" i="180"/>
  <c r="H62" i="180"/>
  <c r="F62" i="180"/>
  <c r="D62" i="180"/>
  <c r="T61" i="180"/>
  <c r="R61" i="180"/>
  <c r="P61" i="180"/>
  <c r="N61" i="180"/>
  <c r="L61" i="180"/>
  <c r="J61" i="180"/>
  <c r="H61" i="180"/>
  <c r="F61" i="180"/>
  <c r="D61" i="180"/>
  <c r="T60" i="180"/>
  <c r="R60" i="180"/>
  <c r="P60" i="180"/>
  <c r="N60" i="180"/>
  <c r="L60" i="180"/>
  <c r="J60" i="180"/>
  <c r="H60" i="180"/>
  <c r="F60" i="180"/>
  <c r="D60" i="180"/>
  <c r="T59" i="180"/>
  <c r="R59" i="180"/>
  <c r="P59" i="180"/>
  <c r="N59" i="180"/>
  <c r="L59" i="180"/>
  <c r="J59" i="180"/>
  <c r="H59" i="180"/>
  <c r="F59" i="180"/>
  <c r="D59" i="180"/>
  <c r="T58" i="180"/>
  <c r="R58" i="180"/>
  <c r="P58" i="180"/>
  <c r="N58" i="180"/>
  <c r="L58" i="180"/>
  <c r="J58" i="180"/>
  <c r="H58" i="180"/>
  <c r="F58" i="180"/>
  <c r="D58" i="180"/>
  <c r="T57" i="180"/>
  <c r="R57" i="180"/>
  <c r="P57" i="180"/>
  <c r="N57" i="180"/>
  <c r="L57" i="180"/>
  <c r="J57" i="180"/>
  <c r="H57" i="180"/>
  <c r="F57" i="180"/>
  <c r="D57" i="180"/>
  <c r="D55" i="180"/>
  <c r="T53" i="180"/>
  <c r="R53" i="180"/>
  <c r="P53" i="180"/>
  <c r="N53" i="180"/>
  <c r="L53" i="180"/>
  <c r="J53" i="180"/>
  <c r="H53" i="180"/>
  <c r="F53" i="180"/>
  <c r="D53" i="180"/>
  <c r="T52" i="180"/>
  <c r="R52" i="180"/>
  <c r="P52" i="180"/>
  <c r="N52" i="180"/>
  <c r="L52" i="180"/>
  <c r="J52" i="180"/>
  <c r="H52" i="180"/>
  <c r="F52" i="180"/>
  <c r="D52" i="180"/>
  <c r="C28" i="179"/>
  <c r="D97" i="179"/>
  <c r="D96" i="179"/>
  <c r="D95" i="179"/>
  <c r="D94" i="179"/>
  <c r="D93" i="179"/>
  <c r="D91" i="179"/>
  <c r="D89" i="179"/>
  <c r="D87" i="179"/>
  <c r="D85" i="179"/>
  <c r="D84" i="179"/>
  <c r="D83" i="179"/>
  <c r="D82" i="179"/>
  <c r="D81" i="179"/>
  <c r="D80" i="179"/>
  <c r="D79" i="179"/>
  <c r="D74" i="179"/>
  <c r="D73" i="179"/>
  <c r="D72" i="179"/>
  <c r="D71" i="179"/>
  <c r="D69" i="179"/>
  <c r="D62" i="179"/>
  <c r="D61" i="179"/>
  <c r="D60" i="179"/>
  <c r="D59" i="179"/>
  <c r="D58" i="179"/>
  <c r="D57" i="179"/>
  <c r="D55" i="179"/>
  <c r="D53" i="179"/>
  <c r="D52" i="179"/>
  <c r="D97" i="178"/>
  <c r="D96" i="178"/>
  <c r="D95" i="178"/>
  <c r="D94" i="178"/>
  <c r="D93" i="178"/>
  <c r="D91" i="178"/>
  <c r="D89" i="178"/>
  <c r="D87" i="178"/>
  <c r="D85" i="178"/>
  <c r="D84" i="178"/>
  <c r="D83" i="178"/>
  <c r="D82" i="178"/>
  <c r="D81" i="178"/>
  <c r="D80" i="178"/>
  <c r="D79" i="178"/>
  <c r="D74" i="178"/>
  <c r="D73" i="178"/>
  <c r="D72" i="178"/>
  <c r="D71" i="178"/>
  <c r="D69" i="178"/>
  <c r="D62" i="178"/>
  <c r="D61" i="178"/>
  <c r="D60" i="178"/>
  <c r="D59" i="178"/>
  <c r="D58" i="178"/>
  <c r="D57" i="178"/>
  <c r="D53" i="178"/>
  <c r="D52" i="178"/>
  <c r="S28" i="176"/>
  <c r="T97" i="176"/>
  <c r="Q28" i="176"/>
  <c r="R97" i="176"/>
  <c r="O28" i="176"/>
  <c r="P97" i="176"/>
  <c r="M28" i="176"/>
  <c r="N97" i="176"/>
  <c r="K28" i="176"/>
  <c r="L97" i="176"/>
  <c r="I28" i="176"/>
  <c r="J97" i="176"/>
  <c r="G28" i="176"/>
  <c r="H97" i="176"/>
  <c r="C28" i="176"/>
  <c r="D97" i="176"/>
  <c r="T96" i="176"/>
  <c r="R96" i="176"/>
  <c r="P96" i="176"/>
  <c r="N96" i="176"/>
  <c r="L96" i="176"/>
  <c r="J96" i="176"/>
  <c r="H96" i="176"/>
  <c r="D96" i="176"/>
  <c r="T95" i="176"/>
  <c r="R95" i="176"/>
  <c r="P95" i="176"/>
  <c r="N95" i="176"/>
  <c r="L95" i="176"/>
  <c r="J95" i="176"/>
  <c r="H95" i="176"/>
  <c r="D95" i="176"/>
  <c r="T94" i="176"/>
  <c r="R94" i="176"/>
  <c r="P94" i="176"/>
  <c r="N94" i="176"/>
  <c r="L94" i="176"/>
  <c r="J94" i="176"/>
  <c r="H94" i="176"/>
  <c r="D94" i="176"/>
  <c r="T93" i="176"/>
  <c r="R93" i="176"/>
  <c r="P93" i="176"/>
  <c r="N93" i="176"/>
  <c r="L93" i="176"/>
  <c r="J93" i="176"/>
  <c r="H93" i="176"/>
  <c r="D93" i="176"/>
  <c r="T91" i="176"/>
  <c r="R91" i="176"/>
  <c r="P91" i="176"/>
  <c r="N91" i="176"/>
  <c r="L91" i="176"/>
  <c r="J91" i="176"/>
  <c r="H91" i="176"/>
  <c r="D91" i="176"/>
  <c r="T89" i="176"/>
  <c r="R89" i="176"/>
  <c r="P89" i="176"/>
  <c r="N89" i="176"/>
  <c r="L89" i="176"/>
  <c r="J89" i="176"/>
  <c r="H89" i="176"/>
  <c r="D89" i="176"/>
  <c r="T87" i="176"/>
  <c r="R87" i="176"/>
  <c r="P87" i="176"/>
  <c r="N87" i="176"/>
  <c r="L87" i="176"/>
  <c r="J87" i="176"/>
  <c r="H87" i="176"/>
  <c r="D87" i="176"/>
  <c r="T85" i="176"/>
  <c r="R85" i="176"/>
  <c r="P85" i="176"/>
  <c r="N85" i="176"/>
  <c r="L85" i="176"/>
  <c r="J85" i="176"/>
  <c r="H85" i="176"/>
  <c r="D85" i="176"/>
  <c r="T84" i="176"/>
  <c r="R84" i="176"/>
  <c r="P84" i="176"/>
  <c r="N84" i="176"/>
  <c r="L84" i="176"/>
  <c r="J84" i="176"/>
  <c r="H84" i="176"/>
  <c r="D84" i="176"/>
  <c r="T83" i="176"/>
  <c r="R83" i="176"/>
  <c r="P83" i="176"/>
  <c r="N83" i="176"/>
  <c r="L83" i="176"/>
  <c r="J83" i="176"/>
  <c r="H83" i="176"/>
  <c r="D83" i="176"/>
  <c r="T82" i="176"/>
  <c r="R82" i="176"/>
  <c r="P82" i="176"/>
  <c r="N82" i="176"/>
  <c r="L82" i="176"/>
  <c r="J82" i="176"/>
  <c r="H82" i="176"/>
  <c r="D82" i="176"/>
  <c r="T81" i="176"/>
  <c r="R81" i="176"/>
  <c r="P81" i="176"/>
  <c r="N81" i="176"/>
  <c r="L81" i="176"/>
  <c r="J81" i="176"/>
  <c r="H81" i="176"/>
  <c r="D81" i="176"/>
  <c r="T80" i="176"/>
  <c r="R80" i="176"/>
  <c r="P80" i="176"/>
  <c r="N80" i="176"/>
  <c r="L80" i="176"/>
  <c r="J80" i="176"/>
  <c r="H80" i="176"/>
  <c r="D80" i="176"/>
  <c r="T79" i="176"/>
  <c r="R79" i="176"/>
  <c r="P79" i="176"/>
  <c r="N79" i="176"/>
  <c r="L79" i="176"/>
  <c r="J79" i="176"/>
  <c r="H79" i="176"/>
  <c r="D79" i="176"/>
  <c r="T74" i="176"/>
  <c r="R74" i="176"/>
  <c r="P74" i="176"/>
  <c r="N74" i="176"/>
  <c r="L74" i="176"/>
  <c r="J74" i="176"/>
  <c r="H74" i="176"/>
  <c r="D74" i="176"/>
  <c r="T73" i="176"/>
  <c r="R73" i="176"/>
  <c r="P73" i="176"/>
  <c r="N73" i="176"/>
  <c r="L73" i="176"/>
  <c r="J73" i="176"/>
  <c r="H73" i="176"/>
  <c r="D73" i="176"/>
  <c r="T72" i="176"/>
  <c r="R72" i="176"/>
  <c r="P72" i="176"/>
  <c r="N72" i="176"/>
  <c r="L72" i="176"/>
  <c r="J72" i="176"/>
  <c r="H72" i="176"/>
  <c r="D72" i="176"/>
  <c r="T71" i="176"/>
  <c r="R71" i="176"/>
  <c r="P71" i="176"/>
  <c r="N71" i="176"/>
  <c r="L71" i="176"/>
  <c r="J71" i="176"/>
  <c r="H71" i="176"/>
  <c r="D71" i="176"/>
  <c r="T69" i="176"/>
  <c r="R69" i="176"/>
  <c r="P69" i="176"/>
  <c r="N69" i="176"/>
  <c r="L69" i="176"/>
  <c r="J69" i="176"/>
  <c r="H69" i="176"/>
  <c r="D69" i="176"/>
  <c r="T62" i="176"/>
  <c r="R62" i="176"/>
  <c r="P62" i="176"/>
  <c r="N62" i="176"/>
  <c r="L62" i="176"/>
  <c r="J62" i="176"/>
  <c r="H62" i="176"/>
  <c r="D62" i="176"/>
  <c r="T61" i="176"/>
  <c r="R61" i="176"/>
  <c r="P61" i="176"/>
  <c r="N61" i="176"/>
  <c r="L61" i="176"/>
  <c r="J61" i="176"/>
  <c r="H61" i="176"/>
  <c r="D61" i="176"/>
  <c r="T60" i="176"/>
  <c r="R60" i="176"/>
  <c r="P60" i="176"/>
  <c r="N60" i="176"/>
  <c r="L60" i="176"/>
  <c r="J60" i="176"/>
  <c r="H60" i="176"/>
  <c r="D60" i="176"/>
  <c r="T59" i="176"/>
  <c r="R59" i="176"/>
  <c r="P59" i="176"/>
  <c r="N59" i="176"/>
  <c r="L59" i="176"/>
  <c r="J59" i="176"/>
  <c r="H59" i="176"/>
  <c r="D59" i="176"/>
  <c r="T58" i="176"/>
  <c r="R58" i="176"/>
  <c r="P58" i="176"/>
  <c r="N58" i="176"/>
  <c r="L58" i="176"/>
  <c r="J58" i="176"/>
  <c r="H58" i="176"/>
  <c r="D58" i="176"/>
  <c r="T57" i="176"/>
  <c r="R57" i="176"/>
  <c r="P57" i="176"/>
  <c r="N57" i="176"/>
  <c r="L57" i="176"/>
  <c r="J57" i="176"/>
  <c r="H57" i="176"/>
  <c r="D57" i="176"/>
  <c r="D55" i="176"/>
  <c r="T53" i="176"/>
  <c r="R53" i="176"/>
  <c r="P53" i="176"/>
  <c r="N53" i="176"/>
  <c r="L53" i="176"/>
  <c r="J53" i="176"/>
  <c r="H53" i="176"/>
  <c r="D53" i="176"/>
  <c r="T52" i="176"/>
  <c r="R52" i="176"/>
  <c r="P52" i="176"/>
  <c r="N52" i="176"/>
  <c r="L52" i="176"/>
  <c r="J52" i="176"/>
  <c r="H52" i="176"/>
  <c r="D52" i="176"/>
  <c r="C28" i="175"/>
  <c r="D97" i="175"/>
  <c r="D96" i="175"/>
  <c r="D95" i="175"/>
  <c r="D94" i="175"/>
  <c r="D93" i="175"/>
  <c r="D91" i="175"/>
  <c r="D89" i="175"/>
  <c r="D87" i="175"/>
  <c r="D85" i="175"/>
  <c r="D84" i="175"/>
  <c r="D83" i="175"/>
  <c r="D82" i="175"/>
  <c r="D81" i="175"/>
  <c r="D80" i="175"/>
  <c r="D79" i="175"/>
  <c r="D74" i="175"/>
  <c r="D73" i="175"/>
  <c r="D72" i="175"/>
  <c r="D71" i="175"/>
  <c r="D69" i="175"/>
  <c r="D62" i="175"/>
  <c r="D61" i="175"/>
  <c r="D60" i="175"/>
  <c r="D59" i="175"/>
  <c r="D58" i="175"/>
  <c r="D57" i="175"/>
  <c r="D55" i="175"/>
  <c r="D53" i="175"/>
  <c r="D52" i="175"/>
  <c r="D97" i="174"/>
  <c r="D96" i="174"/>
  <c r="D95" i="174"/>
  <c r="D94" i="174"/>
  <c r="D93" i="174"/>
  <c r="D91" i="174"/>
  <c r="D89" i="174"/>
  <c r="D87" i="174"/>
  <c r="D85" i="174"/>
  <c r="D84" i="174"/>
  <c r="D83" i="174"/>
  <c r="D82" i="174"/>
  <c r="D81" i="174"/>
  <c r="D80" i="174"/>
  <c r="D79" i="174"/>
  <c r="D74" i="174"/>
  <c r="D73" i="174"/>
  <c r="D72" i="174"/>
  <c r="D71" i="174"/>
  <c r="D69" i="174"/>
  <c r="D62" i="174"/>
  <c r="D61" i="174"/>
  <c r="D60" i="174"/>
  <c r="D59" i="174"/>
  <c r="D58" i="174"/>
  <c r="D57" i="174"/>
  <c r="D53" i="174"/>
  <c r="D52" i="174"/>
  <c r="D97" i="173"/>
  <c r="D96" i="173"/>
  <c r="D95" i="173"/>
  <c r="D94" i="173"/>
  <c r="D93" i="173"/>
  <c r="D91" i="173"/>
  <c r="D89" i="173"/>
  <c r="D87" i="173"/>
  <c r="D85" i="173"/>
  <c r="D84" i="173"/>
  <c r="D83" i="173"/>
  <c r="D82" i="173"/>
  <c r="D81" i="173"/>
  <c r="D80" i="173"/>
  <c r="D79" i="173"/>
  <c r="D74" i="173"/>
  <c r="D73" i="173"/>
  <c r="D72" i="173"/>
  <c r="D71" i="173"/>
  <c r="D69" i="173"/>
  <c r="D62" i="173"/>
  <c r="D61" i="173"/>
  <c r="D60" i="173"/>
  <c r="D59" i="173"/>
  <c r="D58" i="173"/>
  <c r="D57" i="173"/>
  <c r="D53" i="173"/>
  <c r="D52" i="173"/>
  <c r="C28" i="172"/>
  <c r="D97" i="172"/>
  <c r="D96" i="172"/>
  <c r="D95" i="172"/>
  <c r="D94" i="172"/>
  <c r="D93" i="172"/>
  <c r="D91" i="172"/>
  <c r="D89" i="172"/>
  <c r="D87" i="172"/>
  <c r="D85" i="172"/>
  <c r="D84" i="172"/>
  <c r="D83" i="172"/>
  <c r="D82" i="172"/>
  <c r="D81" i="172"/>
  <c r="D80" i="172"/>
  <c r="D79" i="172"/>
  <c r="D74" i="172"/>
  <c r="D73" i="172"/>
  <c r="D72" i="172"/>
  <c r="D71" i="172"/>
  <c r="D69" i="172"/>
  <c r="D62" i="172"/>
  <c r="D61" i="172"/>
  <c r="D60" i="172"/>
  <c r="D59" i="172"/>
  <c r="D58" i="172"/>
  <c r="D57" i="172"/>
  <c r="D55" i="172"/>
  <c r="D53" i="172"/>
  <c r="D52" i="172"/>
  <c r="S28" i="170"/>
  <c r="T97" i="170"/>
  <c r="Q28" i="170"/>
  <c r="R97" i="170"/>
  <c r="O28" i="170"/>
  <c r="P97" i="170"/>
  <c r="M28" i="170"/>
  <c r="N97" i="170"/>
  <c r="K28" i="170"/>
  <c r="L97" i="170"/>
  <c r="I28" i="170"/>
  <c r="J97" i="170"/>
  <c r="G28" i="170"/>
  <c r="H97" i="170"/>
  <c r="E28" i="170"/>
  <c r="F97" i="170"/>
  <c r="D97" i="170"/>
  <c r="T96" i="170"/>
  <c r="R96" i="170"/>
  <c r="P96" i="170"/>
  <c r="N96" i="170"/>
  <c r="L96" i="170"/>
  <c r="J96" i="170"/>
  <c r="H96" i="170"/>
  <c r="F96" i="170"/>
  <c r="D96" i="170"/>
  <c r="T95" i="170"/>
  <c r="R95" i="170"/>
  <c r="P95" i="170"/>
  <c r="N95" i="170"/>
  <c r="L95" i="170"/>
  <c r="J95" i="170"/>
  <c r="H95" i="170"/>
  <c r="F95" i="170"/>
  <c r="D95" i="170"/>
  <c r="T94" i="170"/>
  <c r="R94" i="170"/>
  <c r="P94" i="170"/>
  <c r="N94" i="170"/>
  <c r="L94" i="170"/>
  <c r="J94" i="170"/>
  <c r="H94" i="170"/>
  <c r="F94" i="170"/>
  <c r="D94" i="170"/>
  <c r="T93" i="170"/>
  <c r="R93" i="170"/>
  <c r="P93" i="170"/>
  <c r="N93" i="170"/>
  <c r="L93" i="170"/>
  <c r="J93" i="170"/>
  <c r="H93" i="170"/>
  <c r="F93" i="170"/>
  <c r="D93" i="170"/>
  <c r="T91" i="170"/>
  <c r="R91" i="170"/>
  <c r="P91" i="170"/>
  <c r="N91" i="170"/>
  <c r="L91" i="170"/>
  <c r="J91" i="170"/>
  <c r="H91" i="170"/>
  <c r="F91" i="170"/>
  <c r="D91" i="170"/>
  <c r="T89" i="170"/>
  <c r="R89" i="170"/>
  <c r="P89" i="170"/>
  <c r="N89" i="170"/>
  <c r="L89" i="170"/>
  <c r="J89" i="170"/>
  <c r="H89" i="170"/>
  <c r="F89" i="170"/>
  <c r="D89" i="170"/>
  <c r="T87" i="170"/>
  <c r="R87" i="170"/>
  <c r="P87" i="170"/>
  <c r="N87" i="170"/>
  <c r="L87" i="170"/>
  <c r="J87" i="170"/>
  <c r="H87" i="170"/>
  <c r="F87" i="170"/>
  <c r="D87" i="170"/>
  <c r="T85" i="170"/>
  <c r="R85" i="170"/>
  <c r="P85" i="170"/>
  <c r="N85" i="170"/>
  <c r="L85" i="170"/>
  <c r="J85" i="170"/>
  <c r="H85" i="170"/>
  <c r="F85" i="170"/>
  <c r="D85" i="170"/>
  <c r="T84" i="170"/>
  <c r="R84" i="170"/>
  <c r="P84" i="170"/>
  <c r="N84" i="170"/>
  <c r="L84" i="170"/>
  <c r="J84" i="170"/>
  <c r="H84" i="170"/>
  <c r="F84" i="170"/>
  <c r="D84" i="170"/>
  <c r="T83" i="170"/>
  <c r="R83" i="170"/>
  <c r="P83" i="170"/>
  <c r="N83" i="170"/>
  <c r="L83" i="170"/>
  <c r="J83" i="170"/>
  <c r="H83" i="170"/>
  <c r="F83" i="170"/>
  <c r="D83" i="170"/>
  <c r="T82" i="170"/>
  <c r="R82" i="170"/>
  <c r="P82" i="170"/>
  <c r="N82" i="170"/>
  <c r="L82" i="170"/>
  <c r="J82" i="170"/>
  <c r="H82" i="170"/>
  <c r="F82" i="170"/>
  <c r="D82" i="170"/>
  <c r="T81" i="170"/>
  <c r="R81" i="170"/>
  <c r="P81" i="170"/>
  <c r="N81" i="170"/>
  <c r="L81" i="170"/>
  <c r="J81" i="170"/>
  <c r="H81" i="170"/>
  <c r="F81" i="170"/>
  <c r="D81" i="170"/>
  <c r="T80" i="170"/>
  <c r="R80" i="170"/>
  <c r="P80" i="170"/>
  <c r="N80" i="170"/>
  <c r="L80" i="170"/>
  <c r="J80" i="170"/>
  <c r="H80" i="170"/>
  <c r="F80" i="170"/>
  <c r="D80" i="170"/>
  <c r="T79" i="170"/>
  <c r="R79" i="170"/>
  <c r="P79" i="170"/>
  <c r="N79" i="170"/>
  <c r="L79" i="170"/>
  <c r="J79" i="170"/>
  <c r="H79" i="170"/>
  <c r="F79" i="170"/>
  <c r="D79" i="170"/>
  <c r="T74" i="170"/>
  <c r="R74" i="170"/>
  <c r="P74" i="170"/>
  <c r="N74" i="170"/>
  <c r="L74" i="170"/>
  <c r="J74" i="170"/>
  <c r="H74" i="170"/>
  <c r="F74" i="170"/>
  <c r="D74" i="170"/>
  <c r="T73" i="170"/>
  <c r="R73" i="170"/>
  <c r="P73" i="170"/>
  <c r="N73" i="170"/>
  <c r="L73" i="170"/>
  <c r="J73" i="170"/>
  <c r="H73" i="170"/>
  <c r="F73" i="170"/>
  <c r="D73" i="170"/>
  <c r="T72" i="170"/>
  <c r="R72" i="170"/>
  <c r="P72" i="170"/>
  <c r="N72" i="170"/>
  <c r="L72" i="170"/>
  <c r="J72" i="170"/>
  <c r="H72" i="170"/>
  <c r="F72" i="170"/>
  <c r="D72" i="170"/>
  <c r="T71" i="170"/>
  <c r="R71" i="170"/>
  <c r="P71" i="170"/>
  <c r="N71" i="170"/>
  <c r="L71" i="170"/>
  <c r="J71" i="170"/>
  <c r="H71" i="170"/>
  <c r="F71" i="170"/>
  <c r="D71" i="170"/>
  <c r="T69" i="170"/>
  <c r="R69" i="170"/>
  <c r="P69" i="170"/>
  <c r="N69" i="170"/>
  <c r="L69" i="170"/>
  <c r="J69" i="170"/>
  <c r="H69" i="170"/>
  <c r="F69" i="170"/>
  <c r="D69" i="170"/>
  <c r="T62" i="170"/>
  <c r="R62" i="170"/>
  <c r="P62" i="170"/>
  <c r="N62" i="170"/>
  <c r="L62" i="170"/>
  <c r="J62" i="170"/>
  <c r="H62" i="170"/>
  <c r="F62" i="170"/>
  <c r="D62" i="170"/>
  <c r="T61" i="170"/>
  <c r="R61" i="170"/>
  <c r="P61" i="170"/>
  <c r="N61" i="170"/>
  <c r="L61" i="170"/>
  <c r="J61" i="170"/>
  <c r="H61" i="170"/>
  <c r="F61" i="170"/>
  <c r="D61" i="170"/>
  <c r="T60" i="170"/>
  <c r="R60" i="170"/>
  <c r="P60" i="170"/>
  <c r="N60" i="170"/>
  <c r="L60" i="170"/>
  <c r="J60" i="170"/>
  <c r="H60" i="170"/>
  <c r="F60" i="170"/>
  <c r="D60" i="170"/>
  <c r="T59" i="170"/>
  <c r="R59" i="170"/>
  <c r="P59" i="170"/>
  <c r="N59" i="170"/>
  <c r="L59" i="170"/>
  <c r="J59" i="170"/>
  <c r="H59" i="170"/>
  <c r="F59" i="170"/>
  <c r="D59" i="170"/>
  <c r="T58" i="170"/>
  <c r="R58" i="170"/>
  <c r="P58" i="170"/>
  <c r="N58" i="170"/>
  <c r="L58" i="170"/>
  <c r="J58" i="170"/>
  <c r="H58" i="170"/>
  <c r="F58" i="170"/>
  <c r="D58" i="170"/>
  <c r="T57" i="170"/>
  <c r="R57" i="170"/>
  <c r="P57" i="170"/>
  <c r="N57" i="170"/>
  <c r="L57" i="170"/>
  <c r="J57" i="170"/>
  <c r="H57" i="170"/>
  <c r="F57" i="170"/>
  <c r="D57" i="170"/>
  <c r="T53" i="170"/>
  <c r="R53" i="170"/>
  <c r="P53" i="170"/>
  <c r="N53" i="170"/>
  <c r="L53" i="170"/>
  <c r="J53" i="170"/>
  <c r="H53" i="170"/>
  <c r="F53" i="170"/>
  <c r="D53" i="170"/>
  <c r="T52" i="170"/>
  <c r="R52" i="170"/>
  <c r="P52" i="170"/>
  <c r="N52" i="170"/>
  <c r="L52" i="170"/>
  <c r="J52" i="170"/>
  <c r="H52" i="170"/>
  <c r="F52" i="170"/>
  <c r="D52" i="170"/>
  <c r="D97" i="169"/>
  <c r="D96" i="169"/>
  <c r="D95" i="169"/>
  <c r="D94" i="169"/>
  <c r="D93" i="169"/>
  <c r="D91" i="169"/>
  <c r="D89" i="169"/>
  <c r="D87" i="169"/>
  <c r="D85" i="169"/>
  <c r="D84" i="169"/>
  <c r="D83" i="169"/>
  <c r="D82" i="169"/>
  <c r="D81" i="169"/>
  <c r="D80" i="169"/>
  <c r="D79" i="169"/>
  <c r="D74" i="169"/>
  <c r="D73" i="169"/>
  <c r="D72" i="169"/>
  <c r="D71" i="169"/>
  <c r="D69" i="169"/>
  <c r="D62" i="169"/>
  <c r="D61" i="169"/>
  <c r="D60" i="169"/>
  <c r="D59" i="169"/>
  <c r="D58" i="169"/>
  <c r="D57" i="169"/>
  <c r="D53" i="169"/>
  <c r="D52" i="169"/>
  <c r="C28" i="168"/>
  <c r="D97" i="168"/>
  <c r="D96" i="168"/>
  <c r="D95" i="168"/>
  <c r="D94" i="168"/>
  <c r="D93" i="168"/>
  <c r="D91" i="168"/>
  <c r="D89" i="168"/>
  <c r="D87" i="168"/>
  <c r="D85" i="168"/>
  <c r="D84" i="168"/>
  <c r="D83" i="168"/>
  <c r="D82" i="168"/>
  <c r="D81" i="168"/>
  <c r="D80" i="168"/>
  <c r="D79" i="168"/>
  <c r="D74" i="168"/>
  <c r="D73" i="168"/>
  <c r="D72" i="168"/>
  <c r="D71" i="168"/>
  <c r="D69" i="168"/>
  <c r="D62" i="168"/>
  <c r="D61" i="168"/>
  <c r="D60" i="168"/>
  <c r="D59" i="168"/>
  <c r="D58" i="168"/>
  <c r="D57" i="168"/>
  <c r="D55" i="168"/>
  <c r="D53" i="168"/>
  <c r="D52" i="168"/>
  <c r="S28" i="167"/>
  <c r="T97" i="167"/>
  <c r="Q28" i="167"/>
  <c r="R97" i="167"/>
  <c r="O28" i="167"/>
  <c r="P97" i="167"/>
  <c r="M28" i="167"/>
  <c r="N97" i="167"/>
  <c r="K28" i="167"/>
  <c r="L97" i="167"/>
  <c r="I28" i="167"/>
  <c r="J97" i="167"/>
  <c r="G28" i="167"/>
  <c r="H97" i="167"/>
  <c r="E28" i="167"/>
  <c r="F97" i="167"/>
  <c r="C28" i="167"/>
  <c r="D97" i="167"/>
  <c r="T96" i="167"/>
  <c r="R96" i="167"/>
  <c r="P96" i="167"/>
  <c r="N96" i="167"/>
  <c r="L96" i="167"/>
  <c r="J96" i="167"/>
  <c r="H96" i="167"/>
  <c r="F96" i="167"/>
  <c r="D96" i="167"/>
  <c r="T95" i="167"/>
  <c r="R95" i="167"/>
  <c r="P95" i="167"/>
  <c r="N95" i="167"/>
  <c r="L95" i="167"/>
  <c r="J95" i="167"/>
  <c r="H95" i="167"/>
  <c r="F95" i="167"/>
  <c r="D95" i="167"/>
  <c r="T94" i="167"/>
  <c r="R94" i="167"/>
  <c r="P94" i="167"/>
  <c r="N94" i="167"/>
  <c r="L94" i="167"/>
  <c r="J94" i="167"/>
  <c r="H94" i="167"/>
  <c r="F94" i="167"/>
  <c r="D94" i="167"/>
  <c r="T93" i="167"/>
  <c r="R93" i="167"/>
  <c r="P93" i="167"/>
  <c r="N93" i="167"/>
  <c r="L93" i="167"/>
  <c r="J93" i="167"/>
  <c r="H93" i="167"/>
  <c r="F93" i="167"/>
  <c r="D93" i="167"/>
  <c r="T91" i="167"/>
  <c r="R91" i="167"/>
  <c r="P91" i="167"/>
  <c r="N91" i="167"/>
  <c r="L91" i="167"/>
  <c r="J91" i="167"/>
  <c r="H91" i="167"/>
  <c r="F91" i="167"/>
  <c r="D91" i="167"/>
  <c r="T89" i="167"/>
  <c r="R89" i="167"/>
  <c r="P89" i="167"/>
  <c r="N89" i="167"/>
  <c r="L89" i="167"/>
  <c r="J89" i="167"/>
  <c r="H89" i="167"/>
  <c r="F89" i="167"/>
  <c r="D89" i="167"/>
  <c r="T87" i="167"/>
  <c r="R87" i="167"/>
  <c r="P87" i="167"/>
  <c r="N87" i="167"/>
  <c r="L87" i="167"/>
  <c r="J87" i="167"/>
  <c r="H87" i="167"/>
  <c r="F87" i="167"/>
  <c r="D87" i="167"/>
  <c r="T85" i="167"/>
  <c r="R85" i="167"/>
  <c r="P85" i="167"/>
  <c r="N85" i="167"/>
  <c r="L85" i="167"/>
  <c r="J85" i="167"/>
  <c r="H85" i="167"/>
  <c r="F85" i="167"/>
  <c r="D85" i="167"/>
  <c r="T84" i="167"/>
  <c r="R84" i="167"/>
  <c r="P84" i="167"/>
  <c r="N84" i="167"/>
  <c r="L84" i="167"/>
  <c r="J84" i="167"/>
  <c r="H84" i="167"/>
  <c r="F84" i="167"/>
  <c r="D84" i="167"/>
  <c r="T83" i="167"/>
  <c r="R83" i="167"/>
  <c r="P83" i="167"/>
  <c r="N83" i="167"/>
  <c r="L83" i="167"/>
  <c r="J83" i="167"/>
  <c r="H83" i="167"/>
  <c r="F83" i="167"/>
  <c r="D83" i="167"/>
  <c r="T82" i="167"/>
  <c r="R82" i="167"/>
  <c r="P82" i="167"/>
  <c r="N82" i="167"/>
  <c r="L82" i="167"/>
  <c r="J82" i="167"/>
  <c r="H82" i="167"/>
  <c r="F82" i="167"/>
  <c r="D82" i="167"/>
  <c r="T81" i="167"/>
  <c r="R81" i="167"/>
  <c r="P81" i="167"/>
  <c r="N81" i="167"/>
  <c r="L81" i="167"/>
  <c r="J81" i="167"/>
  <c r="H81" i="167"/>
  <c r="F81" i="167"/>
  <c r="D81" i="167"/>
  <c r="T80" i="167"/>
  <c r="R80" i="167"/>
  <c r="P80" i="167"/>
  <c r="N80" i="167"/>
  <c r="L80" i="167"/>
  <c r="J80" i="167"/>
  <c r="H80" i="167"/>
  <c r="F80" i="167"/>
  <c r="D80" i="167"/>
  <c r="T79" i="167"/>
  <c r="R79" i="167"/>
  <c r="P79" i="167"/>
  <c r="N79" i="167"/>
  <c r="L79" i="167"/>
  <c r="J79" i="167"/>
  <c r="H79" i="167"/>
  <c r="F79" i="167"/>
  <c r="D79" i="167"/>
  <c r="T74" i="167"/>
  <c r="R74" i="167"/>
  <c r="P74" i="167"/>
  <c r="N74" i="167"/>
  <c r="L74" i="167"/>
  <c r="J74" i="167"/>
  <c r="H74" i="167"/>
  <c r="F74" i="167"/>
  <c r="D74" i="167"/>
  <c r="T73" i="167"/>
  <c r="R73" i="167"/>
  <c r="P73" i="167"/>
  <c r="N73" i="167"/>
  <c r="L73" i="167"/>
  <c r="J73" i="167"/>
  <c r="H73" i="167"/>
  <c r="F73" i="167"/>
  <c r="D73" i="167"/>
  <c r="T72" i="167"/>
  <c r="R72" i="167"/>
  <c r="P72" i="167"/>
  <c r="N72" i="167"/>
  <c r="L72" i="167"/>
  <c r="J72" i="167"/>
  <c r="H72" i="167"/>
  <c r="F72" i="167"/>
  <c r="D72" i="167"/>
  <c r="T71" i="167"/>
  <c r="R71" i="167"/>
  <c r="P71" i="167"/>
  <c r="N71" i="167"/>
  <c r="L71" i="167"/>
  <c r="J71" i="167"/>
  <c r="H71" i="167"/>
  <c r="F71" i="167"/>
  <c r="D71" i="167"/>
  <c r="T69" i="167"/>
  <c r="R69" i="167"/>
  <c r="P69" i="167"/>
  <c r="N69" i="167"/>
  <c r="L69" i="167"/>
  <c r="J69" i="167"/>
  <c r="H69" i="167"/>
  <c r="F69" i="167"/>
  <c r="D69" i="167"/>
  <c r="T62" i="167"/>
  <c r="R62" i="167"/>
  <c r="P62" i="167"/>
  <c r="N62" i="167"/>
  <c r="L62" i="167"/>
  <c r="J62" i="167"/>
  <c r="H62" i="167"/>
  <c r="F62" i="167"/>
  <c r="D62" i="167"/>
  <c r="T61" i="167"/>
  <c r="R61" i="167"/>
  <c r="P61" i="167"/>
  <c r="N61" i="167"/>
  <c r="L61" i="167"/>
  <c r="J61" i="167"/>
  <c r="H61" i="167"/>
  <c r="F61" i="167"/>
  <c r="D61" i="167"/>
  <c r="T60" i="167"/>
  <c r="R60" i="167"/>
  <c r="P60" i="167"/>
  <c r="N60" i="167"/>
  <c r="L60" i="167"/>
  <c r="J60" i="167"/>
  <c r="H60" i="167"/>
  <c r="F60" i="167"/>
  <c r="D60" i="167"/>
  <c r="T59" i="167"/>
  <c r="R59" i="167"/>
  <c r="P59" i="167"/>
  <c r="N59" i="167"/>
  <c r="L59" i="167"/>
  <c r="J59" i="167"/>
  <c r="H59" i="167"/>
  <c r="F59" i="167"/>
  <c r="D59" i="167"/>
  <c r="T58" i="167"/>
  <c r="R58" i="167"/>
  <c r="P58" i="167"/>
  <c r="N58" i="167"/>
  <c r="L58" i="167"/>
  <c r="J58" i="167"/>
  <c r="H58" i="167"/>
  <c r="F58" i="167"/>
  <c r="D58" i="167"/>
  <c r="T57" i="167"/>
  <c r="R57" i="167"/>
  <c r="P57" i="167"/>
  <c r="N57" i="167"/>
  <c r="L57" i="167"/>
  <c r="J57" i="167"/>
  <c r="H57" i="167"/>
  <c r="F57" i="167"/>
  <c r="D57" i="167"/>
  <c r="D55" i="167"/>
  <c r="T53" i="167"/>
  <c r="R53" i="167"/>
  <c r="P53" i="167"/>
  <c r="N53" i="167"/>
  <c r="L53" i="167"/>
  <c r="J53" i="167"/>
  <c r="H53" i="167"/>
  <c r="F53" i="167"/>
  <c r="D53" i="167"/>
  <c r="T52" i="167"/>
  <c r="R52" i="167"/>
  <c r="P52" i="167"/>
  <c r="N52" i="167"/>
  <c r="L52" i="167"/>
  <c r="J52" i="167"/>
  <c r="H52" i="167"/>
  <c r="F52" i="167"/>
  <c r="D52" i="167"/>
  <c r="D97" i="165"/>
  <c r="D96" i="165"/>
  <c r="D95" i="165"/>
  <c r="D94" i="165"/>
  <c r="D93" i="165"/>
  <c r="D91" i="165"/>
  <c r="D89" i="165"/>
  <c r="D87" i="165"/>
  <c r="D85" i="165"/>
  <c r="D84" i="165"/>
  <c r="D83" i="165"/>
  <c r="D82" i="165"/>
  <c r="D81" i="165"/>
  <c r="D80" i="165"/>
  <c r="D79" i="165"/>
  <c r="D74" i="165"/>
  <c r="D73" i="165"/>
  <c r="D72" i="165"/>
  <c r="D71" i="165"/>
  <c r="D69" i="165"/>
  <c r="D62" i="165"/>
  <c r="D61" i="165"/>
  <c r="D60" i="165"/>
  <c r="D59" i="165"/>
  <c r="D58" i="165"/>
  <c r="D57" i="165"/>
  <c r="D53" i="165"/>
  <c r="D52" i="165"/>
  <c r="C28" i="164"/>
  <c r="D97" i="164"/>
  <c r="D96" i="164"/>
  <c r="D95" i="164"/>
  <c r="D94" i="164"/>
  <c r="D93" i="164"/>
  <c r="D91" i="164"/>
  <c r="D89" i="164"/>
  <c r="D87" i="164"/>
  <c r="D85" i="164"/>
  <c r="D84" i="164"/>
  <c r="D83" i="164"/>
  <c r="D82" i="164"/>
  <c r="D81" i="164"/>
  <c r="D80" i="164"/>
  <c r="D79" i="164"/>
  <c r="D74" i="164"/>
  <c r="D73" i="164"/>
  <c r="D72" i="164"/>
  <c r="D71" i="164"/>
  <c r="D69" i="164"/>
  <c r="D62" i="164"/>
  <c r="D61" i="164"/>
  <c r="D60" i="164"/>
  <c r="D59" i="164"/>
  <c r="D58" i="164"/>
  <c r="D57" i="164"/>
  <c r="D53" i="164"/>
  <c r="D52" i="164"/>
  <c r="E50" i="80"/>
  <c r="C38" i="118"/>
  <c r="C31" i="197"/>
  <c r="D52" i="202"/>
  <c r="L52" i="202"/>
  <c r="D53" i="202"/>
  <c r="L53" i="202"/>
  <c r="L54" i="202"/>
  <c r="L55" i="202"/>
  <c r="L56" i="202"/>
  <c r="L57" i="202"/>
  <c r="L58" i="202"/>
  <c r="L59" i="202"/>
  <c r="L60" i="202"/>
  <c r="L61" i="202"/>
  <c r="L62" i="202"/>
  <c r="L63" i="202"/>
  <c r="L64" i="202"/>
  <c r="L65" i="202"/>
  <c r="E66" i="202"/>
  <c r="L66" i="202"/>
  <c r="L67" i="202"/>
  <c r="L69" i="202"/>
  <c r="L70" i="202"/>
  <c r="K103" i="202"/>
  <c r="U45" i="194"/>
  <c r="U41" i="194"/>
  <c r="U40" i="194"/>
  <c r="S45" i="194"/>
  <c r="S41" i="194"/>
  <c r="S40" i="194"/>
  <c r="Q45" i="194"/>
  <c r="Q41" i="194"/>
  <c r="Q40" i="194"/>
  <c r="O45" i="194"/>
  <c r="O41" i="194"/>
  <c r="O40" i="194"/>
  <c r="M45" i="194"/>
  <c r="M41" i="194"/>
  <c r="M40" i="194"/>
  <c r="K45" i="194"/>
  <c r="K41" i="194"/>
  <c r="K40" i="194"/>
  <c r="I45" i="194"/>
  <c r="I41" i="194"/>
  <c r="I40" i="194"/>
  <c r="G45" i="194"/>
  <c r="G41" i="194"/>
  <c r="G40" i="194"/>
  <c r="E45" i="194"/>
  <c r="E41" i="194"/>
  <c r="E40" i="194"/>
  <c r="C45" i="194"/>
  <c r="C41" i="194"/>
  <c r="C40" i="194"/>
  <c r="E39" i="193"/>
  <c r="G39" i="193"/>
  <c r="I39" i="193"/>
  <c r="K39" i="193"/>
  <c r="M39" i="193"/>
  <c r="O39" i="193"/>
  <c r="Q39" i="193"/>
  <c r="S39" i="193"/>
  <c r="U39" i="193"/>
  <c r="E37" i="193"/>
  <c r="G37" i="193"/>
  <c r="G41" i="193"/>
  <c r="I37" i="193"/>
  <c r="E36" i="193"/>
  <c r="G36" i="193"/>
  <c r="G40" i="193"/>
  <c r="E45" i="193"/>
  <c r="E41" i="193"/>
  <c r="E40" i="193"/>
  <c r="C41" i="193"/>
  <c r="C40" i="193"/>
  <c r="C45" i="193"/>
  <c r="G37" i="197"/>
  <c r="E40" i="197"/>
  <c r="C45" i="197"/>
  <c r="C41" i="197"/>
  <c r="C40" i="197"/>
  <c r="E41" i="197"/>
  <c r="E45" i="197"/>
  <c r="G36" i="197"/>
  <c r="G41" i="197"/>
  <c r="I37" i="197"/>
  <c r="I41" i="193"/>
  <c r="K37" i="193"/>
  <c r="G45" i="193"/>
  <c r="I36" i="193"/>
  <c r="E45" i="186"/>
  <c r="E41" i="186"/>
  <c r="E31" i="197"/>
  <c r="G31" i="197"/>
  <c r="I31" i="197"/>
  <c r="K31" i="197"/>
  <c r="M31" i="197"/>
  <c r="O31" i="197"/>
  <c r="Q31" i="197"/>
  <c r="S31" i="197"/>
  <c r="U31" i="197"/>
  <c r="C31" i="194"/>
  <c r="C31" i="193"/>
  <c r="G3" i="194"/>
  <c r="G3" i="193"/>
  <c r="G3" i="191"/>
  <c r="G3" i="190"/>
  <c r="G3" i="188"/>
  <c r="G3" i="189"/>
  <c r="G3" i="187"/>
  <c r="G3" i="186"/>
  <c r="G3" i="185"/>
  <c r="G3" i="183"/>
  <c r="G3" i="182"/>
  <c r="G3" i="181"/>
  <c r="G3" i="180"/>
  <c r="G3" i="179"/>
  <c r="G3" i="178"/>
  <c r="G3" i="177"/>
  <c r="G3" i="176"/>
  <c r="G3" i="175"/>
  <c r="G3" i="174"/>
  <c r="G3" i="173"/>
  <c r="G3" i="172"/>
  <c r="G3" i="171"/>
  <c r="G3" i="170"/>
  <c r="G3" i="169"/>
  <c r="G3" i="168"/>
  <c r="G3" i="167"/>
  <c r="G3" i="165"/>
  <c r="G3" i="164"/>
  <c r="G3" i="163"/>
  <c r="G3" i="162"/>
  <c r="G3" i="161"/>
  <c r="G40" i="197"/>
  <c r="I36" i="197"/>
  <c r="I45" i="197"/>
  <c r="G45" i="197"/>
  <c r="K37" i="197"/>
  <c r="I41" i="197"/>
  <c r="M37" i="193"/>
  <c r="K41" i="193"/>
  <c r="I45" i="193"/>
  <c r="I40" i="193"/>
  <c r="K36" i="193"/>
  <c r="K36" i="197"/>
  <c r="I40" i="197"/>
  <c r="K41" i="197"/>
  <c r="M37" i="197"/>
  <c r="K45" i="197"/>
  <c r="K40" i="193"/>
  <c r="K45" i="193"/>
  <c r="M36" i="193"/>
  <c r="M41" i="193"/>
  <c r="O37" i="193"/>
  <c r="G3" i="160"/>
  <c r="G3" i="159"/>
  <c r="G3" i="158"/>
  <c r="K40" i="197"/>
  <c r="M36" i="197"/>
  <c r="M45" i="197"/>
  <c r="M41" i="197"/>
  <c r="O37" i="197"/>
  <c r="M45" i="193"/>
  <c r="O36" i="193"/>
  <c r="M40" i="193"/>
  <c r="Q37" i="193"/>
  <c r="O41" i="193"/>
  <c r="K28" i="197"/>
  <c r="L97" i="197"/>
  <c r="I28" i="197"/>
  <c r="J97" i="197"/>
  <c r="G28" i="197"/>
  <c r="H97" i="197"/>
  <c r="E28" i="197"/>
  <c r="F97" i="197"/>
  <c r="C28" i="197"/>
  <c r="D97" i="197"/>
  <c r="S28" i="163"/>
  <c r="T97" i="163"/>
  <c r="Q28" i="163"/>
  <c r="R97" i="163"/>
  <c r="O28" i="163"/>
  <c r="P97" i="163"/>
  <c r="M28" i="163"/>
  <c r="N97" i="163"/>
  <c r="K28" i="163"/>
  <c r="L97" i="163"/>
  <c r="I28" i="163"/>
  <c r="J97" i="163"/>
  <c r="G28" i="163"/>
  <c r="H97" i="163"/>
  <c r="E28" i="163"/>
  <c r="F97" i="163"/>
  <c r="C28" i="161"/>
  <c r="D97" i="161"/>
  <c r="C28" i="158"/>
  <c r="D97" i="158"/>
  <c r="S28" i="15"/>
  <c r="T97" i="15"/>
  <c r="Q28" i="15"/>
  <c r="R97" i="15"/>
  <c r="O28" i="15"/>
  <c r="P97" i="15"/>
  <c r="M28" i="15"/>
  <c r="N97" i="15"/>
  <c r="K28" i="15"/>
  <c r="L97" i="15"/>
  <c r="I28" i="15"/>
  <c r="J97" i="15"/>
  <c r="G28" i="15"/>
  <c r="H97" i="15"/>
  <c r="E48" i="80"/>
  <c r="E49" i="80"/>
  <c r="E47" i="80"/>
  <c r="M28" i="197"/>
  <c r="N97" i="197"/>
  <c r="O36" i="197"/>
  <c r="O45" i="197"/>
  <c r="M40" i="197"/>
  <c r="Q37" i="197"/>
  <c r="O41" i="197"/>
  <c r="Q41" i="193"/>
  <c r="S37" i="193"/>
  <c r="O40" i="193"/>
  <c r="O45" i="193"/>
  <c r="Q36" i="193"/>
  <c r="G3" i="197"/>
  <c r="F85" i="197"/>
  <c r="D85" i="197"/>
  <c r="G32" i="49"/>
  <c r="U28" i="170"/>
  <c r="V59" i="170"/>
  <c r="U28" i="167"/>
  <c r="V59" i="167"/>
  <c r="U28" i="163"/>
  <c r="V59" i="163"/>
  <c r="T59" i="163"/>
  <c r="R59" i="163"/>
  <c r="P59" i="163"/>
  <c r="N59" i="163"/>
  <c r="L59" i="163"/>
  <c r="J59" i="163"/>
  <c r="H59" i="163"/>
  <c r="F59" i="163"/>
  <c r="D59" i="161"/>
  <c r="D59" i="158"/>
  <c r="O28" i="197"/>
  <c r="P97" i="197"/>
  <c r="O40" i="197"/>
  <c r="Q36" i="197"/>
  <c r="Q28" i="197"/>
  <c r="R97" i="197"/>
  <c r="Q41" i="197"/>
  <c r="S37" i="197"/>
  <c r="Q45" i="197"/>
  <c r="U37" i="193"/>
  <c r="U41" i="193"/>
  <c r="S41" i="193"/>
  <c r="Q45" i="193"/>
  <c r="Q40" i="193"/>
  <c r="S36" i="193"/>
  <c r="H85" i="197"/>
  <c r="E39" i="118"/>
  <c r="G39" i="118"/>
  <c r="I39" i="118"/>
  <c r="K39" i="118"/>
  <c r="M39" i="118"/>
  <c r="O39" i="118"/>
  <c r="Q39" i="118"/>
  <c r="S39" i="118"/>
  <c r="U39" i="118"/>
  <c r="E40" i="118"/>
  <c r="E38" i="118"/>
  <c r="G38" i="118"/>
  <c r="I38" i="118"/>
  <c r="K38" i="118"/>
  <c r="M38" i="118"/>
  <c r="O38" i="118"/>
  <c r="Q38" i="118"/>
  <c r="S38" i="118"/>
  <c r="U38" i="118"/>
  <c r="E41" i="118"/>
  <c r="S36" i="197"/>
  <c r="S28" i="197"/>
  <c r="T97" i="197"/>
  <c r="Q40" i="197"/>
  <c r="S41" i="197"/>
  <c r="U37" i="197"/>
  <c r="S45" i="197"/>
  <c r="I36" i="118"/>
  <c r="K36" i="118"/>
  <c r="M36" i="118"/>
  <c r="G40" i="118"/>
  <c r="E45" i="118"/>
  <c r="S40" i="193"/>
  <c r="S45" i="193"/>
  <c r="U36" i="193"/>
  <c r="J85" i="197"/>
  <c r="G36" i="183"/>
  <c r="I36" i="183"/>
  <c r="K36" i="183"/>
  <c r="M36" i="183"/>
  <c r="O36" i="183"/>
  <c r="Q36" i="183"/>
  <c r="S36" i="183"/>
  <c r="U36" i="183"/>
  <c r="G36" i="188"/>
  <c r="I36" i="188"/>
  <c r="K36" i="188"/>
  <c r="M36" i="188"/>
  <c r="O36" i="188"/>
  <c r="Q36" i="188"/>
  <c r="S36" i="188"/>
  <c r="U36" i="188"/>
  <c r="C10" i="175"/>
  <c r="C10" i="174"/>
  <c r="C10" i="173"/>
  <c r="C10" i="172"/>
  <c r="C16" i="172"/>
  <c r="C10" i="169"/>
  <c r="C10" i="168"/>
  <c r="C10" i="165"/>
  <c r="C10" i="164"/>
  <c r="C10" i="161"/>
  <c r="C10" i="159"/>
  <c r="C10" i="158"/>
  <c r="I36" i="191"/>
  <c r="K36" i="191"/>
  <c r="M36" i="191"/>
  <c r="O36" i="191"/>
  <c r="Q36" i="191"/>
  <c r="S36" i="191"/>
  <c r="U36" i="191"/>
  <c r="I36" i="190"/>
  <c r="G36" i="189"/>
  <c r="I36" i="189"/>
  <c r="K36" i="189"/>
  <c r="M36" i="189"/>
  <c r="O36" i="189"/>
  <c r="Q36" i="189"/>
  <c r="S36" i="189"/>
  <c r="U36" i="189"/>
  <c r="E36" i="179"/>
  <c r="G36" i="179"/>
  <c r="I36" i="179"/>
  <c r="K36" i="179"/>
  <c r="M36" i="179"/>
  <c r="O36" i="179"/>
  <c r="Q36" i="179"/>
  <c r="S36" i="179"/>
  <c r="U36" i="179"/>
  <c r="E36" i="172"/>
  <c r="G36" i="172"/>
  <c r="I36" i="172"/>
  <c r="K36" i="172"/>
  <c r="M36" i="172"/>
  <c r="O36" i="172"/>
  <c r="Q36" i="172"/>
  <c r="S36" i="172"/>
  <c r="U36" i="172"/>
  <c r="E36" i="169"/>
  <c r="G36" i="169"/>
  <c r="I36" i="169"/>
  <c r="K36" i="169"/>
  <c r="M36" i="169"/>
  <c r="O36" i="169"/>
  <c r="Q36" i="169"/>
  <c r="S36" i="169"/>
  <c r="U36" i="169"/>
  <c r="E36" i="165"/>
  <c r="G36" i="165"/>
  <c r="I36" i="165"/>
  <c r="K36" i="165"/>
  <c r="M36" i="165"/>
  <c r="O36" i="165"/>
  <c r="Q36" i="165"/>
  <c r="S36" i="165"/>
  <c r="U36" i="165"/>
  <c r="E37" i="15"/>
  <c r="E39" i="15"/>
  <c r="E45" i="15"/>
  <c r="E41" i="15"/>
  <c r="C45" i="15"/>
  <c r="C41" i="15"/>
  <c r="U36" i="197"/>
  <c r="U40" i="197"/>
  <c r="S40" i="197"/>
  <c r="U41" i="197"/>
  <c r="U45" i="197"/>
  <c r="K40" i="118"/>
  <c r="I40" i="118"/>
  <c r="I37" i="118"/>
  <c r="G45" i="118"/>
  <c r="G41" i="118"/>
  <c r="U45" i="193"/>
  <c r="U40" i="193"/>
  <c r="K36" i="190"/>
  <c r="L85" i="197"/>
  <c r="M40" i="118"/>
  <c r="O36" i="118"/>
  <c r="E39" i="158"/>
  <c r="G39" i="158"/>
  <c r="I39" i="158"/>
  <c r="K39" i="158"/>
  <c r="M39" i="158"/>
  <c r="O39" i="158"/>
  <c r="Q39" i="158"/>
  <c r="S39" i="158"/>
  <c r="U39" i="158"/>
  <c r="E38" i="158"/>
  <c r="G38" i="158"/>
  <c r="I38" i="158"/>
  <c r="K38" i="158"/>
  <c r="M38" i="158"/>
  <c r="O38" i="158"/>
  <c r="Q38" i="158"/>
  <c r="S38" i="158"/>
  <c r="U38" i="158"/>
  <c r="E37" i="158"/>
  <c r="G37" i="158"/>
  <c r="I37" i="158"/>
  <c r="K37" i="158"/>
  <c r="M37" i="158"/>
  <c r="O37" i="158"/>
  <c r="U40" i="160"/>
  <c r="S40" i="160"/>
  <c r="Q40" i="160"/>
  <c r="O40" i="160"/>
  <c r="E39" i="160"/>
  <c r="G39" i="160"/>
  <c r="I39" i="160"/>
  <c r="K39" i="160"/>
  <c r="M39" i="160"/>
  <c r="O39" i="160"/>
  <c r="Q39" i="160"/>
  <c r="S39" i="160"/>
  <c r="U39" i="160"/>
  <c r="M40" i="160"/>
  <c r="E38" i="160"/>
  <c r="G38" i="160"/>
  <c r="I38" i="160"/>
  <c r="K38" i="160"/>
  <c r="M38" i="160"/>
  <c r="O38" i="160"/>
  <c r="Q38" i="160"/>
  <c r="S38" i="160"/>
  <c r="U38" i="160"/>
  <c r="E37" i="160"/>
  <c r="G37" i="160"/>
  <c r="I37" i="160"/>
  <c r="K37" i="160"/>
  <c r="M37" i="160"/>
  <c r="U40" i="161"/>
  <c r="S40" i="161"/>
  <c r="Q40" i="161"/>
  <c r="E39" i="161"/>
  <c r="G39" i="161"/>
  <c r="I39" i="161"/>
  <c r="K39" i="161"/>
  <c r="M39" i="161"/>
  <c r="O39" i="161"/>
  <c r="Q39" i="161"/>
  <c r="S39" i="161"/>
  <c r="U39" i="161"/>
  <c r="O40" i="161"/>
  <c r="E37" i="161"/>
  <c r="G37" i="161"/>
  <c r="I37" i="161"/>
  <c r="K37" i="161"/>
  <c r="M37" i="161"/>
  <c r="O37" i="161"/>
  <c r="O41" i="161"/>
  <c r="M40" i="161"/>
  <c r="E38" i="161"/>
  <c r="G38" i="161"/>
  <c r="I38" i="161"/>
  <c r="K38" i="161"/>
  <c r="M38" i="161"/>
  <c r="M45" i="161"/>
  <c r="M41" i="161"/>
  <c r="U40" i="162"/>
  <c r="S40" i="162"/>
  <c r="Q40" i="162"/>
  <c r="O40" i="162"/>
  <c r="E39" i="162"/>
  <c r="G39" i="162"/>
  <c r="I39" i="162"/>
  <c r="K39" i="162"/>
  <c r="M39" i="162"/>
  <c r="O39" i="162"/>
  <c r="Q39" i="162"/>
  <c r="S39" i="162"/>
  <c r="U39" i="162"/>
  <c r="M40" i="162"/>
  <c r="E38" i="162"/>
  <c r="G38" i="162"/>
  <c r="I38" i="162"/>
  <c r="K38" i="162"/>
  <c r="M38" i="162"/>
  <c r="O38" i="162"/>
  <c r="Q38" i="162"/>
  <c r="S38" i="162"/>
  <c r="U38" i="162"/>
  <c r="E37" i="162"/>
  <c r="G37" i="162"/>
  <c r="I37" i="162"/>
  <c r="K37" i="162"/>
  <c r="M37" i="162"/>
  <c r="U40" i="163"/>
  <c r="S40" i="163"/>
  <c r="Q40" i="163"/>
  <c r="O40" i="163"/>
  <c r="M40" i="163"/>
  <c r="U40" i="164"/>
  <c r="S40" i="164"/>
  <c r="Q40" i="164"/>
  <c r="O40" i="164"/>
  <c r="E39" i="164"/>
  <c r="G39" i="164"/>
  <c r="I39" i="164"/>
  <c r="K39" i="164"/>
  <c r="M39" i="164"/>
  <c r="O39" i="164"/>
  <c r="Q39" i="164"/>
  <c r="S39" i="164"/>
  <c r="U39" i="164"/>
  <c r="M40" i="164"/>
  <c r="E38" i="164"/>
  <c r="G38" i="164"/>
  <c r="I38" i="164"/>
  <c r="K38" i="164"/>
  <c r="M38" i="164"/>
  <c r="O38" i="164"/>
  <c r="Q38" i="164"/>
  <c r="S38" i="164"/>
  <c r="U38" i="164"/>
  <c r="E37" i="164"/>
  <c r="G37" i="164"/>
  <c r="I37" i="164"/>
  <c r="K37" i="164"/>
  <c r="M37" i="164"/>
  <c r="U40" i="165"/>
  <c r="S40" i="165"/>
  <c r="Q40" i="165"/>
  <c r="E39" i="165"/>
  <c r="G39" i="165"/>
  <c r="I39" i="165"/>
  <c r="K39" i="165"/>
  <c r="M39" i="165"/>
  <c r="O39" i="165"/>
  <c r="Q39" i="165"/>
  <c r="S39" i="165"/>
  <c r="U39" i="165"/>
  <c r="O40" i="165"/>
  <c r="E37" i="165"/>
  <c r="G37" i="165"/>
  <c r="I37" i="165"/>
  <c r="K37" i="165"/>
  <c r="M37" i="165"/>
  <c r="O37" i="165"/>
  <c r="M40" i="165"/>
  <c r="E38" i="165"/>
  <c r="G38" i="165"/>
  <c r="I38" i="165"/>
  <c r="K38" i="165"/>
  <c r="M38" i="165"/>
  <c r="M45" i="165"/>
  <c r="M41" i="165"/>
  <c r="U40" i="167"/>
  <c r="S40" i="167"/>
  <c r="Q40" i="167"/>
  <c r="O40" i="167"/>
  <c r="M40" i="167"/>
  <c r="U40" i="168"/>
  <c r="E39" i="168"/>
  <c r="G39" i="168"/>
  <c r="I39" i="168"/>
  <c r="K39" i="168"/>
  <c r="M39" i="168"/>
  <c r="O39" i="168"/>
  <c r="Q39" i="168"/>
  <c r="S39" i="168"/>
  <c r="U39" i="168"/>
  <c r="S40" i="168"/>
  <c r="Q40" i="168"/>
  <c r="O40" i="168"/>
  <c r="E37" i="168"/>
  <c r="G37" i="168"/>
  <c r="I37" i="168"/>
  <c r="K37" i="168"/>
  <c r="M37" i="168"/>
  <c r="O37" i="168"/>
  <c r="M40" i="168"/>
  <c r="E38" i="168"/>
  <c r="G38" i="168"/>
  <c r="I38" i="168"/>
  <c r="K38" i="168"/>
  <c r="M38" i="168"/>
  <c r="M45" i="168"/>
  <c r="M41" i="168"/>
  <c r="U40" i="169"/>
  <c r="S40" i="169"/>
  <c r="Q40" i="169"/>
  <c r="O40" i="169"/>
  <c r="E39" i="169"/>
  <c r="G39" i="169"/>
  <c r="I39" i="169"/>
  <c r="K39" i="169"/>
  <c r="M39" i="169"/>
  <c r="O39" i="169"/>
  <c r="Q39" i="169"/>
  <c r="S39" i="169"/>
  <c r="U39" i="169"/>
  <c r="M40" i="169"/>
  <c r="E38" i="169"/>
  <c r="G38" i="169"/>
  <c r="I38" i="169"/>
  <c r="K38" i="169"/>
  <c r="M38" i="169"/>
  <c r="O38" i="169"/>
  <c r="Q38" i="169"/>
  <c r="S38" i="169"/>
  <c r="U38" i="169"/>
  <c r="U40" i="170"/>
  <c r="S40" i="170"/>
  <c r="Q40" i="170"/>
  <c r="O40" i="170"/>
  <c r="M40" i="170"/>
  <c r="U40" i="171"/>
  <c r="S40" i="171"/>
  <c r="Q40" i="171"/>
  <c r="O40" i="171"/>
  <c r="E39" i="171"/>
  <c r="G39" i="171"/>
  <c r="I39" i="171"/>
  <c r="K39" i="171"/>
  <c r="M39" i="171"/>
  <c r="O39" i="171"/>
  <c r="Q39" i="171"/>
  <c r="S39" i="171"/>
  <c r="U39" i="171"/>
  <c r="E37" i="171"/>
  <c r="G37" i="171"/>
  <c r="I37" i="171"/>
  <c r="K37" i="171"/>
  <c r="M37" i="171"/>
  <c r="E38" i="171"/>
  <c r="G38" i="171"/>
  <c r="I38" i="171"/>
  <c r="K38" i="171"/>
  <c r="M38" i="171"/>
  <c r="M45" i="171"/>
  <c r="M40" i="171"/>
  <c r="O38" i="171"/>
  <c r="Q38" i="171"/>
  <c r="S38" i="171"/>
  <c r="U38" i="171"/>
  <c r="O37" i="171"/>
  <c r="U40" i="172"/>
  <c r="E39" i="172"/>
  <c r="G39" i="172"/>
  <c r="I39" i="172"/>
  <c r="K39" i="172"/>
  <c r="M39" i="172"/>
  <c r="O39" i="172"/>
  <c r="Q39" i="172"/>
  <c r="S39" i="172"/>
  <c r="U39" i="172"/>
  <c r="S40" i="172"/>
  <c r="Q40" i="172"/>
  <c r="O40" i="172"/>
  <c r="M40" i="172"/>
  <c r="E38" i="172"/>
  <c r="G38" i="172"/>
  <c r="I38" i="172"/>
  <c r="K38" i="172"/>
  <c r="M38" i="172"/>
  <c r="O38" i="172"/>
  <c r="Q38" i="172"/>
  <c r="S38" i="172"/>
  <c r="U38" i="172"/>
  <c r="E37" i="172"/>
  <c r="G37" i="172"/>
  <c r="I37" i="172"/>
  <c r="K37" i="172"/>
  <c r="M37" i="172"/>
  <c r="U40" i="173"/>
  <c r="S40" i="173"/>
  <c r="Q40" i="173"/>
  <c r="E39" i="173"/>
  <c r="G39" i="173"/>
  <c r="I39" i="173"/>
  <c r="K39" i="173"/>
  <c r="M39" i="173"/>
  <c r="O39" i="173"/>
  <c r="Q39" i="173"/>
  <c r="S39" i="173"/>
  <c r="U39" i="173"/>
  <c r="E37" i="173"/>
  <c r="G37" i="173"/>
  <c r="I37" i="173"/>
  <c r="K37" i="173"/>
  <c r="M37" i="173"/>
  <c r="O37" i="173"/>
  <c r="O41" i="173"/>
  <c r="O40" i="173"/>
  <c r="M40" i="173"/>
  <c r="E38" i="173"/>
  <c r="G38" i="173"/>
  <c r="I38" i="173"/>
  <c r="K38" i="173"/>
  <c r="M38" i="173"/>
  <c r="M45" i="173"/>
  <c r="M41" i="173"/>
  <c r="U40" i="174"/>
  <c r="S40" i="174"/>
  <c r="E39" i="174"/>
  <c r="G39" i="174"/>
  <c r="I39" i="174"/>
  <c r="K39" i="174"/>
  <c r="M39" i="174"/>
  <c r="O39" i="174"/>
  <c r="Q39" i="174"/>
  <c r="S39" i="174"/>
  <c r="U39" i="174"/>
  <c r="Q40" i="174"/>
  <c r="O40" i="174"/>
  <c r="M40" i="174"/>
  <c r="E38" i="174"/>
  <c r="G38" i="174"/>
  <c r="I38" i="174"/>
  <c r="K38" i="174"/>
  <c r="M38" i="174"/>
  <c r="O38" i="174"/>
  <c r="Q38" i="174"/>
  <c r="S38" i="174"/>
  <c r="U38" i="174"/>
  <c r="U40" i="175"/>
  <c r="S40" i="175"/>
  <c r="Q40" i="175"/>
  <c r="O40" i="175"/>
  <c r="E37" i="175"/>
  <c r="G37" i="175"/>
  <c r="I37" i="175"/>
  <c r="K37" i="175"/>
  <c r="M37" i="175"/>
  <c r="O37" i="175"/>
  <c r="M40" i="175"/>
  <c r="E39" i="175"/>
  <c r="G39" i="175"/>
  <c r="I39" i="175"/>
  <c r="K39" i="175"/>
  <c r="M39" i="175"/>
  <c r="O39" i="175"/>
  <c r="Q39" i="175"/>
  <c r="S39" i="175"/>
  <c r="U39" i="175"/>
  <c r="E38" i="175"/>
  <c r="G38" i="175"/>
  <c r="I38" i="175"/>
  <c r="K38" i="175"/>
  <c r="M38" i="175"/>
  <c r="M41" i="175"/>
  <c r="U40" i="176"/>
  <c r="S40" i="176"/>
  <c r="Q40" i="176"/>
  <c r="O40" i="176"/>
  <c r="M40" i="176"/>
  <c r="U40" i="177"/>
  <c r="S40" i="177"/>
  <c r="Q40" i="177"/>
  <c r="O40" i="177"/>
  <c r="M40" i="177"/>
  <c r="U40" i="178"/>
  <c r="S40" i="178"/>
  <c r="Q40" i="178"/>
  <c r="O40" i="178"/>
  <c r="M40" i="178"/>
  <c r="U40" i="179"/>
  <c r="S40" i="179"/>
  <c r="Q40" i="179"/>
  <c r="O40" i="179"/>
  <c r="M40" i="179"/>
  <c r="U40" i="180"/>
  <c r="S40" i="180"/>
  <c r="Q40" i="180"/>
  <c r="O40" i="180"/>
  <c r="M40" i="180"/>
  <c r="U40" i="181"/>
  <c r="S40" i="181"/>
  <c r="Q40" i="181"/>
  <c r="O40" i="181"/>
  <c r="M40" i="181"/>
  <c r="U40" i="182"/>
  <c r="S40" i="182"/>
  <c r="E39" i="182"/>
  <c r="G39" i="182"/>
  <c r="I39" i="182"/>
  <c r="K39" i="182"/>
  <c r="M39" i="182"/>
  <c r="O39" i="182"/>
  <c r="Q39" i="182"/>
  <c r="S39" i="182"/>
  <c r="U39" i="182"/>
  <c r="Q40" i="182"/>
  <c r="O40" i="182"/>
  <c r="M40" i="182"/>
  <c r="E38" i="182"/>
  <c r="G38" i="182"/>
  <c r="I38" i="182"/>
  <c r="K38" i="182"/>
  <c r="M38" i="182"/>
  <c r="O38" i="182"/>
  <c r="Q38" i="182"/>
  <c r="S38" i="182"/>
  <c r="U38" i="182"/>
  <c r="E37" i="182"/>
  <c r="G37" i="182"/>
  <c r="I37" i="182"/>
  <c r="K37" i="182"/>
  <c r="M37" i="182"/>
  <c r="U40" i="183"/>
  <c r="S40" i="183"/>
  <c r="Q40" i="183"/>
  <c r="O40" i="183"/>
  <c r="M40" i="183"/>
  <c r="U40" i="184"/>
  <c r="S40" i="184"/>
  <c r="Q40" i="184"/>
  <c r="O40" i="184"/>
  <c r="M40" i="184"/>
  <c r="U40" i="185"/>
  <c r="S40" i="185"/>
  <c r="Q40" i="185"/>
  <c r="O40" i="185"/>
  <c r="M40" i="185"/>
  <c r="U40" i="186"/>
  <c r="S40" i="186"/>
  <c r="Q40" i="186"/>
  <c r="O40" i="186"/>
  <c r="M40" i="186"/>
  <c r="U40" i="187"/>
  <c r="S40" i="187"/>
  <c r="Q40" i="187"/>
  <c r="E39" i="187"/>
  <c r="G39" i="187"/>
  <c r="I39" i="187"/>
  <c r="K39" i="187"/>
  <c r="M39" i="187"/>
  <c r="O39" i="187"/>
  <c r="Q39" i="187"/>
  <c r="S39" i="187"/>
  <c r="U39" i="187"/>
  <c r="O40" i="187"/>
  <c r="M40" i="187"/>
  <c r="E38" i="187"/>
  <c r="G38" i="187"/>
  <c r="I38" i="187"/>
  <c r="K38" i="187"/>
  <c r="M38" i="187"/>
  <c r="U40" i="189"/>
  <c r="S40" i="189"/>
  <c r="Q40" i="189"/>
  <c r="O40" i="189"/>
  <c r="M40" i="189"/>
  <c r="U40" i="188"/>
  <c r="S40" i="188"/>
  <c r="Q40" i="188"/>
  <c r="O40" i="188"/>
  <c r="M40" i="188"/>
  <c r="U40" i="191"/>
  <c r="S40" i="191"/>
  <c r="Q40" i="191"/>
  <c r="O40" i="191"/>
  <c r="M40" i="191"/>
  <c r="E38" i="159"/>
  <c r="G38" i="159"/>
  <c r="I38" i="159"/>
  <c r="K38" i="159"/>
  <c r="M38" i="159"/>
  <c r="O38" i="159"/>
  <c r="Q38" i="159"/>
  <c r="S38" i="159"/>
  <c r="U38" i="159"/>
  <c r="E36" i="159"/>
  <c r="G36" i="159"/>
  <c r="I36" i="159"/>
  <c r="K36" i="159"/>
  <c r="M36" i="159"/>
  <c r="O36" i="159"/>
  <c r="O40" i="159"/>
  <c r="E39" i="159"/>
  <c r="G39" i="159"/>
  <c r="I39" i="159"/>
  <c r="K39" i="159"/>
  <c r="M39" i="159"/>
  <c r="O39" i="159"/>
  <c r="Q39" i="159"/>
  <c r="S39" i="159"/>
  <c r="U39" i="159"/>
  <c r="E37" i="159"/>
  <c r="G37" i="159"/>
  <c r="I37" i="159"/>
  <c r="K37" i="159"/>
  <c r="M37" i="159"/>
  <c r="O37" i="159"/>
  <c r="M40" i="159"/>
  <c r="G39" i="167"/>
  <c r="I39" i="167"/>
  <c r="K39" i="167"/>
  <c r="M39" i="167"/>
  <c r="O39" i="167"/>
  <c r="Q39" i="167"/>
  <c r="S39" i="167"/>
  <c r="U39" i="167"/>
  <c r="I39" i="176"/>
  <c r="K39" i="176"/>
  <c r="M39" i="176"/>
  <c r="O39" i="176"/>
  <c r="Q39" i="176"/>
  <c r="S39" i="176"/>
  <c r="U39" i="176"/>
  <c r="G38" i="186"/>
  <c r="I38" i="186"/>
  <c r="K38" i="186"/>
  <c r="M38" i="186"/>
  <c r="O38" i="186"/>
  <c r="Q38" i="186"/>
  <c r="S38" i="186"/>
  <c r="U38" i="186"/>
  <c r="K41" i="158"/>
  <c r="G37" i="170"/>
  <c r="I37" i="170"/>
  <c r="K37" i="170"/>
  <c r="M37" i="170"/>
  <c r="G37" i="174"/>
  <c r="I37" i="174"/>
  <c r="K37" i="174"/>
  <c r="K40" i="160"/>
  <c r="K41" i="160"/>
  <c r="K40" i="161"/>
  <c r="K40" i="162"/>
  <c r="K41" i="162"/>
  <c r="K40" i="163"/>
  <c r="K40" i="164"/>
  <c r="K41" i="164"/>
  <c r="K40" i="165"/>
  <c r="K40" i="167"/>
  <c r="K40" i="168"/>
  <c r="K45" i="168"/>
  <c r="K40" i="169"/>
  <c r="K40" i="170"/>
  <c r="K40" i="171"/>
  <c r="K41" i="171"/>
  <c r="K40" i="172"/>
  <c r="K45" i="172"/>
  <c r="K40" i="173"/>
  <c r="K41" i="173"/>
  <c r="K40" i="174"/>
  <c r="K40" i="175"/>
  <c r="K41" i="175"/>
  <c r="K40" i="176"/>
  <c r="K40" i="177"/>
  <c r="K40" i="178"/>
  <c r="K40" i="179"/>
  <c r="K40" i="180"/>
  <c r="K40" i="181"/>
  <c r="K40" i="182"/>
  <c r="K40" i="183"/>
  <c r="K40" i="184"/>
  <c r="K40" i="185"/>
  <c r="K40" i="186"/>
  <c r="K40" i="187"/>
  <c r="K40" i="189"/>
  <c r="K40" i="188"/>
  <c r="K40" i="190"/>
  <c r="K40" i="191"/>
  <c r="K41" i="159"/>
  <c r="K45" i="159"/>
  <c r="I45" i="162"/>
  <c r="I45" i="171"/>
  <c r="I45" i="175"/>
  <c r="I39" i="177"/>
  <c r="K39" i="177"/>
  <c r="M39" i="177"/>
  <c r="O39" i="177"/>
  <c r="Q39" i="177"/>
  <c r="S39" i="177"/>
  <c r="U39" i="177"/>
  <c r="G39" i="188"/>
  <c r="I39" i="188"/>
  <c r="K39" i="188"/>
  <c r="M39" i="188"/>
  <c r="O39" i="188"/>
  <c r="Q39" i="188"/>
  <c r="S39" i="188"/>
  <c r="U39" i="188"/>
  <c r="I38" i="15"/>
  <c r="K38" i="15"/>
  <c r="M38" i="15"/>
  <c r="O38" i="15"/>
  <c r="Q38" i="15"/>
  <c r="S38" i="15"/>
  <c r="U38" i="15"/>
  <c r="G38" i="167"/>
  <c r="I38" i="167"/>
  <c r="K38" i="167"/>
  <c r="M38" i="167"/>
  <c r="O38" i="167"/>
  <c r="Q38" i="167"/>
  <c r="S38" i="167"/>
  <c r="U38" i="167"/>
  <c r="G38" i="170"/>
  <c r="I38" i="170"/>
  <c r="K38" i="170"/>
  <c r="M38" i="170"/>
  <c r="I38" i="177"/>
  <c r="K38" i="177"/>
  <c r="M38" i="177"/>
  <c r="I41" i="158"/>
  <c r="I41" i="161"/>
  <c r="I41" i="165"/>
  <c r="G37" i="167"/>
  <c r="I37" i="167"/>
  <c r="K37" i="167"/>
  <c r="I37" i="169"/>
  <c r="I41" i="170"/>
  <c r="I37" i="177"/>
  <c r="G37" i="180"/>
  <c r="I37" i="180"/>
  <c r="K37" i="180"/>
  <c r="I40" i="160"/>
  <c r="I41" i="160"/>
  <c r="I40" i="161"/>
  <c r="I40" i="162"/>
  <c r="I41" i="162"/>
  <c r="I40" i="163"/>
  <c r="I40" i="164"/>
  <c r="I41" i="164"/>
  <c r="I40" i="165"/>
  <c r="I40" i="167"/>
  <c r="I41" i="167"/>
  <c r="I40" i="168"/>
  <c r="I45" i="168"/>
  <c r="I40" i="169"/>
  <c r="I40" i="170"/>
  <c r="I40" i="171"/>
  <c r="I41" i="171"/>
  <c r="I40" i="172"/>
  <c r="I41" i="172"/>
  <c r="I40" i="173"/>
  <c r="I41" i="173"/>
  <c r="I40" i="174"/>
  <c r="I40" i="175"/>
  <c r="I41" i="175"/>
  <c r="I40" i="176"/>
  <c r="I40" i="177"/>
  <c r="I40" i="178"/>
  <c r="I40" i="179"/>
  <c r="I40" i="180"/>
  <c r="I41" i="180"/>
  <c r="I40" i="181"/>
  <c r="I40" i="182"/>
  <c r="I40" i="183"/>
  <c r="I40" i="184"/>
  <c r="I40" i="185"/>
  <c r="I40" i="186"/>
  <c r="I40" i="187"/>
  <c r="I40" i="189"/>
  <c r="I40" i="188"/>
  <c r="I40" i="190"/>
  <c r="I40" i="191"/>
  <c r="I41" i="159"/>
  <c r="I45" i="159"/>
  <c r="I39" i="15"/>
  <c r="K39" i="15"/>
  <c r="M39" i="15"/>
  <c r="O39" i="15"/>
  <c r="Q39" i="15"/>
  <c r="S39" i="15"/>
  <c r="U39" i="15"/>
  <c r="G45" i="162"/>
  <c r="G39" i="163"/>
  <c r="I39" i="163"/>
  <c r="K39" i="163"/>
  <c r="M39" i="163"/>
  <c r="O39" i="163"/>
  <c r="Q39" i="163"/>
  <c r="S39" i="163"/>
  <c r="U39" i="163"/>
  <c r="G39" i="170"/>
  <c r="I39" i="170"/>
  <c r="K39" i="170"/>
  <c r="M39" i="170"/>
  <c r="O39" i="170"/>
  <c r="Q39" i="170"/>
  <c r="S39" i="170"/>
  <c r="U39" i="170"/>
  <c r="G45" i="171"/>
  <c r="G45" i="175"/>
  <c r="E39" i="178"/>
  <c r="G39" i="178"/>
  <c r="I39" i="178"/>
  <c r="K39" i="178"/>
  <c r="M39" i="178"/>
  <c r="O39" i="178"/>
  <c r="Q39" i="178"/>
  <c r="S39" i="178"/>
  <c r="U39" i="178"/>
  <c r="G39" i="180"/>
  <c r="G39" i="183"/>
  <c r="I39" i="183"/>
  <c r="K39" i="183"/>
  <c r="M39" i="183"/>
  <c r="O39" i="183"/>
  <c r="Q39" i="183"/>
  <c r="S39" i="183"/>
  <c r="U39" i="183"/>
  <c r="E39" i="184"/>
  <c r="G39" i="184"/>
  <c r="I39" i="184"/>
  <c r="K39" i="184"/>
  <c r="M39" i="184"/>
  <c r="O39" i="184"/>
  <c r="Q39" i="184"/>
  <c r="S39" i="184"/>
  <c r="U39" i="184"/>
  <c r="G39" i="185"/>
  <c r="I39" i="185"/>
  <c r="K39" i="185"/>
  <c r="M39" i="185"/>
  <c r="O39" i="185"/>
  <c r="Q39" i="185"/>
  <c r="S39" i="185"/>
  <c r="U39" i="185"/>
  <c r="G39" i="186"/>
  <c r="I39" i="186"/>
  <c r="K39" i="186"/>
  <c r="M39" i="186"/>
  <c r="O39" i="186"/>
  <c r="Q39" i="186"/>
  <c r="S39" i="186"/>
  <c r="U39" i="186"/>
  <c r="G45" i="160"/>
  <c r="G38" i="163"/>
  <c r="I38" i="163"/>
  <c r="K38" i="163"/>
  <c r="M38" i="163"/>
  <c r="G45" i="164"/>
  <c r="G45" i="168"/>
  <c r="I38" i="176"/>
  <c r="K38" i="176"/>
  <c r="M38" i="176"/>
  <c r="O38" i="176"/>
  <c r="Q38" i="176"/>
  <c r="S38" i="176"/>
  <c r="U38" i="176"/>
  <c r="G38" i="180"/>
  <c r="I38" i="180"/>
  <c r="K38" i="180"/>
  <c r="M38" i="180"/>
  <c r="O38" i="180"/>
  <c r="Q38" i="180"/>
  <c r="S38" i="180"/>
  <c r="U38" i="180"/>
  <c r="I38" i="183"/>
  <c r="K38" i="183"/>
  <c r="M38" i="183"/>
  <c r="G38" i="185"/>
  <c r="I38" i="185"/>
  <c r="K38" i="185"/>
  <c r="M38" i="185"/>
  <c r="E38" i="189"/>
  <c r="G38" i="189"/>
  <c r="I38" i="189"/>
  <c r="K38" i="189"/>
  <c r="M38" i="189"/>
  <c r="O38" i="189"/>
  <c r="G38" i="188"/>
  <c r="I38" i="188"/>
  <c r="K38" i="188"/>
  <c r="M38" i="188"/>
  <c r="O38" i="188"/>
  <c r="Q38" i="188"/>
  <c r="S38" i="188"/>
  <c r="U38" i="188"/>
  <c r="G37" i="163"/>
  <c r="I37" i="163"/>
  <c r="G45" i="167"/>
  <c r="I37" i="179"/>
  <c r="I37" i="183"/>
  <c r="G37" i="189"/>
  <c r="G37" i="188"/>
  <c r="G41" i="158"/>
  <c r="G40" i="160"/>
  <c r="G40" i="161"/>
  <c r="G40" i="162"/>
  <c r="G40" i="163"/>
  <c r="G45" i="163"/>
  <c r="G40" i="164"/>
  <c r="G40" i="165"/>
  <c r="G40" i="167"/>
  <c r="G40" i="168"/>
  <c r="G40" i="169"/>
  <c r="G45" i="169"/>
  <c r="G40" i="170"/>
  <c r="G40" i="171"/>
  <c r="G40" i="172"/>
  <c r="G45" i="172"/>
  <c r="G40" i="173"/>
  <c r="G45" i="173"/>
  <c r="G40" i="174"/>
  <c r="G40" i="175"/>
  <c r="G40" i="178"/>
  <c r="G40" i="179"/>
  <c r="G40" i="180"/>
  <c r="G40" i="181"/>
  <c r="G40" i="182"/>
  <c r="G40" i="183"/>
  <c r="G40" i="184"/>
  <c r="G40" i="185"/>
  <c r="G40" i="186"/>
  <c r="G40" i="187"/>
  <c r="G40" i="189"/>
  <c r="G40" i="188"/>
  <c r="G40" i="191"/>
  <c r="G45" i="159"/>
  <c r="G40" i="159"/>
  <c r="E45" i="160"/>
  <c r="E45" i="161"/>
  <c r="E45" i="162"/>
  <c r="E45" i="164"/>
  <c r="E45" i="165"/>
  <c r="E45" i="168"/>
  <c r="E45" i="169"/>
  <c r="E45" i="171"/>
  <c r="E45" i="172"/>
  <c r="E45" i="173"/>
  <c r="E45" i="174"/>
  <c r="E45" i="175"/>
  <c r="E37" i="177"/>
  <c r="E38" i="177"/>
  <c r="E39" i="177"/>
  <c r="E45" i="177"/>
  <c r="E45" i="179"/>
  <c r="E45" i="182"/>
  <c r="E45" i="188"/>
  <c r="E45" i="159"/>
  <c r="E41" i="158"/>
  <c r="E41" i="160"/>
  <c r="E41" i="161"/>
  <c r="E41" i="162"/>
  <c r="E41" i="164"/>
  <c r="E41" i="165"/>
  <c r="E41" i="168"/>
  <c r="E41" i="169"/>
  <c r="E41" i="171"/>
  <c r="E41" i="172"/>
  <c r="E41" i="173"/>
  <c r="E41" i="174"/>
  <c r="E41" i="175"/>
  <c r="E41" i="177"/>
  <c r="E37" i="178"/>
  <c r="E41" i="178"/>
  <c r="E41" i="182"/>
  <c r="E41" i="189"/>
  <c r="E41" i="188"/>
  <c r="E41" i="159"/>
  <c r="E40" i="160"/>
  <c r="E40" i="161"/>
  <c r="E40" i="162"/>
  <c r="E40" i="164"/>
  <c r="E40" i="165"/>
  <c r="E40" i="168"/>
  <c r="E40" i="169"/>
  <c r="E40" i="171"/>
  <c r="E40" i="172"/>
  <c r="E40" i="173"/>
  <c r="E40" i="174"/>
  <c r="E40" i="175"/>
  <c r="E40" i="176"/>
  <c r="E40" i="177"/>
  <c r="E40" i="178"/>
  <c r="E40" i="179"/>
  <c r="E40" i="182"/>
  <c r="E40" i="184"/>
  <c r="E40" i="187"/>
  <c r="E40" i="189"/>
  <c r="E40" i="188"/>
  <c r="E40" i="159"/>
  <c r="E38" i="15"/>
  <c r="E38" i="176"/>
  <c r="E39" i="176"/>
  <c r="E38" i="178"/>
  <c r="G38" i="178"/>
  <c r="I38" i="178"/>
  <c r="K38" i="178"/>
  <c r="M38" i="178"/>
  <c r="O38" i="178"/>
  <c r="Q38" i="178"/>
  <c r="S38" i="178"/>
  <c r="U38" i="178"/>
  <c r="I38" i="179"/>
  <c r="K38" i="179"/>
  <c r="M38" i="179"/>
  <c r="I39" i="181"/>
  <c r="K39" i="181"/>
  <c r="M39" i="181"/>
  <c r="O39" i="181"/>
  <c r="Q39" i="181"/>
  <c r="S39" i="181"/>
  <c r="U39" i="181"/>
  <c r="E38" i="184"/>
  <c r="G38" i="184"/>
  <c r="I38" i="184"/>
  <c r="K38" i="184"/>
  <c r="M38" i="184"/>
  <c r="O38" i="184"/>
  <c r="Q38" i="184"/>
  <c r="S38" i="184"/>
  <c r="U38" i="184"/>
  <c r="E39" i="189"/>
  <c r="G39" i="189"/>
  <c r="I39" i="189"/>
  <c r="K39" i="189"/>
  <c r="M39" i="189"/>
  <c r="O39" i="189"/>
  <c r="Q39" i="189"/>
  <c r="S39" i="189"/>
  <c r="U39" i="189"/>
  <c r="I38" i="190"/>
  <c r="K38" i="190"/>
  <c r="M38" i="190"/>
  <c r="O38" i="190"/>
  <c r="Q38" i="190"/>
  <c r="S38" i="190"/>
  <c r="U38" i="190"/>
  <c r="I39" i="190"/>
  <c r="K39" i="190"/>
  <c r="M39" i="190"/>
  <c r="O39" i="190"/>
  <c r="Q39" i="190"/>
  <c r="S39" i="190"/>
  <c r="U39" i="190"/>
  <c r="I38" i="191"/>
  <c r="K38" i="191"/>
  <c r="M38" i="191"/>
  <c r="O38" i="191"/>
  <c r="Q38" i="191"/>
  <c r="S38" i="191"/>
  <c r="U38" i="191"/>
  <c r="I37" i="15"/>
  <c r="K37" i="15"/>
  <c r="M37" i="15"/>
  <c r="O37" i="15"/>
  <c r="Q37" i="15"/>
  <c r="S37" i="15"/>
  <c r="U37" i="15"/>
  <c r="E37" i="176"/>
  <c r="E41" i="176"/>
  <c r="G37" i="178"/>
  <c r="I37" i="178"/>
  <c r="K37" i="178"/>
  <c r="M37" i="178"/>
  <c r="M41" i="178"/>
  <c r="E41" i="179"/>
  <c r="E37" i="184"/>
  <c r="G37" i="184"/>
  <c r="I37" i="184"/>
  <c r="E37" i="187"/>
  <c r="E45" i="187"/>
  <c r="E45" i="189"/>
  <c r="I37" i="191"/>
  <c r="U31" i="158"/>
  <c r="S31" i="158"/>
  <c r="Q31" i="158"/>
  <c r="O31" i="158"/>
  <c r="M31" i="158"/>
  <c r="K31" i="158"/>
  <c r="I31" i="158"/>
  <c r="G31" i="158"/>
  <c r="E31" i="158"/>
  <c r="U31" i="159"/>
  <c r="S31" i="159"/>
  <c r="Q31" i="159"/>
  <c r="O31" i="159"/>
  <c r="M31" i="159"/>
  <c r="K31" i="159"/>
  <c r="I31" i="159"/>
  <c r="G31" i="159"/>
  <c r="E31" i="159"/>
  <c r="U31" i="161"/>
  <c r="S31" i="161"/>
  <c r="Q31" i="161"/>
  <c r="O31" i="161"/>
  <c r="M31" i="161"/>
  <c r="K31" i="161"/>
  <c r="I31" i="161"/>
  <c r="G31" i="161"/>
  <c r="E31" i="161"/>
  <c r="G8" i="163"/>
  <c r="I8" i="163"/>
  <c r="K8" i="163"/>
  <c r="M8" i="163"/>
  <c r="O8" i="163"/>
  <c r="Q8" i="163"/>
  <c r="S8" i="163"/>
  <c r="U8" i="163"/>
  <c r="U14" i="163"/>
  <c r="U31" i="163"/>
  <c r="S14" i="163"/>
  <c r="S31" i="163"/>
  <c r="Q14" i="163"/>
  <c r="Q31" i="163"/>
  <c r="O14" i="163"/>
  <c r="O31" i="163"/>
  <c r="M14" i="163"/>
  <c r="M31" i="163"/>
  <c r="K14" i="163"/>
  <c r="K31" i="163"/>
  <c r="I14" i="163"/>
  <c r="I31" i="163"/>
  <c r="G14" i="163"/>
  <c r="G31" i="163"/>
  <c r="E31" i="163"/>
  <c r="U31" i="164"/>
  <c r="S31" i="164"/>
  <c r="Q31" i="164"/>
  <c r="O31" i="164"/>
  <c r="M31" i="164"/>
  <c r="K31" i="164"/>
  <c r="I31" i="164"/>
  <c r="G31" i="164"/>
  <c r="E31" i="164"/>
  <c r="U31" i="165"/>
  <c r="S31" i="165"/>
  <c r="Q31" i="165"/>
  <c r="O31" i="165"/>
  <c r="M31" i="165"/>
  <c r="K31" i="165"/>
  <c r="I31" i="165"/>
  <c r="G31" i="165"/>
  <c r="E31" i="165"/>
  <c r="G8" i="167"/>
  <c r="I8" i="167"/>
  <c r="K8" i="167"/>
  <c r="M8" i="167"/>
  <c r="O8" i="167"/>
  <c r="Q8" i="167"/>
  <c r="S8" i="167"/>
  <c r="U8" i="167"/>
  <c r="U14" i="167"/>
  <c r="U31" i="167"/>
  <c r="S14" i="167"/>
  <c r="S31" i="167"/>
  <c r="Q14" i="167"/>
  <c r="Q31" i="167"/>
  <c r="O14" i="167"/>
  <c r="O31" i="167"/>
  <c r="M14" i="167"/>
  <c r="M31" i="167"/>
  <c r="K14" i="167"/>
  <c r="K31" i="167"/>
  <c r="I14" i="167"/>
  <c r="I31" i="167"/>
  <c r="G14" i="167"/>
  <c r="G31" i="167"/>
  <c r="E31" i="167"/>
  <c r="U31" i="168"/>
  <c r="S31" i="168"/>
  <c r="Q31" i="168"/>
  <c r="O31" i="168"/>
  <c r="M31" i="168"/>
  <c r="K31" i="168"/>
  <c r="I31" i="168"/>
  <c r="G31" i="168"/>
  <c r="E31" i="168"/>
  <c r="U31" i="169"/>
  <c r="S31" i="169"/>
  <c r="Q31" i="169"/>
  <c r="O31" i="169"/>
  <c r="M31" i="169"/>
  <c r="K31" i="169"/>
  <c r="I31" i="169"/>
  <c r="G31" i="169"/>
  <c r="E31" i="169"/>
  <c r="G8" i="170"/>
  <c r="I8" i="170"/>
  <c r="K8" i="170"/>
  <c r="M8" i="170"/>
  <c r="O8" i="170"/>
  <c r="Q8" i="170"/>
  <c r="S8" i="170"/>
  <c r="U8" i="170"/>
  <c r="U14" i="170"/>
  <c r="U31" i="170"/>
  <c r="S14" i="170"/>
  <c r="S31" i="170"/>
  <c r="Q14" i="170"/>
  <c r="Q31" i="170"/>
  <c r="O14" i="170"/>
  <c r="O31" i="170"/>
  <c r="M14" i="170"/>
  <c r="M31" i="170"/>
  <c r="K14" i="170"/>
  <c r="K31" i="170"/>
  <c r="I14" i="170"/>
  <c r="I31" i="170"/>
  <c r="G14" i="170"/>
  <c r="G31" i="170"/>
  <c r="E31" i="170"/>
  <c r="U31" i="172"/>
  <c r="S31" i="172"/>
  <c r="Q31" i="172"/>
  <c r="O31" i="172"/>
  <c r="M31" i="172"/>
  <c r="K31" i="172"/>
  <c r="I31" i="172"/>
  <c r="G31" i="172"/>
  <c r="E31" i="172"/>
  <c r="U31" i="173"/>
  <c r="S31" i="173"/>
  <c r="Q31" i="173"/>
  <c r="O31" i="173"/>
  <c r="M31" i="173"/>
  <c r="K31" i="173"/>
  <c r="I31" i="173"/>
  <c r="G31" i="173"/>
  <c r="E31" i="173"/>
  <c r="U31" i="174"/>
  <c r="S31" i="174"/>
  <c r="Q31" i="174"/>
  <c r="O31" i="174"/>
  <c r="M31" i="174"/>
  <c r="K31" i="174"/>
  <c r="I31" i="174"/>
  <c r="G31" i="174"/>
  <c r="E31" i="174"/>
  <c r="U31" i="175"/>
  <c r="S31" i="175"/>
  <c r="Q31" i="175"/>
  <c r="O31" i="175"/>
  <c r="M31" i="175"/>
  <c r="K31" i="175"/>
  <c r="I31" i="175"/>
  <c r="G31" i="175"/>
  <c r="E31" i="175"/>
  <c r="C31" i="158"/>
  <c r="C31" i="159"/>
  <c r="C31" i="161"/>
  <c r="C31" i="163"/>
  <c r="C31" i="164"/>
  <c r="C31" i="165"/>
  <c r="C31" i="167"/>
  <c r="C31" i="168"/>
  <c r="C31" i="169"/>
  <c r="C31" i="170"/>
  <c r="C31" i="172"/>
  <c r="C31" i="173"/>
  <c r="C31" i="174"/>
  <c r="C31" i="175"/>
  <c r="C45" i="160"/>
  <c r="C45" i="161"/>
  <c r="C45" i="162"/>
  <c r="C45" i="163"/>
  <c r="C45" i="164"/>
  <c r="C45" i="165"/>
  <c r="C45" i="167"/>
  <c r="C45" i="168"/>
  <c r="C45" i="169"/>
  <c r="C45" i="170"/>
  <c r="C45" i="171"/>
  <c r="C45" i="172"/>
  <c r="C45" i="173"/>
  <c r="C45" i="174"/>
  <c r="C45" i="175"/>
  <c r="C45" i="176"/>
  <c r="C45" i="177"/>
  <c r="C45" i="178"/>
  <c r="C45" i="179"/>
  <c r="C45" i="180"/>
  <c r="C45" i="182"/>
  <c r="C45" i="183"/>
  <c r="C45" i="184"/>
  <c r="C45" i="185"/>
  <c r="C45" i="186"/>
  <c r="C45" i="187"/>
  <c r="C45" i="188"/>
  <c r="C45" i="159"/>
  <c r="C41" i="160"/>
  <c r="C41" i="161"/>
  <c r="C41" i="162"/>
  <c r="C41" i="163"/>
  <c r="C41" i="164"/>
  <c r="C41" i="165"/>
  <c r="C41" i="167"/>
  <c r="C41" i="168"/>
  <c r="C41" i="169"/>
  <c r="C41" i="170"/>
  <c r="C41" i="171"/>
  <c r="C41" i="172"/>
  <c r="C41" i="173"/>
  <c r="C41" i="174"/>
  <c r="C41" i="175"/>
  <c r="C41" i="176"/>
  <c r="C41" i="177"/>
  <c r="C41" i="178"/>
  <c r="C41" i="179"/>
  <c r="C41" i="180"/>
  <c r="C41" i="182"/>
  <c r="C41" i="183"/>
  <c r="C41" i="184"/>
  <c r="C41" i="185"/>
  <c r="C41" i="186"/>
  <c r="C41" i="187"/>
  <c r="C41" i="188"/>
  <c r="C41" i="159"/>
  <c r="C40" i="160"/>
  <c r="C40" i="161"/>
  <c r="C40" i="162"/>
  <c r="C40" i="163"/>
  <c r="C40" i="164"/>
  <c r="C40" i="165"/>
  <c r="C40" i="167"/>
  <c r="C40" i="168"/>
  <c r="C40" i="169"/>
  <c r="C40" i="170"/>
  <c r="C40" i="171"/>
  <c r="C40" i="172"/>
  <c r="C40" i="173"/>
  <c r="C40" i="174"/>
  <c r="C40" i="175"/>
  <c r="C40" i="176"/>
  <c r="C40" i="177"/>
  <c r="C40" i="178"/>
  <c r="C40" i="179"/>
  <c r="C40" i="180"/>
  <c r="C40" i="182"/>
  <c r="C40" i="183"/>
  <c r="C40" i="184"/>
  <c r="C40" i="185"/>
  <c r="C40" i="186"/>
  <c r="C40" i="187"/>
  <c r="C40" i="188"/>
  <c r="C40" i="159"/>
  <c r="C41" i="158"/>
  <c r="I41" i="174"/>
  <c r="M37" i="174"/>
  <c r="I41" i="177"/>
  <c r="K37" i="177"/>
  <c r="G45" i="188"/>
  <c r="I37" i="188"/>
  <c r="I45" i="188"/>
  <c r="I41" i="169"/>
  <c r="K37" i="169"/>
  <c r="K37" i="118"/>
  <c r="I41" i="118"/>
  <c r="I45" i="118"/>
  <c r="M36" i="190"/>
  <c r="N85" i="197"/>
  <c r="I37" i="186"/>
  <c r="O40" i="118"/>
  <c r="Q36" i="118"/>
  <c r="I41" i="183"/>
  <c r="K37" i="183"/>
  <c r="I45" i="183"/>
  <c r="G45" i="183"/>
  <c r="I37" i="181"/>
  <c r="G45" i="181"/>
  <c r="I38" i="181"/>
  <c r="K38" i="181"/>
  <c r="M38" i="181"/>
  <c r="O38" i="181"/>
  <c r="Q38" i="181"/>
  <c r="S38" i="181"/>
  <c r="U38" i="181"/>
  <c r="I41" i="191"/>
  <c r="K37" i="191"/>
  <c r="G45" i="191"/>
  <c r="I39" i="191"/>
  <c r="I37" i="190"/>
  <c r="G45" i="189"/>
  <c r="I37" i="189"/>
  <c r="G37" i="187"/>
  <c r="I37" i="187"/>
  <c r="E41" i="187"/>
  <c r="I45" i="187"/>
  <c r="G37" i="185"/>
  <c r="K37" i="184"/>
  <c r="I41" i="184"/>
  <c r="E45" i="184"/>
  <c r="E41" i="184"/>
  <c r="G45" i="184"/>
  <c r="G45" i="180"/>
  <c r="M37" i="180"/>
  <c r="O37" i="180"/>
  <c r="I39" i="180"/>
  <c r="K39" i="180"/>
  <c r="M39" i="180"/>
  <c r="O39" i="180"/>
  <c r="Q39" i="180"/>
  <c r="S39" i="180"/>
  <c r="U39" i="180"/>
  <c r="K37" i="179"/>
  <c r="I41" i="179"/>
  <c r="G45" i="179"/>
  <c r="I39" i="179"/>
  <c r="E45" i="178"/>
  <c r="E45" i="176"/>
  <c r="M45" i="170"/>
  <c r="M41" i="170"/>
  <c r="O37" i="170"/>
  <c r="O41" i="170"/>
  <c r="M37" i="167"/>
  <c r="M41" i="167"/>
  <c r="K41" i="167"/>
  <c r="I45" i="167"/>
  <c r="I45" i="163"/>
  <c r="K37" i="163"/>
  <c r="O41" i="159"/>
  <c r="O45" i="159"/>
  <c r="Q37" i="159"/>
  <c r="Q38" i="189"/>
  <c r="S38" i="189"/>
  <c r="U38" i="189"/>
  <c r="Q37" i="175"/>
  <c r="M45" i="159"/>
  <c r="Q36" i="159"/>
  <c r="O38" i="187"/>
  <c r="Q38" i="187"/>
  <c r="S38" i="187"/>
  <c r="U38" i="187"/>
  <c r="M45" i="175"/>
  <c r="Q37" i="173"/>
  <c r="Q37" i="168"/>
  <c r="O41" i="168"/>
  <c r="O37" i="162"/>
  <c r="M45" i="162"/>
  <c r="M41" i="162"/>
  <c r="Q37" i="158"/>
  <c r="O41" i="158"/>
  <c r="M41" i="159"/>
  <c r="O37" i="182"/>
  <c r="M45" i="182"/>
  <c r="M41" i="182"/>
  <c r="O41" i="175"/>
  <c r="M45" i="174"/>
  <c r="O37" i="178"/>
  <c r="M45" i="178"/>
  <c r="M41" i="180"/>
  <c r="M41" i="172"/>
  <c r="O37" i="172"/>
  <c r="M45" i="172"/>
  <c r="O38" i="185"/>
  <c r="Q38" i="185"/>
  <c r="S38" i="185"/>
  <c r="U38" i="185"/>
  <c r="O38" i="183"/>
  <c r="Q38" i="183"/>
  <c r="S38" i="183"/>
  <c r="U38" i="183"/>
  <c r="O38" i="179"/>
  <c r="Q38" i="179"/>
  <c r="S38" i="179"/>
  <c r="U38" i="179"/>
  <c r="O38" i="177"/>
  <c r="Q38" i="177"/>
  <c r="S38" i="177"/>
  <c r="U38" i="177"/>
  <c r="O38" i="175"/>
  <c r="Q38" i="175"/>
  <c r="S38" i="175"/>
  <c r="U38" i="175"/>
  <c r="O38" i="173"/>
  <c r="Q38" i="173"/>
  <c r="S38" i="173"/>
  <c r="U38" i="173"/>
  <c r="Q37" i="165"/>
  <c r="O37" i="160"/>
  <c r="M45" i="160"/>
  <c r="M41" i="160"/>
  <c r="O37" i="167"/>
  <c r="M45" i="167"/>
  <c r="O45" i="171"/>
  <c r="O41" i="171"/>
  <c r="M41" i="171"/>
  <c r="Q37" i="171"/>
  <c r="O41" i="165"/>
  <c r="O37" i="164"/>
  <c r="M45" i="164"/>
  <c r="M41" i="164"/>
  <c r="Q37" i="161"/>
  <c r="O38" i="161"/>
  <c r="O45" i="161"/>
  <c r="O38" i="170"/>
  <c r="Q38" i="170"/>
  <c r="S38" i="170"/>
  <c r="U38" i="170"/>
  <c r="O38" i="168"/>
  <c r="Q38" i="168"/>
  <c r="S38" i="168"/>
  <c r="U38" i="168"/>
  <c r="O38" i="165"/>
  <c r="Q38" i="165"/>
  <c r="S38" i="165"/>
  <c r="U38" i="165"/>
  <c r="O38" i="163"/>
  <c r="Q38" i="163"/>
  <c r="S38" i="163"/>
  <c r="U38" i="163"/>
  <c r="Q38" i="161"/>
  <c r="S38" i="161"/>
  <c r="U38" i="161"/>
  <c r="M41" i="158"/>
  <c r="K45" i="175"/>
  <c r="K45" i="171"/>
  <c r="K45" i="167"/>
  <c r="K45" i="162"/>
  <c r="K45" i="182"/>
  <c r="K45" i="178"/>
  <c r="K45" i="174"/>
  <c r="K45" i="170"/>
  <c r="K45" i="165"/>
  <c r="K45" i="161"/>
  <c r="K45" i="177"/>
  <c r="K45" i="173"/>
  <c r="K45" i="169"/>
  <c r="K45" i="164"/>
  <c r="K45" i="160"/>
  <c r="K40" i="159"/>
  <c r="K41" i="182"/>
  <c r="K41" i="180"/>
  <c r="K41" i="178"/>
  <c r="K41" i="174"/>
  <c r="K41" i="172"/>
  <c r="K41" i="170"/>
  <c r="K41" i="168"/>
  <c r="K41" i="165"/>
  <c r="K41" i="163"/>
  <c r="K41" i="161"/>
  <c r="I45" i="182"/>
  <c r="I45" i="178"/>
  <c r="I45" i="177"/>
  <c r="I45" i="173"/>
  <c r="I45" i="169"/>
  <c r="I45" i="164"/>
  <c r="I45" i="160"/>
  <c r="I40" i="159"/>
  <c r="I41" i="182"/>
  <c r="I41" i="178"/>
  <c r="I41" i="168"/>
  <c r="I41" i="163"/>
  <c r="I45" i="184"/>
  <c r="I45" i="174"/>
  <c r="I45" i="172"/>
  <c r="I45" i="170"/>
  <c r="I45" i="165"/>
  <c r="I45" i="161"/>
  <c r="G45" i="186"/>
  <c r="G45" i="182"/>
  <c r="G45" i="178"/>
  <c r="G45" i="174"/>
  <c r="G45" i="170"/>
  <c r="G45" i="165"/>
  <c r="G45" i="161"/>
  <c r="G41" i="159"/>
  <c r="G41" i="189"/>
  <c r="G41" i="186"/>
  <c r="G41" i="184"/>
  <c r="G41" i="182"/>
  <c r="G41" i="180"/>
  <c r="G41" i="178"/>
  <c r="G41" i="174"/>
  <c r="G41" i="172"/>
  <c r="G41" i="170"/>
  <c r="G41" i="168"/>
  <c r="G41" i="165"/>
  <c r="G41" i="163"/>
  <c r="G41" i="161"/>
  <c r="G41" i="191"/>
  <c r="G41" i="188"/>
  <c r="G41" i="187"/>
  <c r="G41" i="183"/>
  <c r="G41" i="181"/>
  <c r="G41" i="179"/>
  <c r="G41" i="175"/>
  <c r="G41" i="173"/>
  <c r="G41" i="171"/>
  <c r="G41" i="169"/>
  <c r="G41" i="167"/>
  <c r="G41" i="164"/>
  <c r="G41" i="162"/>
  <c r="G41" i="160"/>
  <c r="O37" i="174"/>
  <c r="M41" i="174"/>
  <c r="I41" i="189"/>
  <c r="K41" i="177"/>
  <c r="M37" i="177"/>
  <c r="K37" i="188"/>
  <c r="I41" i="188"/>
  <c r="I41" i="186"/>
  <c r="I45" i="186"/>
  <c r="K45" i="183"/>
  <c r="M37" i="169"/>
  <c r="K41" i="169"/>
  <c r="M37" i="118"/>
  <c r="K45" i="118"/>
  <c r="K41" i="118"/>
  <c r="I45" i="190"/>
  <c r="O36" i="190"/>
  <c r="M40" i="190"/>
  <c r="P85" i="197"/>
  <c r="K37" i="186"/>
  <c r="S36" i="118"/>
  <c r="Q40" i="118"/>
  <c r="M37" i="183"/>
  <c r="K41" i="183"/>
  <c r="K37" i="181"/>
  <c r="I41" i="181"/>
  <c r="I45" i="181"/>
  <c r="M37" i="191"/>
  <c r="K41" i="191"/>
  <c r="I45" i="191"/>
  <c r="K39" i="191"/>
  <c r="I41" i="190"/>
  <c r="K37" i="190"/>
  <c r="K37" i="189"/>
  <c r="I45" i="189"/>
  <c r="I41" i="187"/>
  <c r="K37" i="187"/>
  <c r="G45" i="187"/>
  <c r="I37" i="185"/>
  <c r="G45" i="185"/>
  <c r="G41" i="185"/>
  <c r="M37" i="184"/>
  <c r="K45" i="184"/>
  <c r="K41" i="184"/>
  <c r="I45" i="180"/>
  <c r="M45" i="180"/>
  <c r="K45" i="180"/>
  <c r="K41" i="179"/>
  <c r="M37" i="179"/>
  <c r="I45" i="179"/>
  <c r="K39" i="179"/>
  <c r="I37" i="176"/>
  <c r="Q37" i="170"/>
  <c r="M37" i="163"/>
  <c r="K45" i="163"/>
  <c r="Q45" i="170"/>
  <c r="Q41" i="170"/>
  <c r="S37" i="170"/>
  <c r="O45" i="160"/>
  <c r="O41" i="160"/>
  <c r="Q37" i="160"/>
  <c r="S37" i="158"/>
  <c r="Q41" i="158"/>
  <c r="Q45" i="161"/>
  <c r="Q41" i="161"/>
  <c r="S37" i="161"/>
  <c r="O45" i="164"/>
  <c r="O41" i="164"/>
  <c r="Q37" i="164"/>
  <c r="S37" i="171"/>
  <c r="Q45" i="171"/>
  <c r="Q41" i="171"/>
  <c r="O45" i="167"/>
  <c r="O41" i="167"/>
  <c r="Q37" i="167"/>
  <c r="O45" i="165"/>
  <c r="O45" i="180"/>
  <c r="O41" i="180"/>
  <c r="Q37" i="180"/>
  <c r="O45" i="178"/>
  <c r="O41" i="178"/>
  <c r="Q37" i="178"/>
  <c r="O45" i="174"/>
  <c r="O41" i="174"/>
  <c r="Q37" i="174"/>
  <c r="O45" i="168"/>
  <c r="O45" i="175"/>
  <c r="Q45" i="165"/>
  <c r="Q41" i="165"/>
  <c r="S37" i="165"/>
  <c r="Q37" i="172"/>
  <c r="O45" i="172"/>
  <c r="O41" i="172"/>
  <c r="Q45" i="168"/>
  <c r="Q41" i="168"/>
  <c r="S37" i="168"/>
  <c r="Q45" i="175"/>
  <c r="Q41" i="175"/>
  <c r="S37" i="175"/>
  <c r="Q41" i="159"/>
  <c r="S37" i="159"/>
  <c r="Q45" i="173"/>
  <c r="Q41" i="173"/>
  <c r="S37" i="173"/>
  <c r="O45" i="170"/>
  <c r="O45" i="182"/>
  <c r="O41" i="182"/>
  <c r="Q37" i="182"/>
  <c r="O45" i="162"/>
  <c r="O41" i="162"/>
  <c r="Q37" i="162"/>
  <c r="O45" i="173"/>
  <c r="Q45" i="159"/>
  <c r="S36" i="159"/>
  <c r="Q40" i="159"/>
  <c r="M41" i="177"/>
  <c r="O37" i="177"/>
  <c r="M45" i="177"/>
  <c r="M37" i="188"/>
  <c r="K45" i="188"/>
  <c r="K41" i="188"/>
  <c r="M41" i="169"/>
  <c r="M45" i="169"/>
  <c r="O37" i="169"/>
  <c r="M41" i="118"/>
  <c r="O37" i="118"/>
  <c r="M45" i="118"/>
  <c r="Q36" i="190"/>
  <c r="O40" i="190"/>
  <c r="R85" i="197"/>
  <c r="M37" i="186"/>
  <c r="K41" i="186"/>
  <c r="K45" i="186"/>
  <c r="S40" i="118"/>
  <c r="U36" i="118"/>
  <c r="M41" i="183"/>
  <c r="O37" i="183"/>
  <c r="M45" i="183"/>
  <c r="K41" i="181"/>
  <c r="M37" i="181"/>
  <c r="K45" i="181"/>
  <c r="O37" i="191"/>
  <c r="M41" i="191"/>
  <c r="M39" i="191"/>
  <c r="O39" i="191"/>
  <c r="Q39" i="191"/>
  <c r="S39" i="191"/>
  <c r="U39" i="191"/>
  <c r="K45" i="191"/>
  <c r="M37" i="190"/>
  <c r="K45" i="190"/>
  <c r="K41" i="190"/>
  <c r="M37" i="189"/>
  <c r="K45" i="189"/>
  <c r="K41" i="189"/>
  <c r="M37" i="187"/>
  <c r="K41" i="187"/>
  <c r="K45" i="187"/>
  <c r="K37" i="185"/>
  <c r="I41" i="185"/>
  <c r="I45" i="185"/>
  <c r="O37" i="184"/>
  <c r="M45" i="184"/>
  <c r="M41" i="184"/>
  <c r="M39" i="179"/>
  <c r="O39" i="179"/>
  <c r="Q39" i="179"/>
  <c r="S39" i="179"/>
  <c r="U39" i="179"/>
  <c r="K45" i="179"/>
  <c r="M41" i="179"/>
  <c r="O37" i="179"/>
  <c r="M45" i="179"/>
  <c r="K37" i="176"/>
  <c r="I45" i="176"/>
  <c r="I41" i="176"/>
  <c r="M41" i="163"/>
  <c r="O37" i="163"/>
  <c r="M45" i="163"/>
  <c r="S37" i="182"/>
  <c r="Q45" i="182"/>
  <c r="Q41" i="182"/>
  <c r="S41" i="159"/>
  <c r="U37" i="159"/>
  <c r="U41" i="159"/>
  <c r="S37" i="174"/>
  <c r="Q45" i="174"/>
  <c r="Q41" i="174"/>
  <c r="S37" i="162"/>
  <c r="Q45" i="162"/>
  <c r="Q41" i="162"/>
  <c r="U37" i="175"/>
  <c r="S45" i="175"/>
  <c r="S41" i="175"/>
  <c r="U37" i="165"/>
  <c r="S45" i="165"/>
  <c r="S41" i="165"/>
  <c r="U37" i="168"/>
  <c r="S45" i="168"/>
  <c r="S41" i="168"/>
  <c r="S37" i="180"/>
  <c r="Q45" i="180"/>
  <c r="Q41" i="180"/>
  <c r="S45" i="171"/>
  <c r="S41" i="171"/>
  <c r="U37" i="171"/>
  <c r="U37" i="161"/>
  <c r="S45" i="161"/>
  <c r="S41" i="161"/>
  <c r="U37" i="158"/>
  <c r="U41" i="158"/>
  <c r="S41" i="158"/>
  <c r="U37" i="170"/>
  <c r="S45" i="170"/>
  <c r="S41" i="170"/>
  <c r="Q41" i="172"/>
  <c r="S37" i="172"/>
  <c r="Q45" i="172"/>
  <c r="S37" i="167"/>
  <c r="Q45" i="167"/>
  <c r="Q41" i="167"/>
  <c r="U36" i="159"/>
  <c r="S40" i="159"/>
  <c r="S45" i="159"/>
  <c r="U37" i="173"/>
  <c r="S45" i="173"/>
  <c r="S41" i="173"/>
  <c r="S37" i="178"/>
  <c r="Q45" i="178"/>
  <c r="Q41" i="178"/>
  <c r="S37" i="164"/>
  <c r="Q45" i="164"/>
  <c r="Q41" i="164"/>
  <c r="S37" i="160"/>
  <c r="Q45" i="160"/>
  <c r="Q41" i="160"/>
  <c r="O41" i="177"/>
  <c r="Q37" i="177"/>
  <c r="O45" i="177"/>
  <c r="M41" i="188"/>
  <c r="O37" i="188"/>
  <c r="M45" i="188"/>
  <c r="O45" i="169"/>
  <c r="O41" i="169"/>
  <c r="Q37" i="169"/>
  <c r="Q37" i="118"/>
  <c r="O41" i="118"/>
  <c r="O45" i="118"/>
  <c r="S36" i="190"/>
  <c r="Q40" i="190"/>
  <c r="T85" i="197"/>
  <c r="O37" i="186"/>
  <c r="M41" i="186"/>
  <c r="M45" i="186"/>
  <c r="U40" i="118"/>
  <c r="Q37" i="183"/>
  <c r="O41" i="183"/>
  <c r="O45" i="183"/>
  <c r="M45" i="191"/>
  <c r="M41" i="181"/>
  <c r="O37" i="181"/>
  <c r="M45" i="181"/>
  <c r="O41" i="191"/>
  <c r="O45" i="191"/>
  <c r="Q37" i="191"/>
  <c r="O37" i="190"/>
  <c r="M45" i="190"/>
  <c r="M41" i="190"/>
  <c r="O37" i="189"/>
  <c r="M45" i="189"/>
  <c r="M41" i="189"/>
  <c r="M41" i="187"/>
  <c r="O37" i="187"/>
  <c r="M45" i="187"/>
  <c r="M37" i="185"/>
  <c r="K41" i="185"/>
  <c r="K45" i="185"/>
  <c r="O41" i="184"/>
  <c r="Q37" i="184"/>
  <c r="O45" i="184"/>
  <c r="O41" i="179"/>
  <c r="Q37" i="179"/>
  <c r="O45" i="179"/>
  <c r="K45" i="176"/>
  <c r="M37" i="176"/>
  <c r="K41" i="176"/>
  <c r="O41" i="163"/>
  <c r="Q37" i="163"/>
  <c r="O45" i="163"/>
  <c r="S45" i="182"/>
  <c r="S41" i="182"/>
  <c r="U37" i="182"/>
  <c r="S45" i="178"/>
  <c r="S41" i="178"/>
  <c r="U37" i="178"/>
  <c r="U45" i="173"/>
  <c r="U41" i="173"/>
  <c r="S45" i="167"/>
  <c r="S41" i="167"/>
  <c r="U37" i="167"/>
  <c r="U45" i="170"/>
  <c r="U41" i="170"/>
  <c r="U45" i="165"/>
  <c r="U41" i="165"/>
  <c r="S45" i="174"/>
  <c r="S41" i="174"/>
  <c r="U37" i="174"/>
  <c r="S45" i="164"/>
  <c r="S41" i="164"/>
  <c r="U37" i="164"/>
  <c r="U40" i="159"/>
  <c r="U45" i="159"/>
  <c r="U45" i="161"/>
  <c r="U41" i="161"/>
  <c r="S45" i="162"/>
  <c r="S41" i="162"/>
  <c r="U37" i="162"/>
  <c r="S45" i="180"/>
  <c r="S41" i="180"/>
  <c r="U37" i="180"/>
  <c r="S45" i="160"/>
  <c r="S41" i="160"/>
  <c r="U37" i="160"/>
  <c r="U37" i="172"/>
  <c r="S45" i="172"/>
  <c r="S41" i="172"/>
  <c r="U45" i="171"/>
  <c r="U41" i="171"/>
  <c r="U45" i="168"/>
  <c r="U41" i="168"/>
  <c r="U45" i="175"/>
  <c r="U41" i="175"/>
  <c r="S37" i="177"/>
  <c r="Q45" i="177"/>
  <c r="Q41" i="177"/>
  <c r="O45" i="188"/>
  <c r="Q37" i="188"/>
  <c r="O41" i="188"/>
  <c r="Q41" i="169"/>
  <c r="S37" i="169"/>
  <c r="Q45" i="169"/>
  <c r="S37" i="118"/>
  <c r="Q41" i="118"/>
  <c r="Q45" i="118"/>
  <c r="U36" i="190"/>
  <c r="S40" i="190"/>
  <c r="O41" i="186"/>
  <c r="Q37" i="186"/>
  <c r="O45" i="186"/>
  <c r="Q41" i="183"/>
  <c r="S37" i="183"/>
  <c r="Q45" i="183"/>
  <c r="O41" i="181"/>
  <c r="Q37" i="181"/>
  <c r="O45" i="181"/>
  <c r="Q45" i="191"/>
  <c r="Q41" i="191"/>
  <c r="S37" i="191"/>
  <c r="O41" i="190"/>
  <c r="O45" i="190"/>
  <c r="Q37" i="190"/>
  <c r="O41" i="189"/>
  <c r="Q37" i="189"/>
  <c r="O45" i="189"/>
  <c r="Q37" i="187"/>
  <c r="O41" i="187"/>
  <c r="O45" i="187"/>
  <c r="M41" i="185"/>
  <c r="O37" i="185"/>
  <c r="M45" i="185"/>
  <c r="Q41" i="184"/>
  <c r="S37" i="184"/>
  <c r="Q45" i="184"/>
  <c r="Q41" i="179"/>
  <c r="S37" i="179"/>
  <c r="Q45" i="179"/>
  <c r="M45" i="176"/>
  <c r="O37" i="176"/>
  <c r="M41" i="176"/>
  <c r="Q45" i="163"/>
  <c r="S37" i="163"/>
  <c r="Q41" i="163"/>
  <c r="U45" i="180"/>
  <c r="U41" i="180"/>
  <c r="U45" i="178"/>
  <c r="U41" i="178"/>
  <c r="U45" i="160"/>
  <c r="U41" i="160"/>
  <c r="U45" i="162"/>
  <c r="U41" i="162"/>
  <c r="U45" i="174"/>
  <c r="U41" i="174"/>
  <c r="U45" i="167"/>
  <c r="U41" i="167"/>
  <c r="U45" i="182"/>
  <c r="U41" i="182"/>
  <c r="U41" i="172"/>
  <c r="U45" i="172"/>
  <c r="U45" i="164"/>
  <c r="U41" i="164"/>
  <c r="S45" i="177"/>
  <c r="U37" i="177"/>
  <c r="S41" i="177"/>
  <c r="Q45" i="188"/>
  <c r="Q41" i="188"/>
  <c r="S37" i="188"/>
  <c r="S45" i="169"/>
  <c r="S41" i="169"/>
  <c r="U37" i="169"/>
  <c r="U37" i="118"/>
  <c r="S41" i="118"/>
  <c r="S45" i="118"/>
  <c r="U40" i="190"/>
  <c r="S37" i="186"/>
  <c r="Q45" i="186"/>
  <c r="Q41" i="186"/>
  <c r="S41" i="183"/>
  <c r="U37" i="183"/>
  <c r="S45" i="183"/>
  <c r="Q45" i="181"/>
  <c r="Q41" i="181"/>
  <c r="S37" i="181"/>
  <c r="S41" i="191"/>
  <c r="U37" i="191"/>
  <c r="S45" i="191"/>
  <c r="S37" i="190"/>
  <c r="Q45" i="190"/>
  <c r="Q41" i="190"/>
  <c r="Q41" i="189"/>
  <c r="Q45" i="189"/>
  <c r="S37" i="189"/>
  <c r="Q41" i="187"/>
  <c r="S37" i="187"/>
  <c r="Q45" i="187"/>
  <c r="O41" i="185"/>
  <c r="Q37" i="185"/>
  <c r="O45" i="185"/>
  <c r="U37" i="184"/>
  <c r="S45" i="184"/>
  <c r="S41" i="184"/>
  <c r="S41" i="179"/>
  <c r="U37" i="179"/>
  <c r="S45" i="179"/>
  <c r="O41" i="176"/>
  <c r="O45" i="176"/>
  <c r="Q37" i="176"/>
  <c r="U37" i="163"/>
  <c r="S41" i="163"/>
  <c r="S45" i="163"/>
  <c r="U41" i="177"/>
  <c r="U45" i="177"/>
  <c r="S41" i="188"/>
  <c r="U37" i="188"/>
  <c r="S45" i="188"/>
  <c r="U45" i="169"/>
  <c r="U41" i="169"/>
  <c r="U41" i="118"/>
  <c r="U45" i="118"/>
  <c r="S45" i="186"/>
  <c r="S41" i="186"/>
  <c r="U37" i="186"/>
  <c r="U45" i="183"/>
  <c r="U41" i="183"/>
  <c r="S41" i="181"/>
  <c r="U37" i="181"/>
  <c r="S45" i="181"/>
  <c r="U45" i="191"/>
  <c r="U41" i="191"/>
  <c r="S45" i="190"/>
  <c r="S41" i="190"/>
  <c r="U37" i="190"/>
  <c r="S41" i="189"/>
  <c r="U37" i="189"/>
  <c r="S45" i="189"/>
  <c r="U37" i="187"/>
  <c r="S41" i="187"/>
  <c r="S45" i="187"/>
  <c r="Q41" i="185"/>
  <c r="S37" i="185"/>
  <c r="Q45" i="185"/>
  <c r="U41" i="184"/>
  <c r="U45" i="184"/>
  <c r="U41" i="179"/>
  <c r="U45" i="179"/>
  <c r="Q45" i="176"/>
  <c r="Q41" i="176"/>
  <c r="S37" i="176"/>
  <c r="U45" i="163"/>
  <c r="U41" i="163"/>
  <c r="U41" i="188"/>
  <c r="U45" i="188"/>
  <c r="U45" i="186"/>
  <c r="U41" i="186"/>
  <c r="U45" i="181"/>
  <c r="U41" i="181"/>
  <c r="U45" i="190"/>
  <c r="U41" i="190"/>
  <c r="U41" i="189"/>
  <c r="U45" i="189"/>
  <c r="U45" i="187"/>
  <c r="U41" i="187"/>
  <c r="U37" i="185"/>
  <c r="S45" i="185"/>
  <c r="S41" i="185"/>
  <c r="S41" i="176"/>
  <c r="S45" i="176"/>
  <c r="U37" i="176"/>
  <c r="U45" i="185"/>
  <c r="U41" i="185"/>
  <c r="U45" i="176"/>
  <c r="U41" i="176"/>
  <c r="C45" i="118"/>
  <c r="C41" i="118"/>
  <c r="C40" i="118"/>
  <c r="E8" i="181"/>
  <c r="G8" i="181"/>
  <c r="I8" i="181"/>
  <c r="K8" i="181"/>
  <c r="M8" i="181"/>
  <c r="O8" i="181"/>
  <c r="Q8" i="181"/>
  <c r="S8" i="181"/>
  <c r="U8" i="181"/>
  <c r="C8" i="118"/>
  <c r="E8" i="118"/>
  <c r="G8" i="118"/>
  <c r="I8" i="118"/>
  <c r="K8" i="118"/>
  <c r="M8" i="118"/>
  <c r="O8" i="118"/>
  <c r="Q8" i="118"/>
  <c r="S8" i="118"/>
  <c r="U8" i="118"/>
  <c r="E8" i="178"/>
  <c r="G8" i="178"/>
  <c r="I8" i="178"/>
  <c r="K8" i="178"/>
  <c r="M8" i="178"/>
  <c r="O8" i="178"/>
  <c r="Q8" i="178"/>
  <c r="S8" i="178"/>
  <c r="U8" i="178"/>
  <c r="G8" i="189"/>
  <c r="I8" i="189"/>
  <c r="K8" i="189"/>
  <c r="M8" i="189"/>
  <c r="O8" i="189"/>
  <c r="Q8" i="189"/>
  <c r="S8" i="189"/>
  <c r="U8" i="189"/>
  <c r="E8" i="15"/>
  <c r="I8" i="15"/>
  <c r="K8" i="15"/>
  <c r="M8" i="15"/>
  <c r="O8" i="15"/>
  <c r="Q8" i="15"/>
  <c r="S8" i="15"/>
  <c r="U8" i="15"/>
  <c r="E8" i="158"/>
  <c r="E8" i="159"/>
  <c r="E10" i="159"/>
  <c r="G8" i="160"/>
  <c r="I8" i="160"/>
  <c r="K8" i="160"/>
  <c r="M8" i="160"/>
  <c r="O8" i="160"/>
  <c r="Q8" i="160"/>
  <c r="S8" i="160"/>
  <c r="U8" i="160"/>
  <c r="E8" i="161"/>
  <c r="G8" i="162"/>
  <c r="I8" i="162"/>
  <c r="K8" i="162"/>
  <c r="M8" i="162"/>
  <c r="O8" i="162"/>
  <c r="Q8" i="162"/>
  <c r="S8" i="162"/>
  <c r="U8" i="162"/>
  <c r="E8" i="164"/>
  <c r="E10" i="164"/>
  <c r="E8" i="165"/>
  <c r="E10" i="165"/>
  <c r="E8" i="168"/>
  <c r="E10" i="168"/>
  <c r="E8" i="169"/>
  <c r="G8" i="171"/>
  <c r="I8" i="171"/>
  <c r="K8" i="171"/>
  <c r="M8" i="171"/>
  <c r="O8" i="171"/>
  <c r="Q8" i="171"/>
  <c r="S8" i="171"/>
  <c r="U8" i="171"/>
  <c r="E8" i="172"/>
  <c r="E8" i="173"/>
  <c r="E8" i="174"/>
  <c r="E10" i="174"/>
  <c r="E8" i="175"/>
  <c r="I8" i="177"/>
  <c r="K8" i="177"/>
  <c r="M8" i="177"/>
  <c r="O8" i="177"/>
  <c r="Q8" i="177"/>
  <c r="S8" i="177"/>
  <c r="U8" i="177"/>
  <c r="E10" i="178"/>
  <c r="E8" i="179"/>
  <c r="G8" i="179"/>
  <c r="I8" i="179"/>
  <c r="K8" i="179"/>
  <c r="M8" i="179"/>
  <c r="O8" i="179"/>
  <c r="Q8" i="179"/>
  <c r="S8" i="179"/>
  <c r="U8" i="179"/>
  <c r="E8" i="183"/>
  <c r="G8" i="183"/>
  <c r="I8" i="183"/>
  <c r="K8" i="183"/>
  <c r="M8" i="183"/>
  <c r="O8" i="183"/>
  <c r="Q8" i="183"/>
  <c r="S8" i="183"/>
  <c r="U8" i="183"/>
  <c r="E8" i="184"/>
  <c r="G8" i="184"/>
  <c r="I8" i="184"/>
  <c r="K8" i="184"/>
  <c r="M8" i="184"/>
  <c r="O8" i="184"/>
  <c r="Q8" i="184"/>
  <c r="S8" i="184"/>
  <c r="U8" i="184"/>
  <c r="E8" i="185"/>
  <c r="G8" i="185"/>
  <c r="I8" i="185"/>
  <c r="K8" i="185"/>
  <c r="M8" i="185"/>
  <c r="O8" i="185"/>
  <c r="Q8" i="185"/>
  <c r="S8" i="185"/>
  <c r="U8" i="185"/>
  <c r="E8" i="186"/>
  <c r="G8" i="186"/>
  <c r="I8" i="186"/>
  <c r="K8" i="186"/>
  <c r="M8" i="186"/>
  <c r="O8" i="186"/>
  <c r="Q8" i="186"/>
  <c r="S8" i="186"/>
  <c r="U8" i="186"/>
  <c r="E8" i="187"/>
  <c r="G8" i="187"/>
  <c r="I8" i="187"/>
  <c r="K8" i="187"/>
  <c r="M8" i="187"/>
  <c r="O8" i="187"/>
  <c r="Q8" i="187"/>
  <c r="S8" i="187"/>
  <c r="U8" i="187"/>
  <c r="G8" i="188"/>
  <c r="I8" i="188"/>
  <c r="K8" i="188"/>
  <c r="M8" i="188"/>
  <c r="O8" i="188"/>
  <c r="Q8" i="188"/>
  <c r="S8" i="188"/>
  <c r="U8" i="188"/>
  <c r="E8" i="190"/>
  <c r="G8" i="190"/>
  <c r="I8" i="190"/>
  <c r="K8" i="190"/>
  <c r="M8" i="190"/>
  <c r="O8" i="190"/>
  <c r="Q8" i="190"/>
  <c r="S8" i="190"/>
  <c r="U8" i="190"/>
  <c r="E8" i="191"/>
  <c r="G8" i="191"/>
  <c r="I8" i="191"/>
  <c r="K8" i="191"/>
  <c r="M8" i="191"/>
  <c r="O8" i="191"/>
  <c r="Q8" i="191"/>
  <c r="S8" i="191"/>
  <c r="U8" i="191"/>
  <c r="U28" i="197"/>
  <c r="V52" i="197"/>
  <c r="T52" i="197"/>
  <c r="R52" i="197"/>
  <c r="P52" i="197"/>
  <c r="N52" i="197"/>
  <c r="L52" i="197"/>
  <c r="J52" i="197"/>
  <c r="H52" i="197"/>
  <c r="F52" i="197"/>
  <c r="D52" i="197"/>
  <c r="C10" i="118"/>
  <c r="C13" i="118"/>
  <c r="E10" i="118"/>
  <c r="E13" i="118"/>
  <c r="G8" i="175"/>
  <c r="E10" i="175"/>
  <c r="G8" i="172"/>
  <c r="E10" i="172"/>
  <c r="G8" i="174"/>
  <c r="G8" i="173"/>
  <c r="E10" i="173"/>
  <c r="G8" i="164"/>
  <c r="G8" i="158"/>
  <c r="E10" i="158"/>
  <c r="G8" i="159"/>
  <c r="G8" i="161"/>
  <c r="E10" i="161"/>
  <c r="G8" i="168"/>
  <c r="G8" i="165"/>
  <c r="G8" i="169"/>
  <c r="E10" i="169"/>
  <c r="I8" i="175"/>
  <c r="G10" i="175"/>
  <c r="I8" i="172"/>
  <c r="G10" i="172"/>
  <c r="I8" i="174"/>
  <c r="G10" i="174"/>
  <c r="I8" i="173"/>
  <c r="G10" i="173"/>
  <c r="G10" i="164"/>
  <c r="I8" i="164"/>
  <c r="I8" i="158"/>
  <c r="G10" i="158"/>
  <c r="I8" i="159"/>
  <c r="G10" i="159"/>
  <c r="I8" i="161"/>
  <c r="G10" i="161"/>
  <c r="G10" i="168"/>
  <c r="I8" i="168"/>
  <c r="I8" i="165"/>
  <c r="G10" i="165"/>
  <c r="I8" i="169"/>
  <c r="G10" i="169"/>
  <c r="K34" i="202"/>
  <c r="K8" i="175"/>
  <c r="I10" i="175"/>
  <c r="K8" i="172"/>
  <c r="I10" i="172"/>
  <c r="K8" i="174"/>
  <c r="I10" i="174"/>
  <c r="K8" i="173"/>
  <c r="I10" i="173"/>
  <c r="K8" i="164"/>
  <c r="I10" i="164"/>
  <c r="K8" i="158"/>
  <c r="I10" i="158"/>
  <c r="K8" i="159"/>
  <c r="I10" i="159"/>
  <c r="K8" i="161"/>
  <c r="I10" i="161"/>
  <c r="I10" i="168"/>
  <c r="K8" i="168"/>
  <c r="K8" i="165"/>
  <c r="I10" i="165"/>
  <c r="K8" i="169"/>
  <c r="I10" i="169"/>
  <c r="J27" i="202"/>
  <c r="H27" i="202"/>
  <c r="J26" i="202"/>
  <c r="H26" i="202"/>
  <c r="J25" i="202"/>
  <c r="H25" i="202"/>
  <c r="M8" i="175"/>
  <c r="K10" i="175"/>
  <c r="M8" i="172"/>
  <c r="K10" i="172"/>
  <c r="M8" i="174"/>
  <c r="K10" i="174"/>
  <c r="M8" i="173"/>
  <c r="K10" i="173"/>
  <c r="M8" i="164"/>
  <c r="K10" i="164"/>
  <c r="M8" i="158"/>
  <c r="K10" i="158"/>
  <c r="M8" i="159"/>
  <c r="K10" i="159"/>
  <c r="M8" i="161"/>
  <c r="K10" i="161"/>
  <c r="M8" i="168"/>
  <c r="K10" i="168"/>
  <c r="M8" i="165"/>
  <c r="K10" i="165"/>
  <c r="M8" i="169"/>
  <c r="K10" i="169"/>
  <c r="E267" i="202"/>
  <c r="E242" i="202"/>
  <c r="E217" i="202"/>
  <c r="E192" i="202"/>
  <c r="E167" i="202"/>
  <c r="E142" i="202"/>
  <c r="E117" i="202"/>
  <c r="E92" i="202"/>
  <c r="O8" i="175"/>
  <c r="M10" i="175"/>
  <c r="O8" i="172"/>
  <c r="M10" i="172"/>
  <c r="O8" i="174"/>
  <c r="M10" i="174"/>
  <c r="O8" i="173"/>
  <c r="M10" i="173"/>
  <c r="O8" i="164"/>
  <c r="M10" i="164"/>
  <c r="O8" i="158"/>
  <c r="M10" i="158"/>
  <c r="O8" i="159"/>
  <c r="M10" i="159"/>
  <c r="O8" i="161"/>
  <c r="M10" i="161"/>
  <c r="O8" i="168"/>
  <c r="M10" i="168"/>
  <c r="O8" i="165"/>
  <c r="M10" i="165"/>
  <c r="O8" i="169"/>
  <c r="M10" i="169"/>
  <c r="G67" i="202"/>
  <c r="Q8" i="175"/>
  <c r="O10" i="175"/>
  <c r="Q8" i="172"/>
  <c r="O10" i="172"/>
  <c r="Q8" i="174"/>
  <c r="O10" i="174"/>
  <c r="Q8" i="173"/>
  <c r="O10" i="173"/>
  <c r="Q8" i="164"/>
  <c r="O10" i="164"/>
  <c r="Q8" i="158"/>
  <c r="O10" i="158"/>
  <c r="Q8" i="159"/>
  <c r="O10" i="159"/>
  <c r="Q8" i="161"/>
  <c r="O10" i="161"/>
  <c r="Q8" i="168"/>
  <c r="O10" i="168"/>
  <c r="Q8" i="165"/>
  <c r="O10" i="165"/>
  <c r="Q8" i="169"/>
  <c r="O10" i="169"/>
  <c r="L274" i="202"/>
  <c r="K274" i="202"/>
  <c r="L273" i="202"/>
  <c r="K273" i="202"/>
  <c r="J268" i="202"/>
  <c r="I268" i="202"/>
  <c r="H268" i="202"/>
  <c r="G268" i="202"/>
  <c r="F268" i="202"/>
  <c r="E268" i="202"/>
  <c r="L267" i="202"/>
  <c r="K267" i="202"/>
  <c r="L266" i="202"/>
  <c r="K266" i="202"/>
  <c r="L265" i="202"/>
  <c r="K265" i="202"/>
  <c r="M265" i="202"/>
  <c r="L264" i="202"/>
  <c r="K264" i="202"/>
  <c r="M264" i="202"/>
  <c r="L263" i="202"/>
  <c r="K263" i="202"/>
  <c r="L262" i="202"/>
  <c r="K262" i="202"/>
  <c r="L261" i="202"/>
  <c r="L270" i="202"/>
  <c r="K261" i="202"/>
  <c r="L260" i="202"/>
  <c r="K260" i="202"/>
  <c r="L259" i="202"/>
  <c r="K259" i="202"/>
  <c r="L258" i="202"/>
  <c r="K258" i="202"/>
  <c r="L257" i="202"/>
  <c r="K257" i="202"/>
  <c r="L256" i="202"/>
  <c r="K256" i="202"/>
  <c r="L255" i="202"/>
  <c r="K255" i="202"/>
  <c r="L254" i="202"/>
  <c r="K254" i="202"/>
  <c r="L253" i="202"/>
  <c r="K253" i="202"/>
  <c r="L249" i="202"/>
  <c r="K249" i="202"/>
  <c r="L248" i="202"/>
  <c r="K248" i="202"/>
  <c r="J243" i="202"/>
  <c r="I243" i="202"/>
  <c r="H243" i="202"/>
  <c r="G243" i="202"/>
  <c r="F243" i="202"/>
  <c r="E243" i="202"/>
  <c r="L242" i="202"/>
  <c r="L241" i="202"/>
  <c r="K241" i="202"/>
  <c r="M241" i="202"/>
  <c r="L240" i="202"/>
  <c r="K240" i="202"/>
  <c r="L239" i="202"/>
  <c r="K239" i="202"/>
  <c r="M239" i="202"/>
  <c r="L238" i="202"/>
  <c r="K238" i="202"/>
  <c r="M238" i="202"/>
  <c r="L237" i="202"/>
  <c r="K237" i="202"/>
  <c r="L236" i="202"/>
  <c r="L245" i="202"/>
  <c r="K236" i="202"/>
  <c r="L235" i="202"/>
  <c r="K235" i="202"/>
  <c r="L234" i="202"/>
  <c r="K234" i="202"/>
  <c r="L233" i="202"/>
  <c r="K233" i="202"/>
  <c r="L232" i="202"/>
  <c r="K232" i="202"/>
  <c r="L231" i="202"/>
  <c r="K231" i="202"/>
  <c r="L230" i="202"/>
  <c r="K230" i="202"/>
  <c r="L229" i="202"/>
  <c r="K229" i="202"/>
  <c r="L228" i="202"/>
  <c r="K228" i="202"/>
  <c r="L224" i="202"/>
  <c r="K224" i="202"/>
  <c r="L223" i="202"/>
  <c r="K223" i="202"/>
  <c r="J218" i="202"/>
  <c r="I218" i="202"/>
  <c r="H218" i="202"/>
  <c r="G218" i="202"/>
  <c r="F218" i="202"/>
  <c r="E218" i="202"/>
  <c r="L217" i="202"/>
  <c r="K217" i="202"/>
  <c r="M217" i="202"/>
  <c r="L216" i="202"/>
  <c r="K216" i="202"/>
  <c r="M216" i="202"/>
  <c r="L215" i="202"/>
  <c r="K215" i="202"/>
  <c r="M215" i="202"/>
  <c r="L214" i="202"/>
  <c r="K214" i="202"/>
  <c r="M214" i="202"/>
  <c r="L213" i="202"/>
  <c r="K213" i="202"/>
  <c r="L212" i="202"/>
  <c r="K212" i="202"/>
  <c r="L211" i="202"/>
  <c r="L220" i="202"/>
  <c r="K211" i="202"/>
  <c r="L210" i="202"/>
  <c r="K210" i="202"/>
  <c r="L209" i="202"/>
  <c r="K209" i="202"/>
  <c r="L208" i="202"/>
  <c r="K208" i="202"/>
  <c r="L207" i="202"/>
  <c r="K207" i="202"/>
  <c r="L206" i="202"/>
  <c r="K206" i="202"/>
  <c r="L205" i="202"/>
  <c r="K205" i="202"/>
  <c r="L204" i="202"/>
  <c r="K204" i="202"/>
  <c r="L203" i="202"/>
  <c r="K203" i="202"/>
  <c r="L199" i="202"/>
  <c r="K199" i="202"/>
  <c r="L198" i="202"/>
  <c r="K198" i="202"/>
  <c r="J193" i="202"/>
  <c r="I193" i="202"/>
  <c r="H193" i="202"/>
  <c r="G193" i="202"/>
  <c r="F193" i="202"/>
  <c r="E193" i="202"/>
  <c r="L192" i="202"/>
  <c r="K192" i="202"/>
  <c r="L191" i="202"/>
  <c r="K191" i="202"/>
  <c r="L190" i="202"/>
  <c r="K190" i="202"/>
  <c r="L189" i="202"/>
  <c r="K189" i="202"/>
  <c r="M189" i="202"/>
  <c r="L188" i="202"/>
  <c r="K188" i="202"/>
  <c r="M188" i="202"/>
  <c r="L187" i="202"/>
  <c r="K187" i="202"/>
  <c r="L186" i="202"/>
  <c r="L195" i="202"/>
  <c r="K186" i="202"/>
  <c r="L185" i="202"/>
  <c r="K185" i="202"/>
  <c r="L184" i="202"/>
  <c r="K184" i="202"/>
  <c r="L183" i="202"/>
  <c r="K183" i="202"/>
  <c r="L182" i="202"/>
  <c r="K182" i="202"/>
  <c r="L181" i="202"/>
  <c r="K181" i="202"/>
  <c r="L180" i="202"/>
  <c r="K180" i="202"/>
  <c r="L179" i="202"/>
  <c r="K179" i="202"/>
  <c r="L178" i="202"/>
  <c r="K178" i="202"/>
  <c r="L174" i="202"/>
  <c r="K174" i="202"/>
  <c r="L173" i="202"/>
  <c r="K173" i="202"/>
  <c r="J168" i="202"/>
  <c r="I168" i="202"/>
  <c r="H168" i="202"/>
  <c r="G168" i="202"/>
  <c r="F168" i="202"/>
  <c r="E168" i="202"/>
  <c r="L166" i="202"/>
  <c r="K166" i="202"/>
  <c r="M166" i="202"/>
  <c r="L165" i="202"/>
  <c r="K165" i="202"/>
  <c r="L164" i="202"/>
  <c r="K164" i="202"/>
  <c r="M164" i="202"/>
  <c r="L163" i="202"/>
  <c r="K163" i="202"/>
  <c r="M163" i="202"/>
  <c r="L162" i="202"/>
  <c r="K162" i="202"/>
  <c r="L161" i="202"/>
  <c r="L170" i="202"/>
  <c r="K161" i="202"/>
  <c r="L160" i="202"/>
  <c r="K160" i="202"/>
  <c r="L159" i="202"/>
  <c r="K159" i="202"/>
  <c r="L158" i="202"/>
  <c r="K158" i="202"/>
  <c r="L157" i="202"/>
  <c r="K157" i="202"/>
  <c r="L156" i="202"/>
  <c r="K156" i="202"/>
  <c r="L155" i="202"/>
  <c r="K155" i="202"/>
  <c r="L154" i="202"/>
  <c r="K154" i="202"/>
  <c r="L153" i="202"/>
  <c r="K153" i="202"/>
  <c r="L149" i="202"/>
  <c r="K149" i="202"/>
  <c r="L148" i="202"/>
  <c r="K148" i="202"/>
  <c r="J143" i="202"/>
  <c r="I143" i="202"/>
  <c r="H143" i="202"/>
  <c r="G143" i="202"/>
  <c r="F143" i="202"/>
  <c r="E143" i="202"/>
  <c r="L142" i="202"/>
  <c r="K142" i="202"/>
  <c r="L141" i="202"/>
  <c r="K141" i="202"/>
  <c r="M141" i="202"/>
  <c r="L140" i="202"/>
  <c r="K140" i="202"/>
  <c r="L139" i="202"/>
  <c r="K139" i="202"/>
  <c r="M139" i="202"/>
  <c r="L138" i="202"/>
  <c r="K138" i="202"/>
  <c r="L137" i="202"/>
  <c r="K137" i="202"/>
  <c r="M137" i="202"/>
  <c r="L136" i="202"/>
  <c r="L145" i="202"/>
  <c r="K136" i="202"/>
  <c r="L135" i="202"/>
  <c r="K135" i="202"/>
  <c r="M135" i="202"/>
  <c r="L134" i="202"/>
  <c r="K134" i="202"/>
  <c r="L133" i="202"/>
  <c r="K133" i="202"/>
  <c r="L132" i="202"/>
  <c r="K132" i="202"/>
  <c r="L131" i="202"/>
  <c r="K131" i="202"/>
  <c r="L130" i="202"/>
  <c r="K130" i="202"/>
  <c r="L129" i="202"/>
  <c r="K129" i="202"/>
  <c r="L128" i="202"/>
  <c r="K128" i="202"/>
  <c r="L124" i="202"/>
  <c r="K124" i="202"/>
  <c r="L123" i="202"/>
  <c r="K123" i="202"/>
  <c r="J118" i="202"/>
  <c r="I118" i="202"/>
  <c r="H118" i="202"/>
  <c r="G118" i="202"/>
  <c r="F118" i="202"/>
  <c r="E118" i="202"/>
  <c r="L117" i="202"/>
  <c r="K117" i="202"/>
  <c r="L116" i="202"/>
  <c r="K116" i="202"/>
  <c r="M116" i="202"/>
  <c r="L115" i="202"/>
  <c r="K115" i="202"/>
  <c r="L114" i="202"/>
  <c r="K114" i="202"/>
  <c r="M114" i="202"/>
  <c r="L113" i="202"/>
  <c r="K113" i="202"/>
  <c r="L112" i="202"/>
  <c r="K112" i="202"/>
  <c r="L111" i="202"/>
  <c r="L120" i="202"/>
  <c r="K111" i="202"/>
  <c r="L110" i="202"/>
  <c r="K110" i="202"/>
  <c r="M110" i="202"/>
  <c r="L109" i="202"/>
  <c r="K109" i="202"/>
  <c r="L108" i="202"/>
  <c r="K108" i="202"/>
  <c r="L107" i="202"/>
  <c r="K107" i="202"/>
  <c r="L106" i="202"/>
  <c r="K106" i="202"/>
  <c r="L105" i="202"/>
  <c r="K105" i="202"/>
  <c r="L104" i="202"/>
  <c r="K104" i="202"/>
  <c r="L103" i="202"/>
  <c r="L99" i="202"/>
  <c r="K99" i="202"/>
  <c r="L98" i="202"/>
  <c r="K98" i="202"/>
  <c r="J93" i="202"/>
  <c r="I93" i="202"/>
  <c r="H93" i="202"/>
  <c r="G93" i="202"/>
  <c r="F93" i="202"/>
  <c r="E93" i="202"/>
  <c r="L92" i="202"/>
  <c r="K92" i="202"/>
  <c r="L91" i="202"/>
  <c r="K91" i="202"/>
  <c r="M91" i="202"/>
  <c r="L90" i="202"/>
  <c r="K90" i="202"/>
  <c r="L89" i="202"/>
  <c r="K89" i="202"/>
  <c r="M89" i="202"/>
  <c r="L88" i="202"/>
  <c r="K88" i="202"/>
  <c r="L87" i="202"/>
  <c r="K87" i="202"/>
  <c r="M87" i="202"/>
  <c r="L86" i="202"/>
  <c r="L95" i="202"/>
  <c r="K86" i="202"/>
  <c r="L85" i="202"/>
  <c r="K85" i="202"/>
  <c r="L84" i="202"/>
  <c r="K84" i="202"/>
  <c r="L83" i="202"/>
  <c r="K83" i="202"/>
  <c r="L82" i="202"/>
  <c r="K82" i="202"/>
  <c r="L81" i="202"/>
  <c r="K81" i="202"/>
  <c r="L80" i="202"/>
  <c r="K80" i="202"/>
  <c r="L79" i="202"/>
  <c r="K79" i="202"/>
  <c r="L78" i="202"/>
  <c r="K78" i="202"/>
  <c r="L73" i="202"/>
  <c r="K73" i="202"/>
  <c r="L72" i="202"/>
  <c r="K72" i="202"/>
  <c r="J67" i="202"/>
  <c r="I67" i="202"/>
  <c r="H67" i="202"/>
  <c r="F67" i="202"/>
  <c r="E67" i="202"/>
  <c r="K66" i="202"/>
  <c r="M66" i="202"/>
  <c r="K65" i="202"/>
  <c r="M65" i="202"/>
  <c r="K64" i="202"/>
  <c r="M64" i="202"/>
  <c r="K63" i="202"/>
  <c r="M63" i="202"/>
  <c r="K62" i="202"/>
  <c r="K61" i="202"/>
  <c r="K60" i="202"/>
  <c r="K59" i="202"/>
  <c r="M59" i="202"/>
  <c r="K58" i="202"/>
  <c r="K57" i="202"/>
  <c r="M57" i="202"/>
  <c r="K56" i="202"/>
  <c r="K55" i="202"/>
  <c r="K54" i="202"/>
  <c r="K53" i="202"/>
  <c r="K52" i="202"/>
  <c r="L47" i="202"/>
  <c r="K47" i="202"/>
  <c r="L46" i="202"/>
  <c r="K46" i="202"/>
  <c r="M46" i="202"/>
  <c r="J43" i="202"/>
  <c r="I43" i="202"/>
  <c r="H43" i="202"/>
  <c r="G43" i="202"/>
  <c r="F43" i="202"/>
  <c r="E43" i="202"/>
  <c r="L42" i="202"/>
  <c r="K42" i="202"/>
  <c r="M42" i="202"/>
  <c r="K41" i="202"/>
  <c r="L41" i="202"/>
  <c r="M41" i="202"/>
  <c r="L40" i="202"/>
  <c r="K40" i="202"/>
  <c r="M40" i="202"/>
  <c r="L39" i="202"/>
  <c r="K39" i="202"/>
  <c r="M39" i="202"/>
  <c r="L38" i="202"/>
  <c r="K38" i="202"/>
  <c r="M38" i="202"/>
  <c r="K37" i="202"/>
  <c r="L37" i="202"/>
  <c r="M37" i="202"/>
  <c r="L36" i="202"/>
  <c r="K36" i="202"/>
  <c r="M36" i="202"/>
  <c r="L35" i="202"/>
  <c r="K35" i="202"/>
  <c r="M35" i="202"/>
  <c r="L34" i="202"/>
  <c r="M34" i="202"/>
  <c r="L33" i="202"/>
  <c r="K33" i="202"/>
  <c r="M33" i="202"/>
  <c r="L32" i="202"/>
  <c r="K32" i="202"/>
  <c r="M32" i="202"/>
  <c r="L31" i="202"/>
  <c r="K31" i="202"/>
  <c r="M31" i="202"/>
  <c r="L30" i="202"/>
  <c r="K30" i="202"/>
  <c r="M30" i="202"/>
  <c r="L29" i="202"/>
  <c r="K29" i="202"/>
  <c r="M29" i="202"/>
  <c r="L28" i="202"/>
  <c r="K28" i="202"/>
  <c r="L27" i="202"/>
  <c r="K27" i="202"/>
  <c r="M27" i="202"/>
  <c r="L26" i="202"/>
  <c r="K26" i="202"/>
  <c r="K25" i="202"/>
  <c r="L25" i="202"/>
  <c r="M25" i="202"/>
  <c r="L24" i="202"/>
  <c r="K24" i="202"/>
  <c r="L23" i="202"/>
  <c r="K23" i="202"/>
  <c r="L22" i="202"/>
  <c r="K22" i="202"/>
  <c r="M22" i="202"/>
  <c r="K21" i="202"/>
  <c r="L21" i="202"/>
  <c r="M21" i="202"/>
  <c r="S8" i="175"/>
  <c r="Q10" i="175"/>
  <c r="S8" i="172"/>
  <c r="Q10" i="172"/>
  <c r="S8" i="174"/>
  <c r="Q10" i="174"/>
  <c r="S8" i="173"/>
  <c r="Q10" i="173"/>
  <c r="S8" i="164"/>
  <c r="Q10" i="164"/>
  <c r="S8" i="158"/>
  <c r="Q10" i="158"/>
  <c r="S8" i="159"/>
  <c r="Q10" i="159"/>
  <c r="S8" i="161"/>
  <c r="Q10" i="161"/>
  <c r="S8" i="168"/>
  <c r="Q10" i="168"/>
  <c r="S8" i="165"/>
  <c r="Q10" i="165"/>
  <c r="S8" i="169"/>
  <c r="Q10" i="169"/>
  <c r="M234" i="202"/>
  <c r="M158" i="202"/>
  <c r="M204" i="202"/>
  <c r="M160" i="202"/>
  <c r="M231" i="202"/>
  <c r="M233" i="202"/>
  <c r="M260" i="202"/>
  <c r="M255" i="202"/>
  <c r="M256" i="202"/>
  <c r="M274" i="202"/>
  <c r="M236" i="202"/>
  <c r="M208" i="202"/>
  <c r="M210" i="202"/>
  <c r="M184" i="202"/>
  <c r="M183" i="202"/>
  <c r="M185" i="202"/>
  <c r="M159" i="202"/>
  <c r="M206" i="202"/>
  <c r="M181" i="202"/>
  <c r="M156" i="202"/>
  <c r="M155" i="202"/>
  <c r="M253" i="202"/>
  <c r="M249" i="202"/>
  <c r="M262" i="202"/>
  <c r="M259" i="202"/>
  <c r="M235" i="202"/>
  <c r="M85" i="202"/>
  <c r="M53" i="202"/>
  <c r="M28" i="202"/>
  <c r="M26" i="202"/>
  <c r="M24" i="202"/>
  <c r="M23" i="202"/>
  <c r="K43" i="202"/>
  <c r="L43" i="202"/>
  <c r="M47" i="202"/>
  <c r="M261" i="202"/>
  <c r="M263" i="202"/>
  <c r="M266" i="202"/>
  <c r="M267" i="202"/>
  <c r="M228" i="202"/>
  <c r="M240" i="202"/>
  <c r="K242" i="202"/>
  <c r="M242" i="202"/>
  <c r="M209" i="202"/>
  <c r="M211" i="202"/>
  <c r="M213" i="202"/>
  <c r="M180" i="202"/>
  <c r="M191" i="202"/>
  <c r="M178" i="202"/>
  <c r="M190" i="202"/>
  <c r="M192" i="202"/>
  <c r="M165" i="202"/>
  <c r="K167" i="202"/>
  <c r="L167" i="202"/>
  <c r="M167" i="202"/>
  <c r="M134" i="202"/>
  <c r="M129" i="202"/>
  <c r="M131" i="202"/>
  <c r="M133" i="202"/>
  <c r="M140" i="202"/>
  <c r="M142" i="202"/>
  <c r="M111" i="202"/>
  <c r="M104" i="202"/>
  <c r="M106" i="202"/>
  <c r="M108" i="202"/>
  <c r="M115" i="202"/>
  <c r="M117" i="202"/>
  <c r="M84" i="202"/>
  <c r="M86" i="202"/>
  <c r="M79" i="202"/>
  <c r="M81" i="202"/>
  <c r="M83" i="202"/>
  <c r="M90" i="202"/>
  <c r="M92" i="202"/>
  <c r="M61" i="202"/>
  <c r="M198" i="202"/>
  <c r="M186" i="202"/>
  <c r="M199" i="202"/>
  <c r="M148" i="202"/>
  <c r="M161" i="202"/>
  <c r="M136" i="202"/>
  <c r="M149" i="202"/>
  <c r="M124" i="202"/>
  <c r="M98" i="202"/>
  <c r="M60" i="202"/>
  <c r="M237" i="202"/>
  <c r="M212" i="202"/>
  <c r="M187" i="202"/>
  <c r="M162" i="202"/>
  <c r="M138" i="202"/>
  <c r="M113" i="202"/>
  <c r="M112" i="202"/>
  <c r="M88" i="202"/>
  <c r="M56" i="202"/>
  <c r="M73" i="202"/>
  <c r="L93" i="202"/>
  <c r="L96" i="202"/>
  <c r="M99" i="202"/>
  <c r="M109" i="202"/>
  <c r="M105" i="202"/>
  <c r="L143" i="202"/>
  <c r="L146" i="202"/>
  <c r="M154" i="202"/>
  <c r="M153" i="202"/>
  <c r="M173" i="202"/>
  <c r="L218" i="202"/>
  <c r="L221" i="202"/>
  <c r="M205" i="202"/>
  <c r="M230" i="202"/>
  <c r="M248" i="202"/>
  <c r="M258" i="202"/>
  <c r="M273" i="202"/>
  <c r="K268" i="202"/>
  <c r="M254" i="202"/>
  <c r="L268" i="202"/>
  <c r="L271" i="202"/>
  <c r="L243" i="202"/>
  <c r="L246" i="202"/>
  <c r="M229" i="202"/>
  <c r="M224" i="202"/>
  <c r="K218" i="202"/>
  <c r="M203" i="202"/>
  <c r="M223" i="202"/>
  <c r="M179" i="202"/>
  <c r="K193" i="202"/>
  <c r="L193" i="202"/>
  <c r="L196" i="202"/>
  <c r="L168" i="202"/>
  <c r="L171" i="202"/>
  <c r="M174" i="202"/>
  <c r="M130" i="202"/>
  <c r="M132" i="202"/>
  <c r="K143" i="202"/>
  <c r="K118" i="202"/>
  <c r="L118" i="202"/>
  <c r="L121" i="202"/>
  <c r="M123" i="202"/>
  <c r="M107" i="202"/>
  <c r="M80" i="202"/>
  <c r="M82" i="202"/>
  <c r="K93" i="202"/>
  <c r="M62" i="202"/>
  <c r="M55" i="202"/>
  <c r="M54" i="202"/>
  <c r="M52" i="202"/>
  <c r="M58" i="202"/>
  <c r="M72" i="202"/>
  <c r="M43" i="202"/>
  <c r="M78" i="202"/>
  <c r="M103" i="202"/>
  <c r="M128" i="202"/>
  <c r="M157" i="202"/>
  <c r="M182" i="202"/>
  <c r="M207" i="202"/>
  <c r="M232" i="202"/>
  <c r="M257" i="202"/>
  <c r="K67" i="202"/>
  <c r="U8" i="175"/>
  <c r="U10" i="175"/>
  <c r="S10" i="175"/>
  <c r="U8" i="172"/>
  <c r="U10" i="172"/>
  <c r="S10" i="172"/>
  <c r="U8" i="174"/>
  <c r="U10" i="174"/>
  <c r="S10" i="174"/>
  <c r="U8" i="173"/>
  <c r="U10" i="173"/>
  <c r="S10" i="173"/>
  <c r="U8" i="164"/>
  <c r="U10" i="164"/>
  <c r="S10" i="164"/>
  <c r="U8" i="158"/>
  <c r="U10" i="158"/>
  <c r="S10" i="158"/>
  <c r="U8" i="159"/>
  <c r="U10" i="159"/>
  <c r="S10" i="159"/>
  <c r="U8" i="161"/>
  <c r="U10" i="161"/>
  <c r="S10" i="161"/>
  <c r="U8" i="168"/>
  <c r="U10" i="168"/>
  <c r="S10" i="168"/>
  <c r="U8" i="165"/>
  <c r="U10" i="165"/>
  <c r="S10" i="165"/>
  <c r="U8" i="169"/>
  <c r="U10" i="169"/>
  <c r="S10" i="169"/>
  <c r="M268" i="202"/>
  <c r="M193" i="202"/>
  <c r="K243" i="202"/>
  <c r="M243" i="202"/>
  <c r="M168" i="202"/>
  <c r="K168" i="202"/>
  <c r="M93" i="202"/>
  <c r="M143" i="202"/>
  <c r="M218" i="202"/>
  <c r="M118" i="202"/>
  <c r="M67" i="202"/>
  <c r="R45" i="89"/>
  <c r="R44" i="89"/>
  <c r="R43" i="89"/>
  <c r="R42" i="89"/>
  <c r="R41" i="89"/>
  <c r="R40" i="89"/>
  <c r="R39" i="89"/>
  <c r="R38" i="89"/>
  <c r="R37" i="89"/>
  <c r="R32" i="89"/>
  <c r="R29" i="89"/>
  <c r="R28" i="89"/>
  <c r="R27" i="89"/>
  <c r="R26" i="89"/>
  <c r="R25" i="89"/>
  <c r="R24" i="89"/>
  <c r="R23" i="89"/>
  <c r="R22" i="89"/>
  <c r="R21" i="89"/>
  <c r="R20" i="89"/>
  <c r="R19" i="89"/>
  <c r="R18" i="89"/>
  <c r="R17" i="89"/>
  <c r="R16" i="89"/>
  <c r="R15" i="89"/>
  <c r="R14" i="89"/>
  <c r="R13" i="89"/>
  <c r="R12" i="89"/>
  <c r="R11" i="89"/>
  <c r="Q46" i="89"/>
  <c r="P46" i="89"/>
  <c r="R46" i="89"/>
  <c r="Q30" i="89"/>
  <c r="P30" i="89"/>
  <c r="R30" i="89"/>
  <c r="B48" i="159"/>
  <c r="B48" i="15"/>
  <c r="B48" i="158"/>
  <c r="A48" i="159"/>
  <c r="A48" i="158"/>
  <c r="A48" i="15"/>
  <c r="U50" i="198"/>
  <c r="U110" i="198"/>
  <c r="S50" i="198"/>
  <c r="S110" i="198"/>
  <c r="Q50" i="198"/>
  <c r="Q110" i="198"/>
  <c r="O50" i="198"/>
  <c r="O110" i="198"/>
  <c r="M50" i="198"/>
  <c r="M110" i="198"/>
  <c r="K50" i="198"/>
  <c r="K110" i="198"/>
  <c r="I50" i="198"/>
  <c r="I110" i="198"/>
  <c r="G50" i="198"/>
  <c r="G110" i="198"/>
  <c r="E50" i="198"/>
  <c r="E110" i="198"/>
  <c r="U16" i="198"/>
  <c r="S16" i="198"/>
  <c r="Q16" i="198"/>
  <c r="O16" i="198"/>
  <c r="M16" i="198"/>
  <c r="K16" i="198"/>
  <c r="I16" i="198"/>
  <c r="G16" i="198"/>
  <c r="E16" i="198"/>
  <c r="U14" i="198"/>
  <c r="S14" i="198"/>
  <c r="Q14" i="198"/>
  <c r="O14" i="198"/>
  <c r="M14" i="198"/>
  <c r="K14" i="198"/>
  <c r="I14" i="198"/>
  <c r="G14" i="198"/>
  <c r="E14" i="198"/>
  <c r="C14" i="198"/>
  <c r="U14" i="197"/>
  <c r="S14" i="197"/>
  <c r="Q14" i="197"/>
  <c r="O14" i="197"/>
  <c r="M14" i="197"/>
  <c r="K14" i="197"/>
  <c r="I14" i="197"/>
  <c r="G14" i="197"/>
  <c r="E14" i="197"/>
  <c r="C14" i="197"/>
  <c r="C50" i="198"/>
  <c r="C110" i="198"/>
  <c r="B48" i="198"/>
  <c r="A48" i="198"/>
  <c r="C16" i="198"/>
  <c r="U115" i="195"/>
  <c r="S115" i="195"/>
  <c r="Q115" i="195"/>
  <c r="O115" i="195"/>
  <c r="M115" i="195"/>
  <c r="K115" i="195"/>
  <c r="I115" i="195"/>
  <c r="G115" i="195"/>
  <c r="E115" i="195"/>
  <c r="U114" i="195"/>
  <c r="S114" i="195"/>
  <c r="Q114" i="195"/>
  <c r="O114" i="195"/>
  <c r="M114" i="195"/>
  <c r="K114" i="195"/>
  <c r="I114" i="195"/>
  <c r="G114" i="195"/>
  <c r="E114" i="195"/>
  <c r="U113" i="195"/>
  <c r="S113" i="195"/>
  <c r="Q113" i="195"/>
  <c r="O113" i="195"/>
  <c r="M113" i="195"/>
  <c r="K113" i="195"/>
  <c r="I113" i="195"/>
  <c r="G113" i="195"/>
  <c r="E113" i="195"/>
  <c r="U97" i="195"/>
  <c r="S97" i="195"/>
  <c r="Q97" i="195"/>
  <c r="O97" i="195"/>
  <c r="M97" i="195"/>
  <c r="K97" i="195"/>
  <c r="I97" i="195"/>
  <c r="G97" i="195"/>
  <c r="E97" i="195"/>
  <c r="U59" i="195"/>
  <c r="S59" i="195"/>
  <c r="Q59" i="195"/>
  <c r="O59" i="195"/>
  <c r="M59" i="195"/>
  <c r="K59" i="195"/>
  <c r="I59" i="195"/>
  <c r="G59" i="195"/>
  <c r="E59" i="195"/>
  <c r="U50" i="195"/>
  <c r="U110" i="195"/>
  <c r="S50" i="195"/>
  <c r="S110" i="195"/>
  <c r="Q50" i="195"/>
  <c r="Q110" i="195"/>
  <c r="O50" i="195"/>
  <c r="O110" i="195"/>
  <c r="M50" i="195"/>
  <c r="M110" i="195"/>
  <c r="K50" i="195"/>
  <c r="K110" i="195"/>
  <c r="I50" i="195"/>
  <c r="I110" i="195"/>
  <c r="G50" i="195"/>
  <c r="G110" i="195"/>
  <c r="E50" i="195"/>
  <c r="E110" i="195"/>
  <c r="U45" i="195"/>
  <c r="S45" i="195"/>
  <c r="Q45" i="195"/>
  <c r="O45" i="195"/>
  <c r="M45" i="195"/>
  <c r="K45" i="195"/>
  <c r="I45" i="195"/>
  <c r="G45" i="195"/>
  <c r="E45" i="195"/>
  <c r="U44" i="195"/>
  <c r="S44" i="195"/>
  <c r="Q44" i="195"/>
  <c r="O44" i="195"/>
  <c r="M44" i="195"/>
  <c r="K44" i="195"/>
  <c r="I44" i="195"/>
  <c r="G44" i="195"/>
  <c r="E44" i="195"/>
  <c r="U43" i="195"/>
  <c r="S43" i="195"/>
  <c r="Q43" i="195"/>
  <c r="O43" i="195"/>
  <c r="M43" i="195"/>
  <c r="K43" i="195"/>
  <c r="I43" i="195"/>
  <c r="G43" i="195"/>
  <c r="E43" i="195"/>
  <c r="U42" i="195"/>
  <c r="S42" i="195"/>
  <c r="Q42" i="195"/>
  <c r="O42" i="195"/>
  <c r="M42" i="195"/>
  <c r="K42" i="195"/>
  <c r="I42" i="195"/>
  <c r="G42" i="195"/>
  <c r="E42" i="195"/>
  <c r="U41" i="195"/>
  <c r="S41" i="195"/>
  <c r="Q41" i="195"/>
  <c r="O41" i="195"/>
  <c r="M41" i="195"/>
  <c r="K41" i="195"/>
  <c r="I41" i="195"/>
  <c r="G41" i="195"/>
  <c r="E41" i="195"/>
  <c r="U40" i="195"/>
  <c r="S40" i="195"/>
  <c r="Q40" i="195"/>
  <c r="O40" i="195"/>
  <c r="M40" i="195"/>
  <c r="K40" i="195"/>
  <c r="I40" i="195"/>
  <c r="G40" i="195"/>
  <c r="E40" i="195"/>
  <c r="U39" i="195"/>
  <c r="S39" i="195"/>
  <c r="Q39" i="195"/>
  <c r="O39" i="195"/>
  <c r="M39" i="195"/>
  <c r="K39" i="195"/>
  <c r="I39" i="195"/>
  <c r="G39" i="195"/>
  <c r="E39" i="195"/>
  <c r="U38" i="195"/>
  <c r="S38" i="195"/>
  <c r="Q38" i="195"/>
  <c r="O38" i="195"/>
  <c r="M38" i="195"/>
  <c r="K38" i="195"/>
  <c r="I38" i="195"/>
  <c r="G38" i="195"/>
  <c r="E38" i="195"/>
  <c r="U37" i="195"/>
  <c r="S37" i="195"/>
  <c r="Q37" i="195"/>
  <c r="O37" i="195"/>
  <c r="M37" i="195"/>
  <c r="K37" i="195"/>
  <c r="I37" i="195"/>
  <c r="G37" i="195"/>
  <c r="E37" i="195"/>
  <c r="U36" i="195"/>
  <c r="S36" i="195"/>
  <c r="Q36" i="195"/>
  <c r="Q46" i="195"/>
  <c r="O36" i="195"/>
  <c r="M36" i="195"/>
  <c r="K36" i="195"/>
  <c r="I36" i="195"/>
  <c r="I46" i="195"/>
  <c r="G36" i="195"/>
  <c r="E36" i="195"/>
  <c r="U32" i="195"/>
  <c r="S32" i="195"/>
  <c r="Q32" i="195"/>
  <c r="O32" i="195"/>
  <c r="M32" i="195"/>
  <c r="K32" i="195"/>
  <c r="I32" i="195"/>
  <c r="G32" i="195"/>
  <c r="E32" i="195"/>
  <c r="O28" i="195"/>
  <c r="G28" i="195"/>
  <c r="U16" i="195"/>
  <c r="S16" i="195"/>
  <c r="Q16" i="195"/>
  <c r="O16" i="195"/>
  <c r="M16" i="195"/>
  <c r="K16" i="195"/>
  <c r="I16" i="195"/>
  <c r="G16" i="195"/>
  <c r="E16" i="195"/>
  <c r="C115" i="195"/>
  <c r="C114" i="195"/>
  <c r="C113" i="195"/>
  <c r="C97" i="195"/>
  <c r="C59" i="195"/>
  <c r="C45" i="195"/>
  <c r="C44" i="195"/>
  <c r="C43" i="195"/>
  <c r="C42" i="195"/>
  <c r="C41" i="195"/>
  <c r="C40" i="195"/>
  <c r="C39" i="195"/>
  <c r="C38" i="195"/>
  <c r="C37" i="195"/>
  <c r="C36" i="195"/>
  <c r="C32" i="195"/>
  <c r="C31" i="195"/>
  <c r="C33" i="195"/>
  <c r="C28" i="195"/>
  <c r="U14" i="195"/>
  <c r="S14" i="195"/>
  <c r="Q14" i="195"/>
  <c r="O14" i="195"/>
  <c r="M14" i="195"/>
  <c r="K14" i="195"/>
  <c r="I14" i="195"/>
  <c r="G14" i="195"/>
  <c r="E14" i="195"/>
  <c r="C14" i="195"/>
  <c r="U14" i="194"/>
  <c r="S14" i="194"/>
  <c r="Q14" i="194"/>
  <c r="O14" i="194"/>
  <c r="M14" i="194"/>
  <c r="K14" i="194"/>
  <c r="I14" i="194"/>
  <c r="G14" i="194"/>
  <c r="E14" i="194"/>
  <c r="C14" i="194"/>
  <c r="U14" i="192"/>
  <c r="S14" i="192"/>
  <c r="Q14" i="192"/>
  <c r="O14" i="192"/>
  <c r="M14" i="192"/>
  <c r="K14" i="192"/>
  <c r="I14" i="192"/>
  <c r="G14" i="192"/>
  <c r="E14" i="192"/>
  <c r="C14" i="192"/>
  <c r="S14" i="193"/>
  <c r="Q14" i="193"/>
  <c r="O14" i="193"/>
  <c r="M14" i="193"/>
  <c r="K14" i="193"/>
  <c r="I14" i="193"/>
  <c r="G14" i="193"/>
  <c r="E14" i="193"/>
  <c r="U14" i="193"/>
  <c r="C14" i="193"/>
  <c r="U115" i="192"/>
  <c r="S115" i="192"/>
  <c r="Q115" i="192"/>
  <c r="O115" i="192"/>
  <c r="M115" i="192"/>
  <c r="K115" i="192"/>
  <c r="I115" i="192"/>
  <c r="G115" i="192"/>
  <c r="E115" i="192"/>
  <c r="U114" i="192"/>
  <c r="S114" i="192"/>
  <c r="Q114" i="192"/>
  <c r="O114" i="192"/>
  <c r="M114" i="192"/>
  <c r="K114" i="192"/>
  <c r="I114" i="192"/>
  <c r="G114" i="192"/>
  <c r="E114" i="192"/>
  <c r="U113" i="192"/>
  <c r="S113" i="192"/>
  <c r="Q113" i="192"/>
  <c r="O113" i="192"/>
  <c r="M113" i="192"/>
  <c r="K113" i="192"/>
  <c r="I113" i="192"/>
  <c r="G113" i="192"/>
  <c r="E113" i="192"/>
  <c r="U50" i="192"/>
  <c r="U110" i="192"/>
  <c r="S50" i="192"/>
  <c r="S110" i="192"/>
  <c r="Q50" i="192"/>
  <c r="Q110" i="192"/>
  <c r="O50" i="192"/>
  <c r="O110" i="192"/>
  <c r="M50" i="192"/>
  <c r="M110" i="192"/>
  <c r="K50" i="192"/>
  <c r="K110" i="192"/>
  <c r="I50" i="192"/>
  <c r="I110" i="192"/>
  <c r="G50" i="192"/>
  <c r="G110" i="192"/>
  <c r="E50" i="192"/>
  <c r="E110" i="192"/>
  <c r="U45" i="192"/>
  <c r="U45" i="198"/>
  <c r="S45" i="192"/>
  <c r="S45" i="198"/>
  <c r="Q45" i="192"/>
  <c r="Q45" i="198"/>
  <c r="O45" i="192"/>
  <c r="M45" i="192"/>
  <c r="M45" i="198"/>
  <c r="K45" i="192"/>
  <c r="K45" i="198"/>
  <c r="I45" i="192"/>
  <c r="I45" i="198"/>
  <c r="G45" i="192"/>
  <c r="E45" i="192"/>
  <c r="E45" i="198"/>
  <c r="U44" i="192"/>
  <c r="U44" i="198"/>
  <c r="S44" i="192"/>
  <c r="S44" i="198"/>
  <c r="Q44" i="192"/>
  <c r="O44" i="192"/>
  <c r="O44" i="198"/>
  <c r="M44" i="192"/>
  <c r="M44" i="198"/>
  <c r="K44" i="192"/>
  <c r="K44" i="198"/>
  <c r="I44" i="192"/>
  <c r="G44" i="192"/>
  <c r="G44" i="198"/>
  <c r="E44" i="192"/>
  <c r="E44" i="198"/>
  <c r="U43" i="192"/>
  <c r="U43" i="198"/>
  <c r="S43" i="192"/>
  <c r="Q43" i="192"/>
  <c r="Q43" i="198"/>
  <c r="O43" i="192"/>
  <c r="O43" i="198"/>
  <c r="M43" i="192"/>
  <c r="M43" i="198"/>
  <c r="K43" i="192"/>
  <c r="I43" i="192"/>
  <c r="I43" i="198"/>
  <c r="G43" i="192"/>
  <c r="G43" i="198"/>
  <c r="E43" i="192"/>
  <c r="U42" i="192"/>
  <c r="S42" i="192"/>
  <c r="S42" i="198"/>
  <c r="Q42" i="192"/>
  <c r="Q42" i="198"/>
  <c r="O42" i="192"/>
  <c r="O42" i="198"/>
  <c r="M42" i="192"/>
  <c r="K42" i="192"/>
  <c r="K42" i="198"/>
  <c r="I42" i="192"/>
  <c r="I42" i="198"/>
  <c r="G42" i="192"/>
  <c r="G42" i="198"/>
  <c r="E42" i="192"/>
  <c r="U41" i="192"/>
  <c r="U41" i="198"/>
  <c r="S41" i="192"/>
  <c r="S41" i="198"/>
  <c r="Q41" i="192"/>
  <c r="Q41" i="198"/>
  <c r="O41" i="192"/>
  <c r="M41" i="192"/>
  <c r="M41" i="198"/>
  <c r="K41" i="192"/>
  <c r="K41" i="198"/>
  <c r="I41" i="192"/>
  <c r="I41" i="198"/>
  <c r="G41" i="192"/>
  <c r="E41" i="192"/>
  <c r="E41" i="198"/>
  <c r="U40" i="192"/>
  <c r="U40" i="198"/>
  <c r="S40" i="192"/>
  <c r="S40" i="198"/>
  <c r="Q40" i="192"/>
  <c r="O40" i="192"/>
  <c r="O40" i="198"/>
  <c r="M40" i="192"/>
  <c r="M40" i="198"/>
  <c r="K40" i="192"/>
  <c r="K40" i="198"/>
  <c r="I40" i="192"/>
  <c r="G40" i="192"/>
  <c r="G40" i="198"/>
  <c r="E40" i="192"/>
  <c r="E40" i="198"/>
  <c r="U39" i="192"/>
  <c r="U39" i="198"/>
  <c r="S39" i="192"/>
  <c r="Q39" i="192"/>
  <c r="Q39" i="198"/>
  <c r="O39" i="192"/>
  <c r="O39" i="198"/>
  <c r="M39" i="192"/>
  <c r="M39" i="198"/>
  <c r="K39" i="192"/>
  <c r="I39" i="192"/>
  <c r="I39" i="198"/>
  <c r="G39" i="192"/>
  <c r="G39" i="198"/>
  <c r="E39" i="192"/>
  <c r="E39" i="198"/>
  <c r="U38" i="192"/>
  <c r="S38" i="192"/>
  <c r="S38" i="198"/>
  <c r="Q38" i="192"/>
  <c r="Q38" i="198"/>
  <c r="O38" i="192"/>
  <c r="O38" i="198"/>
  <c r="M38" i="192"/>
  <c r="K38" i="192"/>
  <c r="K38" i="198"/>
  <c r="I38" i="192"/>
  <c r="I38" i="198"/>
  <c r="G38" i="192"/>
  <c r="G38" i="198"/>
  <c r="E38" i="192"/>
  <c r="U37" i="192"/>
  <c r="U37" i="198"/>
  <c r="S37" i="192"/>
  <c r="S37" i="198"/>
  <c r="Q37" i="192"/>
  <c r="Q37" i="198"/>
  <c r="O37" i="192"/>
  <c r="M37" i="192"/>
  <c r="M37" i="198"/>
  <c r="K37" i="192"/>
  <c r="K37" i="198"/>
  <c r="I37" i="192"/>
  <c r="I37" i="198"/>
  <c r="G37" i="192"/>
  <c r="E37" i="192"/>
  <c r="E37" i="198"/>
  <c r="U36" i="192"/>
  <c r="U36" i="198"/>
  <c r="S36" i="192"/>
  <c r="S36" i="198"/>
  <c r="Q36" i="192"/>
  <c r="O36" i="192"/>
  <c r="O36" i="198"/>
  <c r="M36" i="192"/>
  <c r="M36" i="198"/>
  <c r="K36" i="192"/>
  <c r="K36" i="198"/>
  <c r="I36" i="192"/>
  <c r="G36" i="192"/>
  <c r="G36" i="198"/>
  <c r="E36" i="192"/>
  <c r="E36" i="198"/>
  <c r="U32" i="192"/>
  <c r="U32" i="198"/>
  <c r="S32" i="192"/>
  <c r="S32" i="198"/>
  <c r="Q32" i="192"/>
  <c r="Q32" i="198"/>
  <c r="O32" i="192"/>
  <c r="O32" i="198"/>
  <c r="M32" i="192"/>
  <c r="M32" i="198"/>
  <c r="K32" i="192"/>
  <c r="K32" i="198"/>
  <c r="I32" i="192"/>
  <c r="I32" i="198"/>
  <c r="G32" i="192"/>
  <c r="G32" i="198"/>
  <c r="E32" i="192"/>
  <c r="E32" i="198"/>
  <c r="U16" i="192"/>
  <c r="S16" i="192"/>
  <c r="Q16" i="192"/>
  <c r="O16" i="192"/>
  <c r="M16" i="192"/>
  <c r="K16" i="192"/>
  <c r="I16" i="192"/>
  <c r="G16" i="192"/>
  <c r="E16" i="192"/>
  <c r="C115" i="192"/>
  <c r="C114" i="192"/>
  <c r="C113" i="192"/>
  <c r="C45" i="192"/>
  <c r="C45" i="198"/>
  <c r="C44" i="192"/>
  <c r="C43" i="192"/>
  <c r="C43" i="198"/>
  <c r="C42" i="192"/>
  <c r="C42" i="198"/>
  <c r="C41" i="192"/>
  <c r="C41" i="198"/>
  <c r="C40" i="192"/>
  <c r="C39" i="192"/>
  <c r="C38" i="192"/>
  <c r="C38" i="198"/>
  <c r="C37" i="192"/>
  <c r="C37" i="198"/>
  <c r="C36" i="192"/>
  <c r="C50" i="192"/>
  <c r="C32" i="192"/>
  <c r="C32" i="198"/>
  <c r="U111" i="197"/>
  <c r="S111" i="197"/>
  <c r="Q111" i="197"/>
  <c r="O111" i="197"/>
  <c r="M111" i="197"/>
  <c r="K111" i="197"/>
  <c r="I111" i="197"/>
  <c r="G111" i="197"/>
  <c r="E111" i="197"/>
  <c r="C111" i="197"/>
  <c r="S50" i="197"/>
  <c r="S110" i="197"/>
  <c r="L99" i="197"/>
  <c r="H96" i="197"/>
  <c r="D93" i="197"/>
  <c r="T90" i="197"/>
  <c r="H89" i="197"/>
  <c r="P87" i="197"/>
  <c r="D86" i="197"/>
  <c r="P84" i="197"/>
  <c r="P83" i="197"/>
  <c r="N81" i="197"/>
  <c r="J78" i="197"/>
  <c r="N77" i="197"/>
  <c r="F75" i="197"/>
  <c r="J74" i="197"/>
  <c r="V71" i="197"/>
  <c r="N65" i="197"/>
  <c r="J60" i="197"/>
  <c r="F59" i="197"/>
  <c r="N57" i="197"/>
  <c r="V55" i="197"/>
  <c r="N55" i="197"/>
  <c r="J54" i="197"/>
  <c r="U50" i="197"/>
  <c r="U110" i="197"/>
  <c r="Q50" i="197"/>
  <c r="Q110" i="197"/>
  <c r="O50" i="197"/>
  <c r="O110" i="197"/>
  <c r="M50" i="197"/>
  <c r="M110" i="197"/>
  <c r="K50" i="197"/>
  <c r="K110" i="197"/>
  <c r="I50" i="197"/>
  <c r="I110" i="197"/>
  <c r="G50" i="197"/>
  <c r="G110" i="197"/>
  <c r="E50" i="197"/>
  <c r="E110" i="197"/>
  <c r="C50" i="197"/>
  <c r="C110" i="197"/>
  <c r="B48" i="197"/>
  <c r="A48" i="197"/>
  <c r="U46" i="197"/>
  <c r="S46" i="197"/>
  <c r="T46" i="197"/>
  <c r="Q46" i="197"/>
  <c r="O46" i="197"/>
  <c r="P46" i="197"/>
  <c r="M46" i="197"/>
  <c r="N46" i="197"/>
  <c r="K46" i="197"/>
  <c r="L46" i="197"/>
  <c r="I46" i="197"/>
  <c r="G46" i="197"/>
  <c r="H46" i="197"/>
  <c r="E46" i="197"/>
  <c r="C46" i="197"/>
  <c r="D46" i="197"/>
  <c r="T45" i="197"/>
  <c r="L45" i="197"/>
  <c r="D45" i="197"/>
  <c r="P44" i="197"/>
  <c r="J44" i="197"/>
  <c r="H44" i="197"/>
  <c r="T43" i="197"/>
  <c r="N43" i="197"/>
  <c r="L43" i="197"/>
  <c r="D43" i="197"/>
  <c r="P42" i="197"/>
  <c r="H42" i="197"/>
  <c r="T41" i="197"/>
  <c r="L41" i="197"/>
  <c r="D41" i="197"/>
  <c r="P40" i="197"/>
  <c r="J40" i="197"/>
  <c r="H40" i="197"/>
  <c r="T39" i="197"/>
  <c r="N39" i="197"/>
  <c r="L39" i="197"/>
  <c r="D39" i="197"/>
  <c r="P38" i="197"/>
  <c r="H38" i="197"/>
  <c r="T37" i="197"/>
  <c r="L37" i="197"/>
  <c r="D37" i="197"/>
  <c r="P36" i="197"/>
  <c r="J36" i="197"/>
  <c r="H36" i="197"/>
  <c r="U33" i="197"/>
  <c r="V33" i="197"/>
  <c r="S33" i="197"/>
  <c r="T33" i="197"/>
  <c r="Q33" i="197"/>
  <c r="O33" i="197"/>
  <c r="P33" i="197"/>
  <c r="M33" i="197"/>
  <c r="N33" i="197"/>
  <c r="K33" i="197"/>
  <c r="L33" i="197"/>
  <c r="I33" i="197"/>
  <c r="J33" i="197"/>
  <c r="G33" i="197"/>
  <c r="H33" i="197"/>
  <c r="E33" i="197"/>
  <c r="F33" i="197"/>
  <c r="C33" i="197"/>
  <c r="D33" i="197"/>
  <c r="T32" i="197"/>
  <c r="N32" i="197"/>
  <c r="L32" i="197"/>
  <c r="D32" i="197"/>
  <c r="P31" i="197"/>
  <c r="H31" i="197"/>
  <c r="V28" i="197"/>
  <c r="V79" i="197"/>
  <c r="N28" i="197"/>
  <c r="J28" i="197"/>
  <c r="J66" i="197"/>
  <c r="F28" i="197"/>
  <c r="F67" i="197"/>
  <c r="T27" i="197"/>
  <c r="P27" i="197"/>
  <c r="N27" i="197"/>
  <c r="L27" i="197"/>
  <c r="H27" i="197"/>
  <c r="F27" i="197"/>
  <c r="D27" i="197"/>
  <c r="T26" i="197"/>
  <c r="P26" i="197"/>
  <c r="L26" i="197"/>
  <c r="H26" i="197"/>
  <c r="D26" i="197"/>
  <c r="T25" i="197"/>
  <c r="P25" i="197"/>
  <c r="N25" i="197"/>
  <c r="L25" i="197"/>
  <c r="H25" i="197"/>
  <c r="F25" i="197"/>
  <c r="D25" i="197"/>
  <c r="T24" i="197"/>
  <c r="P24" i="197"/>
  <c r="L24" i="197"/>
  <c r="J24" i="197"/>
  <c r="H24" i="197"/>
  <c r="D24" i="197"/>
  <c r="V23" i="197"/>
  <c r="T23" i="197"/>
  <c r="P23" i="197"/>
  <c r="N23" i="197"/>
  <c r="L23" i="197"/>
  <c r="H23" i="197"/>
  <c r="D23" i="197"/>
  <c r="T21" i="197"/>
  <c r="P21" i="197"/>
  <c r="L21" i="197"/>
  <c r="J21" i="197"/>
  <c r="H21" i="197"/>
  <c r="D21" i="197"/>
  <c r="V20" i="197"/>
  <c r="T20" i="197"/>
  <c r="P20" i="197"/>
  <c r="N20" i="197"/>
  <c r="L20" i="197"/>
  <c r="H20" i="197"/>
  <c r="D20" i="197"/>
  <c r="T19" i="197"/>
  <c r="P19" i="197"/>
  <c r="L19" i="197"/>
  <c r="J19" i="197"/>
  <c r="H19" i="197"/>
  <c r="D19" i="197"/>
  <c r="U16" i="197"/>
  <c r="S16" i="197"/>
  <c r="Q16" i="197"/>
  <c r="O16" i="197"/>
  <c r="M16" i="197"/>
  <c r="K16" i="197"/>
  <c r="I16" i="197"/>
  <c r="G16" i="197"/>
  <c r="E16" i="197"/>
  <c r="C16" i="197"/>
  <c r="C50" i="195"/>
  <c r="C110" i="195"/>
  <c r="B48" i="195"/>
  <c r="A48" i="195"/>
  <c r="C16" i="195"/>
  <c r="J113" i="194"/>
  <c r="U111" i="194"/>
  <c r="S111" i="194"/>
  <c r="Q111" i="194"/>
  <c r="O111" i="194"/>
  <c r="M111" i="194"/>
  <c r="K111" i="194"/>
  <c r="I111" i="194"/>
  <c r="G111" i="194"/>
  <c r="E111" i="194"/>
  <c r="C111" i="194"/>
  <c r="K50" i="194"/>
  <c r="K110" i="194"/>
  <c r="C50" i="194"/>
  <c r="C110" i="194"/>
  <c r="U50" i="194"/>
  <c r="U110" i="194"/>
  <c r="S50" i="194"/>
  <c r="S110" i="194"/>
  <c r="Q50" i="194"/>
  <c r="Q110" i="194"/>
  <c r="O50" i="194"/>
  <c r="O110" i="194"/>
  <c r="M50" i="194"/>
  <c r="M110" i="194"/>
  <c r="I50" i="194"/>
  <c r="I110" i="194"/>
  <c r="G50" i="194"/>
  <c r="G110" i="194"/>
  <c r="E50" i="194"/>
  <c r="E110" i="194"/>
  <c r="B48" i="194"/>
  <c r="A48" i="194"/>
  <c r="U46" i="194"/>
  <c r="S46" i="194"/>
  <c r="Q46" i="194"/>
  <c r="O46" i="194"/>
  <c r="M46" i="194"/>
  <c r="K46" i="194"/>
  <c r="I46" i="194"/>
  <c r="G46" i="194"/>
  <c r="E46" i="194"/>
  <c r="C46" i="194"/>
  <c r="N44" i="194"/>
  <c r="N42" i="194"/>
  <c r="T41" i="194"/>
  <c r="T38" i="194"/>
  <c r="D37" i="194"/>
  <c r="C33" i="194"/>
  <c r="U28" i="194"/>
  <c r="T28" i="194"/>
  <c r="P43" i="194"/>
  <c r="J23" i="194"/>
  <c r="D41" i="194"/>
  <c r="T27" i="194"/>
  <c r="T26" i="194"/>
  <c r="D26" i="194"/>
  <c r="T25" i="194"/>
  <c r="R25" i="194"/>
  <c r="D25" i="194"/>
  <c r="T24" i="194"/>
  <c r="P24" i="194"/>
  <c r="N24" i="194"/>
  <c r="D24" i="194"/>
  <c r="T23" i="194"/>
  <c r="P23" i="194"/>
  <c r="T21" i="194"/>
  <c r="D21" i="194"/>
  <c r="T20" i="194"/>
  <c r="D20" i="194"/>
  <c r="T19" i="194"/>
  <c r="N19" i="194"/>
  <c r="D19" i="194"/>
  <c r="U16" i="194"/>
  <c r="S16" i="194"/>
  <c r="Q16" i="194"/>
  <c r="O16" i="194"/>
  <c r="M16" i="194"/>
  <c r="K16" i="194"/>
  <c r="I16" i="194"/>
  <c r="G16" i="194"/>
  <c r="E16" i="194"/>
  <c r="C16" i="194"/>
  <c r="U111" i="193"/>
  <c r="S111" i="193"/>
  <c r="Q111" i="193"/>
  <c r="O111" i="193"/>
  <c r="M111" i="193"/>
  <c r="K111" i="193"/>
  <c r="I111" i="193"/>
  <c r="G111" i="193"/>
  <c r="E111" i="193"/>
  <c r="C111" i="193"/>
  <c r="U50" i="193"/>
  <c r="U110" i="193"/>
  <c r="S50" i="193"/>
  <c r="S110" i="193"/>
  <c r="Q50" i="193"/>
  <c r="Q110" i="193"/>
  <c r="O50" i="193"/>
  <c r="O110" i="193"/>
  <c r="M50" i="193"/>
  <c r="M110" i="193"/>
  <c r="K50" i="193"/>
  <c r="K110" i="193"/>
  <c r="I50" i="193"/>
  <c r="I110" i="193"/>
  <c r="G50" i="193"/>
  <c r="G110" i="193"/>
  <c r="E50" i="193"/>
  <c r="E110" i="193"/>
  <c r="C50" i="193"/>
  <c r="C110" i="193"/>
  <c r="B48" i="193"/>
  <c r="A48" i="193"/>
  <c r="U46" i="193"/>
  <c r="S46" i="193"/>
  <c r="Q46" i="193"/>
  <c r="O46" i="193"/>
  <c r="M46" i="193"/>
  <c r="K46" i="193"/>
  <c r="I46" i="193"/>
  <c r="G46" i="193"/>
  <c r="E46" i="193"/>
  <c r="C46" i="193"/>
  <c r="C33" i="193"/>
  <c r="U28" i="193"/>
  <c r="V26" i="193"/>
  <c r="S28" i="193"/>
  <c r="T26" i="193"/>
  <c r="Q28" i="193"/>
  <c r="O28" i="193"/>
  <c r="M28" i="193"/>
  <c r="K28" i="193"/>
  <c r="L21" i="193"/>
  <c r="I28" i="193"/>
  <c r="G28" i="193"/>
  <c r="H27" i="193"/>
  <c r="E28" i="193"/>
  <c r="D24" i="193"/>
  <c r="J23" i="193"/>
  <c r="J21" i="193"/>
  <c r="J19" i="193"/>
  <c r="D19" i="193"/>
  <c r="U16" i="193"/>
  <c r="S16" i="193"/>
  <c r="Q16" i="193"/>
  <c r="O16" i="193"/>
  <c r="M16" i="193"/>
  <c r="K16" i="193"/>
  <c r="I16" i="193"/>
  <c r="G16" i="193"/>
  <c r="E16" i="193"/>
  <c r="C16" i="193"/>
  <c r="C110" i="192"/>
  <c r="B48" i="192"/>
  <c r="A48" i="192"/>
  <c r="C16" i="192"/>
  <c r="C50" i="191"/>
  <c r="C110" i="191"/>
  <c r="U50" i="191"/>
  <c r="U110" i="191"/>
  <c r="S50" i="191"/>
  <c r="S110" i="191"/>
  <c r="Q50" i="191"/>
  <c r="Q110" i="191"/>
  <c r="O50" i="191"/>
  <c r="O110" i="191"/>
  <c r="M50" i="191"/>
  <c r="M110" i="191"/>
  <c r="K50" i="191"/>
  <c r="K110" i="191"/>
  <c r="I50" i="191"/>
  <c r="I110" i="191"/>
  <c r="G50" i="191"/>
  <c r="G110" i="191"/>
  <c r="E50" i="191"/>
  <c r="E110" i="191"/>
  <c r="B48" i="191"/>
  <c r="A48" i="191"/>
  <c r="U46" i="191"/>
  <c r="S46" i="191"/>
  <c r="Q46" i="191"/>
  <c r="O46" i="191"/>
  <c r="M46" i="191"/>
  <c r="K46" i="191"/>
  <c r="I46" i="191"/>
  <c r="G46" i="191"/>
  <c r="E46" i="191"/>
  <c r="C46" i="191"/>
  <c r="U16" i="191"/>
  <c r="S16" i="191"/>
  <c r="Q16" i="191"/>
  <c r="O16" i="191"/>
  <c r="M16" i="191"/>
  <c r="K16" i="191"/>
  <c r="I16" i="191"/>
  <c r="G16" i="191"/>
  <c r="E16" i="191"/>
  <c r="C16" i="191"/>
  <c r="U50" i="190"/>
  <c r="U110" i="190"/>
  <c r="S50" i="190"/>
  <c r="S110" i="190"/>
  <c r="Q50" i="190"/>
  <c r="Q110" i="190"/>
  <c r="O50" i="190"/>
  <c r="O110" i="190"/>
  <c r="M50" i="190"/>
  <c r="M110" i="190"/>
  <c r="K50" i="190"/>
  <c r="K110" i="190"/>
  <c r="I50" i="190"/>
  <c r="I110" i="190"/>
  <c r="G50" i="190"/>
  <c r="G110" i="190"/>
  <c r="E50" i="190"/>
  <c r="E110" i="190"/>
  <c r="C50" i="190"/>
  <c r="C110" i="190"/>
  <c r="B48" i="190"/>
  <c r="A48" i="190"/>
  <c r="U46" i="190"/>
  <c r="S46" i="190"/>
  <c r="Q46" i="190"/>
  <c r="O46" i="190"/>
  <c r="M46" i="190"/>
  <c r="K46" i="190"/>
  <c r="I46" i="190"/>
  <c r="G46" i="190"/>
  <c r="E46" i="190"/>
  <c r="C46" i="190"/>
  <c r="U16" i="190"/>
  <c r="S16" i="190"/>
  <c r="Q16" i="190"/>
  <c r="O16" i="190"/>
  <c r="M16" i="190"/>
  <c r="K16" i="190"/>
  <c r="I16" i="190"/>
  <c r="G16" i="190"/>
  <c r="E16" i="190"/>
  <c r="C16" i="190"/>
  <c r="U50" i="189"/>
  <c r="U110" i="189"/>
  <c r="S50" i="189"/>
  <c r="S110" i="189"/>
  <c r="Q50" i="189"/>
  <c r="Q110" i="189"/>
  <c r="O50" i="189"/>
  <c r="O110" i="189"/>
  <c r="M50" i="189"/>
  <c r="M110" i="189"/>
  <c r="K50" i="189"/>
  <c r="K110" i="189"/>
  <c r="I50" i="189"/>
  <c r="I110" i="189"/>
  <c r="G50" i="189"/>
  <c r="G110" i="189"/>
  <c r="E50" i="189"/>
  <c r="E110" i="189"/>
  <c r="C50" i="189"/>
  <c r="C110" i="189"/>
  <c r="B48" i="189"/>
  <c r="A48" i="189"/>
  <c r="U46" i="189"/>
  <c r="S46" i="189"/>
  <c r="Q46" i="189"/>
  <c r="O46" i="189"/>
  <c r="M46" i="189"/>
  <c r="K46" i="189"/>
  <c r="I46" i="189"/>
  <c r="G46" i="189"/>
  <c r="E46" i="189"/>
  <c r="C46" i="189"/>
  <c r="U16" i="189"/>
  <c r="S16" i="189"/>
  <c r="Q16" i="189"/>
  <c r="O16" i="189"/>
  <c r="M16" i="189"/>
  <c r="K16" i="189"/>
  <c r="I16" i="189"/>
  <c r="G16" i="189"/>
  <c r="E16" i="189"/>
  <c r="C16" i="189"/>
  <c r="U50" i="188"/>
  <c r="U110" i="188"/>
  <c r="S50" i="188"/>
  <c r="S110" i="188"/>
  <c r="Q50" i="188"/>
  <c r="Q110" i="188"/>
  <c r="O50" i="188"/>
  <c r="O110" i="188"/>
  <c r="M50" i="188"/>
  <c r="M110" i="188"/>
  <c r="K50" i="188"/>
  <c r="K110" i="188"/>
  <c r="I50" i="188"/>
  <c r="I110" i="188"/>
  <c r="G50" i="188"/>
  <c r="G110" i="188"/>
  <c r="E50" i="188"/>
  <c r="E110" i="188"/>
  <c r="C50" i="188"/>
  <c r="C110" i="188"/>
  <c r="B48" i="188"/>
  <c r="A48" i="188"/>
  <c r="U46" i="188"/>
  <c r="S46" i="188"/>
  <c r="Q46" i="188"/>
  <c r="O46" i="188"/>
  <c r="M46" i="188"/>
  <c r="K46" i="188"/>
  <c r="I46" i="188"/>
  <c r="G46" i="188"/>
  <c r="E46" i="188"/>
  <c r="C46" i="188"/>
  <c r="U16" i="188"/>
  <c r="S16" i="188"/>
  <c r="Q16" i="188"/>
  <c r="O16" i="188"/>
  <c r="M16" i="188"/>
  <c r="K16" i="188"/>
  <c r="I16" i="188"/>
  <c r="G16" i="188"/>
  <c r="E16" i="188"/>
  <c r="C16" i="188"/>
  <c r="U50" i="187"/>
  <c r="U110" i="187"/>
  <c r="S50" i="187"/>
  <c r="S110" i="187"/>
  <c r="Q50" i="187"/>
  <c r="Q110" i="187"/>
  <c r="O50" i="187"/>
  <c r="O110" i="187"/>
  <c r="M50" i="187"/>
  <c r="M110" i="187"/>
  <c r="K50" i="187"/>
  <c r="K110" i="187"/>
  <c r="I50" i="187"/>
  <c r="I110" i="187"/>
  <c r="G50" i="187"/>
  <c r="G110" i="187"/>
  <c r="E50" i="187"/>
  <c r="E110" i="187"/>
  <c r="C50" i="187"/>
  <c r="C110" i="187"/>
  <c r="B48" i="187"/>
  <c r="A48" i="187"/>
  <c r="U46" i="187"/>
  <c r="S46" i="187"/>
  <c r="Q46" i="187"/>
  <c r="O46" i="187"/>
  <c r="M46" i="187"/>
  <c r="K46" i="187"/>
  <c r="I46" i="187"/>
  <c r="G46" i="187"/>
  <c r="E46" i="187"/>
  <c r="C46" i="187"/>
  <c r="U16" i="187"/>
  <c r="S16" i="187"/>
  <c r="Q16" i="187"/>
  <c r="O16" i="187"/>
  <c r="M16" i="187"/>
  <c r="K16" i="187"/>
  <c r="I16" i="187"/>
  <c r="G16" i="187"/>
  <c r="E16" i="187"/>
  <c r="C16" i="187"/>
  <c r="U50" i="186"/>
  <c r="U110" i="186"/>
  <c r="S50" i="186"/>
  <c r="S110" i="186"/>
  <c r="Q50" i="186"/>
  <c r="Q110" i="186"/>
  <c r="O50" i="186"/>
  <c r="O110" i="186"/>
  <c r="M50" i="186"/>
  <c r="M110" i="186"/>
  <c r="K50" i="186"/>
  <c r="K110" i="186"/>
  <c r="I50" i="186"/>
  <c r="I110" i="186"/>
  <c r="G50" i="186"/>
  <c r="G110" i="186"/>
  <c r="E50" i="186"/>
  <c r="E110" i="186"/>
  <c r="C50" i="186"/>
  <c r="C110" i="186"/>
  <c r="B48" i="186"/>
  <c r="A48" i="186"/>
  <c r="U46" i="186"/>
  <c r="S46" i="186"/>
  <c r="Q46" i="186"/>
  <c r="O46" i="186"/>
  <c r="M46" i="186"/>
  <c r="K46" i="186"/>
  <c r="I46" i="186"/>
  <c r="G46" i="186"/>
  <c r="E46" i="186"/>
  <c r="C46" i="186"/>
  <c r="U16" i="186"/>
  <c r="S16" i="186"/>
  <c r="Q16" i="186"/>
  <c r="O16" i="186"/>
  <c r="M16" i="186"/>
  <c r="K16" i="186"/>
  <c r="I16" i="186"/>
  <c r="G16" i="186"/>
  <c r="E16" i="186"/>
  <c r="C16" i="186"/>
  <c r="U50" i="185"/>
  <c r="U110" i="185"/>
  <c r="Q50" i="185"/>
  <c r="Q110" i="185"/>
  <c r="M50" i="185"/>
  <c r="M110" i="185"/>
  <c r="I50" i="185"/>
  <c r="I110" i="185"/>
  <c r="S50" i="185"/>
  <c r="S110" i="185"/>
  <c r="O50" i="185"/>
  <c r="O110" i="185"/>
  <c r="K50" i="185"/>
  <c r="K110" i="185"/>
  <c r="G50" i="185"/>
  <c r="G110" i="185"/>
  <c r="E50" i="185"/>
  <c r="E110" i="185"/>
  <c r="C50" i="185"/>
  <c r="C110" i="185"/>
  <c r="B48" i="185"/>
  <c r="A48" i="185"/>
  <c r="U46" i="185"/>
  <c r="S46" i="185"/>
  <c r="Q46" i="185"/>
  <c r="O46" i="185"/>
  <c r="M46" i="185"/>
  <c r="K46" i="185"/>
  <c r="I46" i="185"/>
  <c r="G46" i="185"/>
  <c r="E46" i="185"/>
  <c r="C46" i="185"/>
  <c r="U16" i="185"/>
  <c r="S16" i="185"/>
  <c r="Q16" i="185"/>
  <c r="O16" i="185"/>
  <c r="M16" i="185"/>
  <c r="K16" i="185"/>
  <c r="I16" i="185"/>
  <c r="G16" i="185"/>
  <c r="E16" i="185"/>
  <c r="C16" i="185"/>
  <c r="U50" i="184"/>
  <c r="U110" i="184"/>
  <c r="S50" i="184"/>
  <c r="S110" i="184"/>
  <c r="Q50" i="184"/>
  <c r="Q110" i="184"/>
  <c r="O50" i="184"/>
  <c r="O110" i="184"/>
  <c r="M50" i="184"/>
  <c r="M110" i="184"/>
  <c r="K50" i="184"/>
  <c r="K110" i="184"/>
  <c r="I50" i="184"/>
  <c r="I110" i="184"/>
  <c r="G50" i="184"/>
  <c r="G110" i="184"/>
  <c r="E50" i="184"/>
  <c r="E110" i="184"/>
  <c r="C50" i="184"/>
  <c r="C110" i="184"/>
  <c r="B48" i="184"/>
  <c r="A48" i="184"/>
  <c r="U46" i="184"/>
  <c r="S46" i="184"/>
  <c r="Q46" i="184"/>
  <c r="O46" i="184"/>
  <c r="M46" i="184"/>
  <c r="K46" i="184"/>
  <c r="I46" i="184"/>
  <c r="G46" i="184"/>
  <c r="E46" i="184"/>
  <c r="C46" i="184"/>
  <c r="U16" i="184"/>
  <c r="S16" i="184"/>
  <c r="Q16" i="184"/>
  <c r="O16" i="184"/>
  <c r="M16" i="184"/>
  <c r="K16" i="184"/>
  <c r="I16" i="184"/>
  <c r="G16" i="184"/>
  <c r="E16" i="184"/>
  <c r="C16" i="184"/>
  <c r="U50" i="183"/>
  <c r="U110" i="183"/>
  <c r="S50" i="183"/>
  <c r="S110" i="183"/>
  <c r="Q50" i="183"/>
  <c r="Q110" i="183"/>
  <c r="O50" i="183"/>
  <c r="O110" i="183"/>
  <c r="M50" i="183"/>
  <c r="M110" i="183"/>
  <c r="K50" i="183"/>
  <c r="K110" i="183"/>
  <c r="I50" i="183"/>
  <c r="I110" i="183"/>
  <c r="G50" i="183"/>
  <c r="G110" i="183"/>
  <c r="E50" i="183"/>
  <c r="E110" i="183"/>
  <c r="C50" i="183"/>
  <c r="C110" i="183"/>
  <c r="B48" i="183"/>
  <c r="A48" i="183"/>
  <c r="U46" i="183"/>
  <c r="S46" i="183"/>
  <c r="Q46" i="183"/>
  <c r="O46" i="183"/>
  <c r="M46" i="183"/>
  <c r="K46" i="183"/>
  <c r="I46" i="183"/>
  <c r="G46" i="183"/>
  <c r="E46" i="183"/>
  <c r="C46" i="183"/>
  <c r="U16" i="183"/>
  <c r="S16" i="183"/>
  <c r="Q16" i="183"/>
  <c r="O16" i="183"/>
  <c r="M16" i="183"/>
  <c r="K16" i="183"/>
  <c r="I16" i="183"/>
  <c r="G16" i="183"/>
  <c r="E16" i="183"/>
  <c r="C16" i="183"/>
  <c r="E50" i="182"/>
  <c r="E110" i="182"/>
  <c r="C50" i="182"/>
  <c r="C110" i="182"/>
  <c r="U50" i="182"/>
  <c r="U110" i="182"/>
  <c r="S50" i="182"/>
  <c r="S110" i="182"/>
  <c r="Q50" i="182"/>
  <c r="Q110" i="182"/>
  <c r="O50" i="182"/>
  <c r="O110" i="182"/>
  <c r="M50" i="182"/>
  <c r="M110" i="182"/>
  <c r="K50" i="182"/>
  <c r="K110" i="182"/>
  <c r="I50" i="182"/>
  <c r="I110" i="182"/>
  <c r="G50" i="182"/>
  <c r="G110" i="182"/>
  <c r="B48" i="182"/>
  <c r="A48" i="182"/>
  <c r="U46" i="182"/>
  <c r="S46" i="182"/>
  <c r="Q46" i="182"/>
  <c r="O46" i="182"/>
  <c r="M46" i="182"/>
  <c r="K46" i="182"/>
  <c r="I46" i="182"/>
  <c r="G46" i="182"/>
  <c r="E46" i="182"/>
  <c r="C46" i="182"/>
  <c r="U16" i="182"/>
  <c r="S16" i="182"/>
  <c r="Q16" i="182"/>
  <c r="O16" i="182"/>
  <c r="M16" i="182"/>
  <c r="K16" i="182"/>
  <c r="I16" i="182"/>
  <c r="G16" i="182"/>
  <c r="E16" i="182"/>
  <c r="C16" i="182"/>
  <c r="U50" i="181"/>
  <c r="U110" i="181"/>
  <c r="S50" i="181"/>
  <c r="S110" i="181"/>
  <c r="Q50" i="181"/>
  <c r="Q110" i="181"/>
  <c r="O50" i="181"/>
  <c r="O110" i="181"/>
  <c r="M50" i="181"/>
  <c r="M110" i="181"/>
  <c r="K50" i="181"/>
  <c r="K110" i="181"/>
  <c r="I50" i="181"/>
  <c r="I110" i="181"/>
  <c r="G50" i="181"/>
  <c r="G110" i="181"/>
  <c r="E50" i="181"/>
  <c r="E110" i="181"/>
  <c r="C50" i="181"/>
  <c r="C110" i="181"/>
  <c r="B48" i="181"/>
  <c r="A48" i="181"/>
  <c r="U46" i="181"/>
  <c r="S46" i="181"/>
  <c r="Q46" i="181"/>
  <c r="O46" i="181"/>
  <c r="M46" i="181"/>
  <c r="K46" i="181"/>
  <c r="I46" i="181"/>
  <c r="G46" i="181"/>
  <c r="E46" i="181"/>
  <c r="C46" i="181"/>
  <c r="U16" i="181"/>
  <c r="S16" i="181"/>
  <c r="Q16" i="181"/>
  <c r="O16" i="181"/>
  <c r="M16" i="181"/>
  <c r="K16" i="181"/>
  <c r="I16" i="181"/>
  <c r="G16" i="181"/>
  <c r="E16" i="181"/>
  <c r="C16" i="181"/>
  <c r="G50" i="180"/>
  <c r="G110" i="180"/>
  <c r="U50" i="180"/>
  <c r="U110" i="180"/>
  <c r="S50" i="180"/>
  <c r="S110" i="180"/>
  <c r="Q50" i="180"/>
  <c r="Q110" i="180"/>
  <c r="O50" i="180"/>
  <c r="O110" i="180"/>
  <c r="M50" i="180"/>
  <c r="M110" i="180"/>
  <c r="K50" i="180"/>
  <c r="K110" i="180"/>
  <c r="I50" i="180"/>
  <c r="I110" i="180"/>
  <c r="E50" i="180"/>
  <c r="E110" i="180"/>
  <c r="C50" i="180"/>
  <c r="C110" i="180"/>
  <c r="B48" i="180"/>
  <c r="A48" i="180"/>
  <c r="U46" i="180"/>
  <c r="S46" i="180"/>
  <c r="Q46" i="180"/>
  <c r="O46" i="180"/>
  <c r="M46" i="180"/>
  <c r="K46" i="180"/>
  <c r="I46" i="180"/>
  <c r="G46" i="180"/>
  <c r="E46" i="180"/>
  <c r="C46" i="180"/>
  <c r="U16" i="180"/>
  <c r="S16" i="180"/>
  <c r="Q16" i="180"/>
  <c r="O16" i="180"/>
  <c r="M16" i="180"/>
  <c r="K16" i="180"/>
  <c r="I16" i="180"/>
  <c r="G16" i="180"/>
  <c r="E16" i="180"/>
  <c r="C16" i="180"/>
  <c r="Q50" i="179"/>
  <c r="Q110" i="179"/>
  <c r="U50" i="179"/>
  <c r="U110" i="179"/>
  <c r="S50" i="179"/>
  <c r="S110" i="179"/>
  <c r="O50" i="179"/>
  <c r="O110" i="179"/>
  <c r="M50" i="179"/>
  <c r="M110" i="179"/>
  <c r="K50" i="179"/>
  <c r="K110" i="179"/>
  <c r="I50" i="179"/>
  <c r="I110" i="179"/>
  <c r="G50" i="179"/>
  <c r="G110" i="179"/>
  <c r="E50" i="179"/>
  <c r="E110" i="179"/>
  <c r="C50" i="179"/>
  <c r="C110" i="179"/>
  <c r="B48" i="179"/>
  <c r="A48" i="179"/>
  <c r="U46" i="179"/>
  <c r="S46" i="179"/>
  <c r="Q46" i="179"/>
  <c r="O46" i="179"/>
  <c r="M46" i="179"/>
  <c r="K46" i="179"/>
  <c r="I46" i="179"/>
  <c r="G46" i="179"/>
  <c r="E46" i="179"/>
  <c r="C46" i="179"/>
  <c r="U16" i="179"/>
  <c r="S16" i="179"/>
  <c r="Q16" i="179"/>
  <c r="O16" i="179"/>
  <c r="M16" i="179"/>
  <c r="K16" i="179"/>
  <c r="I16" i="179"/>
  <c r="G16" i="179"/>
  <c r="E16" i="179"/>
  <c r="C16" i="179"/>
  <c r="C50" i="178"/>
  <c r="C110" i="178"/>
  <c r="U50" i="178"/>
  <c r="U110" i="178"/>
  <c r="S50" i="178"/>
  <c r="S110" i="178"/>
  <c r="Q50" i="178"/>
  <c r="Q110" i="178"/>
  <c r="O50" i="178"/>
  <c r="O110" i="178"/>
  <c r="M50" i="178"/>
  <c r="M110" i="178"/>
  <c r="K50" i="178"/>
  <c r="K110" i="178"/>
  <c r="I50" i="178"/>
  <c r="I110" i="178"/>
  <c r="G50" i="178"/>
  <c r="G110" i="178"/>
  <c r="E50" i="178"/>
  <c r="E110" i="178"/>
  <c r="B48" i="178"/>
  <c r="A48" i="178"/>
  <c r="U46" i="178"/>
  <c r="S46" i="178"/>
  <c r="Q46" i="178"/>
  <c r="O46" i="178"/>
  <c r="M46" i="178"/>
  <c r="K46" i="178"/>
  <c r="I46" i="178"/>
  <c r="G46" i="178"/>
  <c r="E46" i="178"/>
  <c r="C46" i="178"/>
  <c r="U16" i="178"/>
  <c r="S16" i="178"/>
  <c r="Q16" i="178"/>
  <c r="O16" i="178"/>
  <c r="M16" i="178"/>
  <c r="K16" i="178"/>
  <c r="I16" i="178"/>
  <c r="G16" i="178"/>
  <c r="E16" i="178"/>
  <c r="C16" i="178"/>
  <c r="S50" i="177"/>
  <c r="S110" i="177"/>
  <c r="K50" i="177"/>
  <c r="K110" i="177"/>
  <c r="C50" i="177"/>
  <c r="C110" i="177"/>
  <c r="U50" i="177"/>
  <c r="U110" i="177"/>
  <c r="Q50" i="177"/>
  <c r="Q110" i="177"/>
  <c r="O50" i="177"/>
  <c r="O110" i="177"/>
  <c r="M50" i="177"/>
  <c r="M110" i="177"/>
  <c r="I50" i="177"/>
  <c r="I110" i="177"/>
  <c r="G50" i="177"/>
  <c r="G110" i="177"/>
  <c r="E50" i="177"/>
  <c r="E110" i="177"/>
  <c r="B48" i="177"/>
  <c r="A48" i="177"/>
  <c r="U46" i="177"/>
  <c r="S46" i="177"/>
  <c r="Q46" i="177"/>
  <c r="O46" i="177"/>
  <c r="M46" i="177"/>
  <c r="K46" i="177"/>
  <c r="I46" i="177"/>
  <c r="E46" i="177"/>
  <c r="C46" i="177"/>
  <c r="U16" i="177"/>
  <c r="S16" i="177"/>
  <c r="Q16" i="177"/>
  <c r="O16" i="177"/>
  <c r="M16" i="177"/>
  <c r="K16" i="177"/>
  <c r="I16" i="177"/>
  <c r="G16" i="177"/>
  <c r="E16" i="177"/>
  <c r="C16" i="177"/>
  <c r="G31" i="177"/>
  <c r="G33" i="177"/>
  <c r="U50" i="176"/>
  <c r="U110" i="176"/>
  <c r="E50" i="176"/>
  <c r="E110" i="176"/>
  <c r="C50" i="176"/>
  <c r="C110" i="176"/>
  <c r="S50" i="176"/>
  <c r="S110" i="176"/>
  <c r="Q50" i="176"/>
  <c r="Q110" i="176"/>
  <c r="O50" i="176"/>
  <c r="O110" i="176"/>
  <c r="M50" i="176"/>
  <c r="M110" i="176"/>
  <c r="K50" i="176"/>
  <c r="K110" i="176"/>
  <c r="I50" i="176"/>
  <c r="I110" i="176"/>
  <c r="G50" i="176"/>
  <c r="G110" i="176"/>
  <c r="B48" i="176"/>
  <c r="A48" i="176"/>
  <c r="U46" i="176"/>
  <c r="S46" i="176"/>
  <c r="Q46" i="176"/>
  <c r="O46" i="176"/>
  <c r="M46" i="176"/>
  <c r="K46" i="176"/>
  <c r="I46" i="176"/>
  <c r="G46" i="176"/>
  <c r="E46" i="176"/>
  <c r="C46" i="176"/>
  <c r="I31" i="176"/>
  <c r="I33" i="176"/>
  <c r="U16" i="176"/>
  <c r="S16" i="176"/>
  <c r="Q16" i="176"/>
  <c r="O16" i="176"/>
  <c r="M16" i="176"/>
  <c r="K16" i="176"/>
  <c r="I16" i="176"/>
  <c r="G16" i="176"/>
  <c r="E16" i="176"/>
  <c r="C16" i="176"/>
  <c r="U31" i="176"/>
  <c r="U33" i="176"/>
  <c r="S31" i="176"/>
  <c r="S33" i="176"/>
  <c r="Q31" i="176"/>
  <c r="Q33" i="176"/>
  <c r="O31" i="176"/>
  <c r="O33" i="176"/>
  <c r="M31" i="176"/>
  <c r="M33" i="176"/>
  <c r="K31" i="176"/>
  <c r="K33" i="176"/>
  <c r="G31" i="176"/>
  <c r="G33" i="176"/>
  <c r="I50" i="175"/>
  <c r="I110" i="175"/>
  <c r="U50" i="175"/>
  <c r="U110" i="175"/>
  <c r="S50" i="175"/>
  <c r="S110" i="175"/>
  <c r="Q50" i="175"/>
  <c r="Q110" i="175"/>
  <c r="O50" i="175"/>
  <c r="O110" i="175"/>
  <c r="M50" i="175"/>
  <c r="M110" i="175"/>
  <c r="K50" i="175"/>
  <c r="K110" i="175"/>
  <c r="G50" i="175"/>
  <c r="G110" i="175"/>
  <c r="E50" i="175"/>
  <c r="E110" i="175"/>
  <c r="C50" i="175"/>
  <c r="C110" i="175"/>
  <c r="B48" i="175"/>
  <c r="A48" i="175"/>
  <c r="U46" i="175"/>
  <c r="S46" i="175"/>
  <c r="Q46" i="175"/>
  <c r="O46" i="175"/>
  <c r="M46" i="175"/>
  <c r="K46" i="175"/>
  <c r="I46" i="175"/>
  <c r="G46" i="175"/>
  <c r="E46" i="175"/>
  <c r="C46" i="175"/>
  <c r="U33" i="175"/>
  <c r="S33" i="175"/>
  <c r="Q33" i="175"/>
  <c r="O33" i="175"/>
  <c r="M33" i="175"/>
  <c r="K33" i="175"/>
  <c r="I33" i="175"/>
  <c r="G33" i="175"/>
  <c r="E33" i="175"/>
  <c r="U28" i="175"/>
  <c r="S28" i="175"/>
  <c r="Q28" i="175"/>
  <c r="O28" i="175"/>
  <c r="M28" i="175"/>
  <c r="K28" i="175"/>
  <c r="I28" i="175"/>
  <c r="G28" i="175"/>
  <c r="E28" i="175"/>
  <c r="U16" i="175"/>
  <c r="S16" i="175"/>
  <c r="Q16" i="175"/>
  <c r="O16" i="175"/>
  <c r="M16" i="175"/>
  <c r="K16" i="175"/>
  <c r="I16" i="175"/>
  <c r="G16" i="175"/>
  <c r="E16" i="175"/>
  <c r="C16" i="175"/>
  <c r="U50" i="174"/>
  <c r="U110" i="174"/>
  <c r="S50" i="174"/>
  <c r="S110" i="174"/>
  <c r="Q50" i="174"/>
  <c r="Q110" i="174"/>
  <c r="O50" i="174"/>
  <c r="O110" i="174"/>
  <c r="M50" i="174"/>
  <c r="M110" i="174"/>
  <c r="K50" i="174"/>
  <c r="K110" i="174"/>
  <c r="I50" i="174"/>
  <c r="I110" i="174"/>
  <c r="G50" i="174"/>
  <c r="G110" i="174"/>
  <c r="E50" i="174"/>
  <c r="E110" i="174"/>
  <c r="C50" i="174"/>
  <c r="C110" i="174"/>
  <c r="B48" i="174"/>
  <c r="A48" i="174"/>
  <c r="U46" i="174"/>
  <c r="S46" i="174"/>
  <c r="Q46" i="174"/>
  <c r="O46" i="174"/>
  <c r="M46" i="174"/>
  <c r="K46" i="174"/>
  <c r="I46" i="174"/>
  <c r="G46" i="174"/>
  <c r="E46" i="174"/>
  <c r="C46" i="174"/>
  <c r="U33" i="174"/>
  <c r="S33" i="174"/>
  <c r="Q33" i="174"/>
  <c r="O33" i="174"/>
  <c r="M33" i="174"/>
  <c r="K33" i="174"/>
  <c r="I33" i="174"/>
  <c r="G33" i="174"/>
  <c r="E33" i="174"/>
  <c r="U28" i="174"/>
  <c r="S28" i="174"/>
  <c r="Q28" i="174"/>
  <c r="O28" i="174"/>
  <c r="M28" i="174"/>
  <c r="K28" i="174"/>
  <c r="I28" i="174"/>
  <c r="G28" i="174"/>
  <c r="E28" i="174"/>
  <c r="R26" i="174"/>
  <c r="U16" i="174"/>
  <c r="S16" i="174"/>
  <c r="Q16" i="174"/>
  <c r="O16" i="174"/>
  <c r="M16" i="174"/>
  <c r="K16" i="174"/>
  <c r="I16" i="174"/>
  <c r="G16" i="174"/>
  <c r="E16" i="174"/>
  <c r="C16" i="174"/>
  <c r="S50" i="173"/>
  <c r="S110" i="173"/>
  <c r="C50" i="173"/>
  <c r="C110" i="173"/>
  <c r="U50" i="173"/>
  <c r="U110" i="173"/>
  <c r="Q50" i="173"/>
  <c r="Q110" i="173"/>
  <c r="O50" i="173"/>
  <c r="O110" i="173"/>
  <c r="M50" i="173"/>
  <c r="M110" i="173"/>
  <c r="K50" i="173"/>
  <c r="K110" i="173"/>
  <c r="I50" i="173"/>
  <c r="I110" i="173"/>
  <c r="G50" i="173"/>
  <c r="G110" i="173"/>
  <c r="E50" i="173"/>
  <c r="E110" i="173"/>
  <c r="B48" i="173"/>
  <c r="A48" i="173"/>
  <c r="U46" i="173"/>
  <c r="S46" i="173"/>
  <c r="Q46" i="173"/>
  <c r="O46" i="173"/>
  <c r="M46" i="173"/>
  <c r="K46" i="173"/>
  <c r="I46" i="173"/>
  <c r="G46" i="173"/>
  <c r="E46" i="173"/>
  <c r="C46" i="173"/>
  <c r="U33" i="173"/>
  <c r="S33" i="173"/>
  <c r="Q33" i="173"/>
  <c r="O33" i="173"/>
  <c r="M33" i="173"/>
  <c r="K33" i="173"/>
  <c r="I33" i="173"/>
  <c r="G33" i="173"/>
  <c r="E33" i="173"/>
  <c r="U28" i="173"/>
  <c r="S28" i="173"/>
  <c r="Q28" i="173"/>
  <c r="O28" i="173"/>
  <c r="M28" i="173"/>
  <c r="K28" i="173"/>
  <c r="I28" i="173"/>
  <c r="G28" i="173"/>
  <c r="E28" i="173"/>
  <c r="U16" i="173"/>
  <c r="S16" i="173"/>
  <c r="Q16" i="173"/>
  <c r="O16" i="173"/>
  <c r="M16" i="173"/>
  <c r="K16" i="173"/>
  <c r="I16" i="173"/>
  <c r="G16" i="173"/>
  <c r="E16" i="173"/>
  <c r="C16" i="173"/>
  <c r="U50" i="172"/>
  <c r="U110" i="172"/>
  <c r="S50" i="172"/>
  <c r="S110" i="172"/>
  <c r="Q50" i="172"/>
  <c r="Q110" i="172"/>
  <c r="O50" i="172"/>
  <c r="O110" i="172"/>
  <c r="M50" i="172"/>
  <c r="M110" i="172"/>
  <c r="K50" i="172"/>
  <c r="K110" i="172"/>
  <c r="I50" i="172"/>
  <c r="I110" i="172"/>
  <c r="G50" i="172"/>
  <c r="G110" i="172"/>
  <c r="E50" i="172"/>
  <c r="E110" i="172"/>
  <c r="C50" i="172"/>
  <c r="C110" i="172"/>
  <c r="B48" i="172"/>
  <c r="A48" i="172"/>
  <c r="U46" i="172"/>
  <c r="S46" i="172"/>
  <c r="Q46" i="172"/>
  <c r="O46" i="172"/>
  <c r="M46" i="172"/>
  <c r="K46" i="172"/>
  <c r="I46" i="172"/>
  <c r="G46" i="172"/>
  <c r="E46" i="172"/>
  <c r="C46" i="172"/>
  <c r="U33" i="172"/>
  <c r="S33" i="172"/>
  <c r="Q33" i="172"/>
  <c r="O33" i="172"/>
  <c r="M33" i="172"/>
  <c r="K33" i="172"/>
  <c r="I33" i="172"/>
  <c r="G33" i="172"/>
  <c r="E33" i="172"/>
  <c r="U28" i="172"/>
  <c r="S28" i="172"/>
  <c r="Q28" i="172"/>
  <c r="O28" i="172"/>
  <c r="M28" i="172"/>
  <c r="K28" i="172"/>
  <c r="I28" i="172"/>
  <c r="G28" i="172"/>
  <c r="E28" i="172"/>
  <c r="C33" i="172"/>
  <c r="U16" i="172"/>
  <c r="S16" i="172"/>
  <c r="Q16" i="172"/>
  <c r="O16" i="172"/>
  <c r="M16" i="172"/>
  <c r="K16" i="172"/>
  <c r="I16" i="172"/>
  <c r="G16" i="172"/>
  <c r="E16" i="172"/>
  <c r="U50" i="171"/>
  <c r="U110" i="171"/>
  <c r="S50" i="171"/>
  <c r="S110" i="171"/>
  <c r="Q50" i="171"/>
  <c r="Q110" i="171"/>
  <c r="O50" i="171"/>
  <c r="O110" i="171"/>
  <c r="M50" i="171"/>
  <c r="M110" i="171"/>
  <c r="K50" i="171"/>
  <c r="K110" i="171"/>
  <c r="I50" i="171"/>
  <c r="I110" i="171"/>
  <c r="G50" i="171"/>
  <c r="G110" i="171"/>
  <c r="E50" i="171"/>
  <c r="E110" i="171"/>
  <c r="C50" i="171"/>
  <c r="C110" i="171"/>
  <c r="B48" i="171"/>
  <c r="A48" i="171"/>
  <c r="U46" i="171"/>
  <c r="S46" i="171"/>
  <c r="Q46" i="171"/>
  <c r="O46" i="171"/>
  <c r="M46" i="171"/>
  <c r="K46" i="171"/>
  <c r="I46" i="171"/>
  <c r="G46" i="171"/>
  <c r="E46" i="171"/>
  <c r="C46" i="171"/>
  <c r="O14" i="171"/>
  <c r="O31" i="171"/>
  <c r="O33" i="171"/>
  <c r="G14" i="171"/>
  <c r="G31" i="171"/>
  <c r="G33" i="171"/>
  <c r="U16" i="171"/>
  <c r="S16" i="171"/>
  <c r="Q16" i="171"/>
  <c r="O16" i="171"/>
  <c r="M16" i="171"/>
  <c r="K16" i="171"/>
  <c r="I16" i="171"/>
  <c r="G16" i="171"/>
  <c r="E16" i="171"/>
  <c r="C16" i="171"/>
  <c r="U14" i="171"/>
  <c r="U31" i="171"/>
  <c r="U33" i="171"/>
  <c r="S14" i="171"/>
  <c r="S31" i="171"/>
  <c r="S33" i="171"/>
  <c r="Q14" i="171"/>
  <c r="Q31" i="171"/>
  <c r="Q33" i="171"/>
  <c r="M14" i="171"/>
  <c r="M31" i="171"/>
  <c r="M33" i="171"/>
  <c r="K14" i="171"/>
  <c r="K31" i="171"/>
  <c r="K33" i="171"/>
  <c r="I14" i="171"/>
  <c r="I31" i="171"/>
  <c r="I33" i="171"/>
  <c r="U50" i="170"/>
  <c r="U110" i="170"/>
  <c r="S50" i="170"/>
  <c r="S110" i="170"/>
  <c r="Q50" i="170"/>
  <c r="Q110" i="170"/>
  <c r="O50" i="170"/>
  <c r="O110" i="170"/>
  <c r="M50" i="170"/>
  <c r="M110" i="170"/>
  <c r="K50" i="170"/>
  <c r="K110" i="170"/>
  <c r="I50" i="170"/>
  <c r="I110" i="170"/>
  <c r="G50" i="170"/>
  <c r="G110" i="170"/>
  <c r="E50" i="170"/>
  <c r="E110" i="170"/>
  <c r="C50" i="170"/>
  <c r="C110" i="170"/>
  <c r="B48" i="170"/>
  <c r="A48" i="170"/>
  <c r="U46" i="170"/>
  <c r="S46" i="170"/>
  <c r="Q46" i="170"/>
  <c r="O46" i="170"/>
  <c r="M46" i="170"/>
  <c r="K46" i="170"/>
  <c r="I46" i="170"/>
  <c r="G46" i="170"/>
  <c r="E46" i="170"/>
  <c r="C46" i="170"/>
  <c r="U33" i="170"/>
  <c r="S33" i="170"/>
  <c r="Q33" i="170"/>
  <c r="O33" i="170"/>
  <c r="M33" i="170"/>
  <c r="K33" i="170"/>
  <c r="I33" i="170"/>
  <c r="G33" i="170"/>
  <c r="E33" i="170"/>
  <c r="V19" i="170"/>
  <c r="R19" i="170"/>
  <c r="P27" i="170"/>
  <c r="N20" i="170"/>
  <c r="J20" i="170"/>
  <c r="H25" i="170"/>
  <c r="J25" i="170"/>
  <c r="U16" i="170"/>
  <c r="S16" i="170"/>
  <c r="Q16" i="170"/>
  <c r="O16" i="170"/>
  <c r="M16" i="170"/>
  <c r="K16" i="170"/>
  <c r="I16" i="170"/>
  <c r="G16" i="170"/>
  <c r="E16" i="170"/>
  <c r="C16" i="170"/>
  <c r="S50" i="169"/>
  <c r="S110" i="169"/>
  <c r="U50" i="169"/>
  <c r="U110" i="169"/>
  <c r="Q50" i="169"/>
  <c r="Q110" i="169"/>
  <c r="O50" i="169"/>
  <c r="O110" i="169"/>
  <c r="M50" i="169"/>
  <c r="M110" i="169"/>
  <c r="K50" i="169"/>
  <c r="K110" i="169"/>
  <c r="I50" i="169"/>
  <c r="I110" i="169"/>
  <c r="G50" i="169"/>
  <c r="G110" i="169"/>
  <c r="E50" i="169"/>
  <c r="E110" i="169"/>
  <c r="C50" i="169"/>
  <c r="C110" i="169"/>
  <c r="B48" i="169"/>
  <c r="A48" i="169"/>
  <c r="U46" i="169"/>
  <c r="S46" i="169"/>
  <c r="Q46" i="169"/>
  <c r="O46" i="169"/>
  <c r="M46" i="169"/>
  <c r="K46" i="169"/>
  <c r="I46" i="169"/>
  <c r="G46" i="169"/>
  <c r="E46" i="169"/>
  <c r="C46" i="169"/>
  <c r="U33" i="169"/>
  <c r="S33" i="169"/>
  <c r="Q33" i="169"/>
  <c r="O33" i="169"/>
  <c r="M33" i="169"/>
  <c r="K33" i="169"/>
  <c r="I33" i="169"/>
  <c r="G33" i="169"/>
  <c r="E33" i="169"/>
  <c r="U28" i="169"/>
  <c r="S28" i="169"/>
  <c r="Q28" i="169"/>
  <c r="O28" i="169"/>
  <c r="M28" i="169"/>
  <c r="K28" i="169"/>
  <c r="I28" i="169"/>
  <c r="G28" i="169"/>
  <c r="E28" i="169"/>
  <c r="R25" i="169"/>
  <c r="U16" i="169"/>
  <c r="S16" i="169"/>
  <c r="Q16" i="169"/>
  <c r="O16" i="169"/>
  <c r="M16" i="169"/>
  <c r="K16" i="169"/>
  <c r="I16" i="169"/>
  <c r="G16" i="169"/>
  <c r="E16" i="169"/>
  <c r="C16" i="169"/>
  <c r="U50" i="168"/>
  <c r="U110" i="168"/>
  <c r="S50" i="168"/>
  <c r="S110" i="168"/>
  <c r="Q50" i="168"/>
  <c r="Q110" i="168"/>
  <c r="O50" i="168"/>
  <c r="O110" i="168"/>
  <c r="M50" i="168"/>
  <c r="M110" i="168"/>
  <c r="K50" i="168"/>
  <c r="K110" i="168"/>
  <c r="I50" i="168"/>
  <c r="I110" i="168"/>
  <c r="G50" i="168"/>
  <c r="G110" i="168"/>
  <c r="E50" i="168"/>
  <c r="E110" i="168"/>
  <c r="C50" i="168"/>
  <c r="C110" i="168"/>
  <c r="B48" i="168"/>
  <c r="A48" i="168"/>
  <c r="U46" i="168"/>
  <c r="S46" i="168"/>
  <c r="Q46" i="168"/>
  <c r="O46" i="168"/>
  <c r="M46" i="168"/>
  <c r="K46" i="168"/>
  <c r="I46" i="168"/>
  <c r="G46" i="168"/>
  <c r="E46" i="168"/>
  <c r="C46" i="168"/>
  <c r="U33" i="168"/>
  <c r="S33" i="168"/>
  <c r="Q33" i="168"/>
  <c r="O33" i="168"/>
  <c r="M33" i="168"/>
  <c r="K33" i="168"/>
  <c r="I33" i="168"/>
  <c r="G33" i="168"/>
  <c r="E33" i="168"/>
  <c r="U28" i="168"/>
  <c r="S28" i="168"/>
  <c r="Q28" i="168"/>
  <c r="O28" i="168"/>
  <c r="M28" i="168"/>
  <c r="K28" i="168"/>
  <c r="I28" i="168"/>
  <c r="G28" i="168"/>
  <c r="E28" i="168"/>
  <c r="R27" i="168"/>
  <c r="P20" i="168"/>
  <c r="U16" i="168"/>
  <c r="S16" i="168"/>
  <c r="Q16" i="168"/>
  <c r="O16" i="168"/>
  <c r="M16" i="168"/>
  <c r="K16" i="168"/>
  <c r="I16" i="168"/>
  <c r="G16" i="168"/>
  <c r="E16" i="168"/>
  <c r="C16" i="168"/>
  <c r="U50" i="167"/>
  <c r="U110" i="167"/>
  <c r="S50" i="167"/>
  <c r="S110" i="167"/>
  <c r="Q50" i="167"/>
  <c r="Q110" i="167"/>
  <c r="O50" i="167"/>
  <c r="O110" i="167"/>
  <c r="M50" i="167"/>
  <c r="M110" i="167"/>
  <c r="K50" i="167"/>
  <c r="K110" i="167"/>
  <c r="I50" i="167"/>
  <c r="I110" i="167"/>
  <c r="G50" i="167"/>
  <c r="G110" i="167"/>
  <c r="E50" i="167"/>
  <c r="E110" i="167"/>
  <c r="C50" i="167"/>
  <c r="C110" i="167"/>
  <c r="B48" i="167"/>
  <c r="A48" i="167"/>
  <c r="U46" i="167"/>
  <c r="S46" i="167"/>
  <c r="Q46" i="167"/>
  <c r="O46" i="167"/>
  <c r="M46" i="167"/>
  <c r="K46" i="167"/>
  <c r="I46" i="167"/>
  <c r="G46" i="167"/>
  <c r="E46" i="167"/>
  <c r="C46" i="167"/>
  <c r="U33" i="167"/>
  <c r="S33" i="167"/>
  <c r="Q33" i="167"/>
  <c r="O33" i="167"/>
  <c r="M33" i="167"/>
  <c r="K33" i="167"/>
  <c r="I33" i="167"/>
  <c r="G33" i="167"/>
  <c r="E33" i="167"/>
  <c r="J19" i="167"/>
  <c r="H26" i="167"/>
  <c r="J20" i="167"/>
  <c r="U16" i="167"/>
  <c r="S16" i="167"/>
  <c r="Q16" i="167"/>
  <c r="O16" i="167"/>
  <c r="M16" i="167"/>
  <c r="K16" i="167"/>
  <c r="I16" i="167"/>
  <c r="G16" i="167"/>
  <c r="E16" i="167"/>
  <c r="C16" i="167"/>
  <c r="U50" i="165"/>
  <c r="U110" i="165"/>
  <c r="S50" i="165"/>
  <c r="S110" i="165"/>
  <c r="Q50" i="165"/>
  <c r="Q110" i="165"/>
  <c r="O50" i="165"/>
  <c r="O110" i="165"/>
  <c r="M50" i="165"/>
  <c r="M110" i="165"/>
  <c r="K50" i="165"/>
  <c r="K110" i="165"/>
  <c r="I50" i="165"/>
  <c r="I110" i="165"/>
  <c r="G50" i="165"/>
  <c r="G110" i="165"/>
  <c r="E50" i="165"/>
  <c r="E110" i="165"/>
  <c r="C50" i="165"/>
  <c r="C110" i="165"/>
  <c r="B48" i="165"/>
  <c r="A48" i="165"/>
  <c r="U46" i="165"/>
  <c r="S46" i="165"/>
  <c r="Q46" i="165"/>
  <c r="O46" i="165"/>
  <c r="M46" i="165"/>
  <c r="K46" i="165"/>
  <c r="I46" i="165"/>
  <c r="G46" i="165"/>
  <c r="E46" i="165"/>
  <c r="C46" i="165"/>
  <c r="U33" i="165"/>
  <c r="S33" i="165"/>
  <c r="Q33" i="165"/>
  <c r="O33" i="165"/>
  <c r="M33" i="165"/>
  <c r="K33" i="165"/>
  <c r="I33" i="165"/>
  <c r="G33" i="165"/>
  <c r="E33" i="165"/>
  <c r="U28" i="165"/>
  <c r="S28" i="165"/>
  <c r="Q28" i="165"/>
  <c r="O28" i="165"/>
  <c r="M28" i="165"/>
  <c r="K28" i="165"/>
  <c r="I28" i="165"/>
  <c r="G28" i="165"/>
  <c r="E28" i="165"/>
  <c r="C33" i="165"/>
  <c r="J20" i="165"/>
  <c r="J19" i="165"/>
  <c r="U16" i="165"/>
  <c r="S16" i="165"/>
  <c r="Q16" i="165"/>
  <c r="O16" i="165"/>
  <c r="M16" i="165"/>
  <c r="K16" i="165"/>
  <c r="I16" i="165"/>
  <c r="G16" i="165"/>
  <c r="E16" i="165"/>
  <c r="C16" i="165"/>
  <c r="Q50" i="164"/>
  <c r="Q110" i="164"/>
  <c r="I50" i="164"/>
  <c r="I110" i="164"/>
  <c r="U50" i="164"/>
  <c r="U110" i="164"/>
  <c r="S50" i="164"/>
  <c r="S110" i="164"/>
  <c r="O50" i="164"/>
  <c r="O110" i="164"/>
  <c r="M50" i="164"/>
  <c r="M110" i="164"/>
  <c r="K50" i="164"/>
  <c r="K110" i="164"/>
  <c r="G50" i="164"/>
  <c r="G110" i="164"/>
  <c r="E50" i="164"/>
  <c r="E110" i="164"/>
  <c r="C50" i="164"/>
  <c r="C110" i="164"/>
  <c r="B48" i="164"/>
  <c r="A48" i="164"/>
  <c r="U46" i="164"/>
  <c r="S46" i="164"/>
  <c r="Q46" i="164"/>
  <c r="O46" i="164"/>
  <c r="M46" i="164"/>
  <c r="K46" i="164"/>
  <c r="I46" i="164"/>
  <c r="G46" i="164"/>
  <c r="E46" i="164"/>
  <c r="C46" i="164"/>
  <c r="U33" i="164"/>
  <c r="S33" i="164"/>
  <c r="Q33" i="164"/>
  <c r="O33" i="164"/>
  <c r="M33" i="164"/>
  <c r="K33" i="164"/>
  <c r="I33" i="164"/>
  <c r="G33" i="164"/>
  <c r="E33" i="164"/>
  <c r="U28" i="164"/>
  <c r="S28" i="164"/>
  <c r="Q28" i="164"/>
  <c r="O28" i="164"/>
  <c r="M28" i="164"/>
  <c r="K28" i="164"/>
  <c r="I28" i="164"/>
  <c r="G28" i="164"/>
  <c r="E28" i="164"/>
  <c r="C33" i="164"/>
  <c r="R20" i="164"/>
  <c r="U16" i="164"/>
  <c r="S16" i="164"/>
  <c r="Q16" i="164"/>
  <c r="O16" i="164"/>
  <c r="M16" i="164"/>
  <c r="K16" i="164"/>
  <c r="I16" i="164"/>
  <c r="G16" i="164"/>
  <c r="E16" i="164"/>
  <c r="C16" i="164"/>
  <c r="U50" i="163"/>
  <c r="U110" i="163"/>
  <c r="S50" i="163"/>
  <c r="S110" i="163"/>
  <c r="Q50" i="163"/>
  <c r="Q110" i="163"/>
  <c r="O50" i="163"/>
  <c r="O110" i="163"/>
  <c r="M50" i="163"/>
  <c r="M110" i="163"/>
  <c r="K50" i="163"/>
  <c r="K110" i="163"/>
  <c r="I50" i="163"/>
  <c r="I110" i="163"/>
  <c r="G50" i="163"/>
  <c r="G110" i="163"/>
  <c r="E50" i="163"/>
  <c r="E110" i="163"/>
  <c r="C50" i="163"/>
  <c r="C110" i="163"/>
  <c r="B48" i="163"/>
  <c r="A48" i="163"/>
  <c r="U46" i="163"/>
  <c r="S46" i="163"/>
  <c r="Q46" i="163"/>
  <c r="O46" i="163"/>
  <c r="M46" i="163"/>
  <c r="K46" i="163"/>
  <c r="I46" i="163"/>
  <c r="G46" i="163"/>
  <c r="E46" i="163"/>
  <c r="C46" i="163"/>
  <c r="U33" i="163"/>
  <c r="S33" i="163"/>
  <c r="Q33" i="163"/>
  <c r="O33" i="163"/>
  <c r="M33" i="163"/>
  <c r="K33" i="163"/>
  <c r="I33" i="163"/>
  <c r="G33" i="163"/>
  <c r="E33" i="163"/>
  <c r="N21" i="163"/>
  <c r="L26" i="163"/>
  <c r="J26" i="163"/>
  <c r="F21" i="163"/>
  <c r="C28" i="163"/>
  <c r="D21" i="163"/>
  <c r="V26" i="163"/>
  <c r="N25" i="163"/>
  <c r="V21" i="163"/>
  <c r="L21" i="163"/>
  <c r="V20" i="163"/>
  <c r="V19" i="163"/>
  <c r="T19" i="163"/>
  <c r="L19" i="163"/>
  <c r="U16" i="163"/>
  <c r="S16" i="163"/>
  <c r="Q16" i="163"/>
  <c r="O16" i="163"/>
  <c r="M16" i="163"/>
  <c r="K16" i="163"/>
  <c r="I16" i="163"/>
  <c r="G16" i="163"/>
  <c r="E16" i="163"/>
  <c r="C16" i="163"/>
  <c r="C50" i="162"/>
  <c r="C110" i="162"/>
  <c r="U50" i="162"/>
  <c r="U110" i="162"/>
  <c r="S50" i="162"/>
  <c r="S110" i="162"/>
  <c r="Q50" i="162"/>
  <c r="Q110" i="162"/>
  <c r="O50" i="162"/>
  <c r="O110" i="162"/>
  <c r="M50" i="162"/>
  <c r="M110" i="162"/>
  <c r="K50" i="162"/>
  <c r="K110" i="162"/>
  <c r="I50" i="162"/>
  <c r="I110" i="162"/>
  <c r="G50" i="162"/>
  <c r="G110" i="162"/>
  <c r="E50" i="162"/>
  <c r="E110" i="162"/>
  <c r="B48" i="162"/>
  <c r="A48" i="162"/>
  <c r="U46" i="162"/>
  <c r="S46" i="162"/>
  <c r="Q46" i="162"/>
  <c r="O46" i="162"/>
  <c r="M46" i="162"/>
  <c r="K46" i="162"/>
  <c r="I46" i="162"/>
  <c r="G46" i="162"/>
  <c r="E46" i="162"/>
  <c r="C46" i="162"/>
  <c r="U16" i="162"/>
  <c r="S16" i="162"/>
  <c r="Q16" i="162"/>
  <c r="O16" i="162"/>
  <c r="M16" i="162"/>
  <c r="K16" i="162"/>
  <c r="I16" i="162"/>
  <c r="G16" i="162"/>
  <c r="E16" i="162"/>
  <c r="C16" i="162"/>
  <c r="U14" i="162"/>
  <c r="U31" i="162"/>
  <c r="U33" i="162"/>
  <c r="S14" i="162"/>
  <c r="S31" i="162"/>
  <c r="S33" i="162"/>
  <c r="Q14" i="162"/>
  <c r="Q31" i="162"/>
  <c r="Q33" i="162"/>
  <c r="O14" i="162"/>
  <c r="O31" i="162"/>
  <c r="O33" i="162"/>
  <c r="M14" i="162"/>
  <c r="M31" i="162"/>
  <c r="M33" i="162"/>
  <c r="K14" i="162"/>
  <c r="K31" i="162"/>
  <c r="K33" i="162"/>
  <c r="I14" i="162"/>
  <c r="I31" i="162"/>
  <c r="I33" i="162"/>
  <c r="G14" i="162"/>
  <c r="G31" i="162"/>
  <c r="G33" i="162"/>
  <c r="G50" i="161"/>
  <c r="G110" i="161"/>
  <c r="U50" i="161"/>
  <c r="U110" i="161"/>
  <c r="S50" i="161"/>
  <c r="S110" i="161"/>
  <c r="Q50" i="161"/>
  <c r="Q110" i="161"/>
  <c r="O50" i="161"/>
  <c r="O110" i="161"/>
  <c r="M50" i="161"/>
  <c r="M110" i="161"/>
  <c r="K50" i="161"/>
  <c r="K110" i="161"/>
  <c r="I50" i="161"/>
  <c r="I110" i="161"/>
  <c r="E50" i="161"/>
  <c r="E110" i="161"/>
  <c r="C50" i="161"/>
  <c r="C110" i="161"/>
  <c r="B48" i="161"/>
  <c r="A48" i="161"/>
  <c r="U46" i="161"/>
  <c r="S46" i="161"/>
  <c r="Q46" i="161"/>
  <c r="O46" i="161"/>
  <c r="M46" i="161"/>
  <c r="K46" i="161"/>
  <c r="I46" i="161"/>
  <c r="G46" i="161"/>
  <c r="E46" i="161"/>
  <c r="C46" i="161"/>
  <c r="U33" i="161"/>
  <c r="S33" i="161"/>
  <c r="Q33" i="161"/>
  <c r="O33" i="161"/>
  <c r="M33" i="161"/>
  <c r="K33" i="161"/>
  <c r="I33" i="161"/>
  <c r="G33" i="161"/>
  <c r="E33" i="161"/>
  <c r="U28" i="161"/>
  <c r="S28" i="161"/>
  <c r="Q28" i="161"/>
  <c r="O28" i="161"/>
  <c r="M28" i="161"/>
  <c r="N25" i="161"/>
  <c r="K28" i="161"/>
  <c r="I28" i="161"/>
  <c r="G28" i="161"/>
  <c r="E28" i="161"/>
  <c r="D26" i="161"/>
  <c r="N20" i="161"/>
  <c r="U16" i="161"/>
  <c r="S16" i="161"/>
  <c r="Q16" i="161"/>
  <c r="O16" i="161"/>
  <c r="M16" i="161"/>
  <c r="K16" i="161"/>
  <c r="I16" i="161"/>
  <c r="G16" i="161"/>
  <c r="E16" i="161"/>
  <c r="C16" i="161"/>
  <c r="U50" i="160"/>
  <c r="U110" i="160"/>
  <c r="S50" i="160"/>
  <c r="S110" i="160"/>
  <c r="Q50" i="160"/>
  <c r="Q110" i="160"/>
  <c r="O50" i="160"/>
  <c r="O110" i="160"/>
  <c r="M50" i="160"/>
  <c r="M110" i="160"/>
  <c r="K50" i="160"/>
  <c r="K110" i="160"/>
  <c r="I50" i="160"/>
  <c r="I110" i="160"/>
  <c r="G50" i="160"/>
  <c r="G110" i="160"/>
  <c r="E50" i="160"/>
  <c r="E110" i="160"/>
  <c r="C50" i="160"/>
  <c r="C110" i="160"/>
  <c r="B48" i="160"/>
  <c r="A48" i="160"/>
  <c r="U46" i="160"/>
  <c r="S46" i="160"/>
  <c r="Q46" i="160"/>
  <c r="O46" i="160"/>
  <c r="M46" i="160"/>
  <c r="K46" i="160"/>
  <c r="I46" i="160"/>
  <c r="G46" i="160"/>
  <c r="E46" i="160"/>
  <c r="C46" i="160"/>
  <c r="U14" i="160"/>
  <c r="U31" i="160"/>
  <c r="U33" i="160"/>
  <c r="M14" i="160"/>
  <c r="M31" i="160"/>
  <c r="M33" i="160"/>
  <c r="U16" i="160"/>
  <c r="S16" i="160"/>
  <c r="Q16" i="160"/>
  <c r="O16" i="160"/>
  <c r="M16" i="160"/>
  <c r="K16" i="160"/>
  <c r="I16" i="160"/>
  <c r="G16" i="160"/>
  <c r="E16" i="160"/>
  <c r="C16" i="160"/>
  <c r="S14" i="160"/>
  <c r="S31" i="160"/>
  <c r="S33" i="160"/>
  <c r="Q14" i="160"/>
  <c r="Q31" i="160"/>
  <c r="Q33" i="160"/>
  <c r="O14" i="160"/>
  <c r="O31" i="160"/>
  <c r="O33" i="160"/>
  <c r="K14" i="160"/>
  <c r="K31" i="160"/>
  <c r="K33" i="160"/>
  <c r="I14" i="160"/>
  <c r="I31" i="160"/>
  <c r="I33" i="160"/>
  <c r="G14" i="160"/>
  <c r="G31" i="160"/>
  <c r="G33" i="160"/>
  <c r="U50" i="159"/>
  <c r="U110" i="159"/>
  <c r="S50" i="159"/>
  <c r="S110" i="159"/>
  <c r="Q50" i="159"/>
  <c r="Q110" i="159"/>
  <c r="O50" i="159"/>
  <c r="O110" i="159"/>
  <c r="M50" i="159"/>
  <c r="M110" i="159"/>
  <c r="K50" i="159"/>
  <c r="K110" i="159"/>
  <c r="I50" i="159"/>
  <c r="I110" i="159"/>
  <c r="G50" i="159"/>
  <c r="G110" i="159"/>
  <c r="E50" i="159"/>
  <c r="E110" i="159"/>
  <c r="C50" i="159"/>
  <c r="C110" i="159"/>
  <c r="U46" i="159"/>
  <c r="S46" i="159"/>
  <c r="Q46" i="159"/>
  <c r="O46" i="159"/>
  <c r="M46" i="159"/>
  <c r="K46" i="159"/>
  <c r="I46" i="159"/>
  <c r="G46" i="159"/>
  <c r="E46" i="159"/>
  <c r="C46" i="159"/>
  <c r="U33" i="159"/>
  <c r="S33" i="159"/>
  <c r="Q33" i="159"/>
  <c r="O33" i="159"/>
  <c r="M33" i="159"/>
  <c r="K33" i="159"/>
  <c r="I33" i="159"/>
  <c r="G33" i="159"/>
  <c r="E33" i="159"/>
  <c r="U28" i="159"/>
  <c r="S28" i="159"/>
  <c r="Q28" i="159"/>
  <c r="O28" i="159"/>
  <c r="M28" i="159"/>
  <c r="K28" i="159"/>
  <c r="I28" i="159"/>
  <c r="G28" i="159"/>
  <c r="E28" i="159"/>
  <c r="C28" i="159"/>
  <c r="U16" i="159"/>
  <c r="S16" i="159"/>
  <c r="Q16" i="159"/>
  <c r="O16" i="159"/>
  <c r="M16" i="159"/>
  <c r="K16" i="159"/>
  <c r="I16" i="159"/>
  <c r="G16" i="159"/>
  <c r="E16" i="159"/>
  <c r="C16" i="159"/>
  <c r="U50" i="158"/>
  <c r="U110" i="158"/>
  <c r="S50" i="158"/>
  <c r="S110" i="158"/>
  <c r="Q50" i="158"/>
  <c r="Q110" i="158"/>
  <c r="O50" i="158"/>
  <c r="O110" i="158"/>
  <c r="M50" i="158"/>
  <c r="M110" i="158"/>
  <c r="K50" i="158"/>
  <c r="K110" i="158"/>
  <c r="I50" i="158"/>
  <c r="I110" i="158"/>
  <c r="G50" i="158"/>
  <c r="G110" i="158"/>
  <c r="E50" i="158"/>
  <c r="E110" i="158"/>
  <c r="C50" i="158"/>
  <c r="C110" i="158"/>
  <c r="U46" i="158"/>
  <c r="S46" i="158"/>
  <c r="Q46" i="158"/>
  <c r="O46" i="158"/>
  <c r="M46" i="158"/>
  <c r="K46" i="158"/>
  <c r="I46" i="158"/>
  <c r="G46" i="158"/>
  <c r="E46" i="158"/>
  <c r="C46" i="158"/>
  <c r="U33" i="158"/>
  <c r="S33" i="158"/>
  <c r="Q33" i="158"/>
  <c r="O33" i="158"/>
  <c r="M33" i="158"/>
  <c r="K33" i="158"/>
  <c r="I33" i="158"/>
  <c r="G33" i="158"/>
  <c r="E33" i="158"/>
  <c r="U28" i="158"/>
  <c r="S28" i="158"/>
  <c r="Q28" i="158"/>
  <c r="O28" i="158"/>
  <c r="M28" i="158"/>
  <c r="K28" i="158"/>
  <c r="I28" i="158"/>
  <c r="G28" i="158"/>
  <c r="E28" i="158"/>
  <c r="U16" i="158"/>
  <c r="S16" i="158"/>
  <c r="Q16" i="158"/>
  <c r="O16" i="158"/>
  <c r="M16" i="158"/>
  <c r="K16" i="158"/>
  <c r="I16" i="158"/>
  <c r="G16" i="158"/>
  <c r="E16" i="158"/>
  <c r="C16" i="158"/>
  <c r="U14" i="15"/>
  <c r="U31" i="15"/>
  <c r="U33" i="15"/>
  <c r="S14" i="15"/>
  <c r="S31" i="15"/>
  <c r="Q14" i="15"/>
  <c r="Q31" i="15"/>
  <c r="O14" i="15"/>
  <c r="O31" i="15"/>
  <c r="M14" i="15"/>
  <c r="M31" i="15"/>
  <c r="K14" i="15"/>
  <c r="K31" i="15"/>
  <c r="I14" i="15"/>
  <c r="I31" i="15"/>
  <c r="G14" i="15"/>
  <c r="G31" i="15"/>
  <c r="U50" i="15"/>
  <c r="U110" i="15"/>
  <c r="S50" i="15"/>
  <c r="S110" i="15"/>
  <c r="Q50" i="15"/>
  <c r="Q110" i="15"/>
  <c r="O50" i="15"/>
  <c r="O110" i="15"/>
  <c r="M50" i="15"/>
  <c r="M110" i="15"/>
  <c r="K50" i="15"/>
  <c r="K110" i="15"/>
  <c r="I50" i="15"/>
  <c r="I110" i="15"/>
  <c r="G50" i="15"/>
  <c r="G110" i="15"/>
  <c r="E50" i="15"/>
  <c r="E110" i="15"/>
  <c r="C50" i="15"/>
  <c r="C110" i="15"/>
  <c r="U46" i="15"/>
  <c r="S46" i="15"/>
  <c r="Q46" i="15"/>
  <c r="O46" i="15"/>
  <c r="M46" i="15"/>
  <c r="K46" i="15"/>
  <c r="I46" i="15"/>
  <c r="G46" i="15"/>
  <c r="E46" i="15"/>
  <c r="C46" i="15"/>
  <c r="Q33" i="15"/>
  <c r="O33" i="15"/>
  <c r="I33" i="15"/>
  <c r="G33" i="15"/>
  <c r="U16" i="15"/>
  <c r="S16" i="15"/>
  <c r="Q16" i="15"/>
  <c r="O16" i="15"/>
  <c r="M16" i="15"/>
  <c r="K16" i="15"/>
  <c r="I16" i="15"/>
  <c r="G16" i="15"/>
  <c r="E16" i="15"/>
  <c r="C16" i="15"/>
  <c r="L19" i="193"/>
  <c r="L24" i="193"/>
  <c r="T19" i="193"/>
  <c r="V25" i="193"/>
  <c r="V44" i="193"/>
  <c r="V19" i="193"/>
  <c r="I28" i="195"/>
  <c r="Q28" i="195"/>
  <c r="R32" i="195"/>
  <c r="F93" i="193"/>
  <c r="F85" i="193"/>
  <c r="F81" i="193"/>
  <c r="F73" i="193"/>
  <c r="F62" i="193"/>
  <c r="F53" i="193"/>
  <c r="F79" i="193"/>
  <c r="F71" i="193"/>
  <c r="F96" i="193"/>
  <c r="F91" i="193"/>
  <c r="F84" i="193"/>
  <c r="F80" i="193"/>
  <c r="F72" i="193"/>
  <c r="F61" i="193"/>
  <c r="F52" i="193"/>
  <c r="F89" i="193"/>
  <c r="F83" i="193"/>
  <c r="F60" i="193"/>
  <c r="F94" i="193"/>
  <c r="F87" i="193"/>
  <c r="F82" i="193"/>
  <c r="F74" i="193"/>
  <c r="F69" i="193"/>
  <c r="F57" i="193"/>
  <c r="F95" i="193"/>
  <c r="F58" i="193"/>
  <c r="F59" i="193"/>
  <c r="F97" i="193"/>
  <c r="N93" i="193"/>
  <c r="N85" i="193"/>
  <c r="N81" i="193"/>
  <c r="N73" i="193"/>
  <c r="N62" i="193"/>
  <c r="N53" i="193"/>
  <c r="N95" i="193"/>
  <c r="N89" i="193"/>
  <c r="N60" i="193"/>
  <c r="N58" i="193"/>
  <c r="N96" i="193"/>
  <c r="N91" i="193"/>
  <c r="N84" i="193"/>
  <c r="N80" i="193"/>
  <c r="N72" i="193"/>
  <c r="N61" i="193"/>
  <c r="N52" i="193"/>
  <c r="N79" i="193"/>
  <c r="N94" i="193"/>
  <c r="N87" i="193"/>
  <c r="N82" i="193"/>
  <c r="N74" i="193"/>
  <c r="N69" i="193"/>
  <c r="N57" i="193"/>
  <c r="N83" i="193"/>
  <c r="N71" i="193"/>
  <c r="N97" i="193"/>
  <c r="N59" i="193"/>
  <c r="K28" i="195"/>
  <c r="L27" i="195"/>
  <c r="S28" i="195"/>
  <c r="T41" i="195"/>
  <c r="P96" i="193"/>
  <c r="P91" i="193"/>
  <c r="P84" i="193"/>
  <c r="P80" i="193"/>
  <c r="P72" i="193"/>
  <c r="P61" i="193"/>
  <c r="P52" i="193"/>
  <c r="P82" i="193"/>
  <c r="P57" i="193"/>
  <c r="P95" i="193"/>
  <c r="P89" i="193"/>
  <c r="P83" i="193"/>
  <c r="P79" i="193"/>
  <c r="P71" i="193"/>
  <c r="P60" i="193"/>
  <c r="P58" i="193"/>
  <c r="P94" i="193"/>
  <c r="P69" i="193"/>
  <c r="P93" i="193"/>
  <c r="P85" i="193"/>
  <c r="P81" i="193"/>
  <c r="P73" i="193"/>
  <c r="P62" i="193"/>
  <c r="P53" i="193"/>
  <c r="P87" i="193"/>
  <c r="P74" i="193"/>
  <c r="P97" i="193"/>
  <c r="P59" i="193"/>
  <c r="J95" i="193"/>
  <c r="J89" i="193"/>
  <c r="J83" i="193"/>
  <c r="J79" i="193"/>
  <c r="J71" i="193"/>
  <c r="J60" i="193"/>
  <c r="J58" i="193"/>
  <c r="J94" i="193"/>
  <c r="J87" i="193"/>
  <c r="J82" i="193"/>
  <c r="J74" i="193"/>
  <c r="J69" i="193"/>
  <c r="J57" i="193"/>
  <c r="J93" i="193"/>
  <c r="J81" i="193"/>
  <c r="J73" i="193"/>
  <c r="J62" i="193"/>
  <c r="J96" i="193"/>
  <c r="J91" i="193"/>
  <c r="J84" i="193"/>
  <c r="J80" i="193"/>
  <c r="J72" i="193"/>
  <c r="J61" i="193"/>
  <c r="J52" i="193"/>
  <c r="J85" i="193"/>
  <c r="J53" i="193"/>
  <c r="J97" i="193"/>
  <c r="J59" i="193"/>
  <c r="R95" i="193"/>
  <c r="R89" i="193"/>
  <c r="R83" i="193"/>
  <c r="R79" i="193"/>
  <c r="R71" i="193"/>
  <c r="R60" i="193"/>
  <c r="R58" i="193"/>
  <c r="R93" i="193"/>
  <c r="R85" i="193"/>
  <c r="R62" i="193"/>
  <c r="R53" i="193"/>
  <c r="R94" i="193"/>
  <c r="R87" i="193"/>
  <c r="R82" i="193"/>
  <c r="R74" i="193"/>
  <c r="R69" i="193"/>
  <c r="R57" i="193"/>
  <c r="R96" i="193"/>
  <c r="R91" i="193"/>
  <c r="R84" i="193"/>
  <c r="R80" i="193"/>
  <c r="R72" i="193"/>
  <c r="R61" i="193"/>
  <c r="R52" i="193"/>
  <c r="R81" i="193"/>
  <c r="R73" i="193"/>
  <c r="R97" i="193"/>
  <c r="R59" i="193"/>
  <c r="J46" i="193"/>
  <c r="H96" i="193"/>
  <c r="H91" i="193"/>
  <c r="H84" i="193"/>
  <c r="H80" i="193"/>
  <c r="H72" i="193"/>
  <c r="H61" i="193"/>
  <c r="H52" i="193"/>
  <c r="H95" i="193"/>
  <c r="H89" i="193"/>
  <c r="H83" i="193"/>
  <c r="H79" i="193"/>
  <c r="H71" i="193"/>
  <c r="H60" i="193"/>
  <c r="H58" i="193"/>
  <c r="H87" i="193"/>
  <c r="H82" i="193"/>
  <c r="H74" i="193"/>
  <c r="H57" i="193"/>
  <c r="H93" i="193"/>
  <c r="H85" i="193"/>
  <c r="H81" i="193"/>
  <c r="H73" i="193"/>
  <c r="H62" i="193"/>
  <c r="H53" i="193"/>
  <c r="H94" i="193"/>
  <c r="H69" i="193"/>
  <c r="H97" i="193"/>
  <c r="H59" i="193"/>
  <c r="H23" i="193"/>
  <c r="J25" i="193"/>
  <c r="L97" i="193"/>
  <c r="L94" i="193"/>
  <c r="L87" i="193"/>
  <c r="L82" i="193"/>
  <c r="L74" i="193"/>
  <c r="L69" i="193"/>
  <c r="L57" i="193"/>
  <c r="L84" i="193"/>
  <c r="L52" i="193"/>
  <c r="L93" i="193"/>
  <c r="L85" i="193"/>
  <c r="L81" i="193"/>
  <c r="L73" i="193"/>
  <c r="L62" i="193"/>
  <c r="L53" i="193"/>
  <c r="L96" i="193"/>
  <c r="L91" i="193"/>
  <c r="L72" i="193"/>
  <c r="L61" i="193"/>
  <c r="L95" i="193"/>
  <c r="L89" i="193"/>
  <c r="L83" i="193"/>
  <c r="L79" i="193"/>
  <c r="L71" i="193"/>
  <c r="L60" i="193"/>
  <c r="L58" i="193"/>
  <c r="L80" i="193"/>
  <c r="L59" i="193"/>
  <c r="T94" i="193"/>
  <c r="T87" i="193"/>
  <c r="T82" i="193"/>
  <c r="T74" i="193"/>
  <c r="T69" i="193"/>
  <c r="T57" i="193"/>
  <c r="T80" i="193"/>
  <c r="T72" i="193"/>
  <c r="T93" i="193"/>
  <c r="T85" i="193"/>
  <c r="T81" i="193"/>
  <c r="T73" i="193"/>
  <c r="T62" i="193"/>
  <c r="T53" i="193"/>
  <c r="T84" i="193"/>
  <c r="T52" i="193"/>
  <c r="T95" i="193"/>
  <c r="T89" i="193"/>
  <c r="T83" i="193"/>
  <c r="T79" i="193"/>
  <c r="T71" i="193"/>
  <c r="T60" i="193"/>
  <c r="T58" i="193"/>
  <c r="T96" i="193"/>
  <c r="T91" i="193"/>
  <c r="T61" i="193"/>
  <c r="T97" i="193"/>
  <c r="T59" i="193"/>
  <c r="L46" i="193"/>
  <c r="L23" i="195"/>
  <c r="T23" i="195"/>
  <c r="L93" i="175"/>
  <c r="L85" i="175"/>
  <c r="L81" i="175"/>
  <c r="L73" i="175"/>
  <c r="L62" i="175"/>
  <c r="L53" i="175"/>
  <c r="L55" i="175"/>
  <c r="L96" i="175"/>
  <c r="L91" i="175"/>
  <c r="L84" i="175"/>
  <c r="L97" i="175"/>
  <c r="L94" i="175"/>
  <c r="L87" i="175"/>
  <c r="L57" i="175"/>
  <c r="L82" i="175"/>
  <c r="L74" i="175"/>
  <c r="L69" i="175"/>
  <c r="L58" i="175"/>
  <c r="L52" i="175"/>
  <c r="L79" i="175"/>
  <c r="L71" i="175"/>
  <c r="L60" i="175"/>
  <c r="L95" i="175"/>
  <c r="L89" i="175"/>
  <c r="L83" i="175"/>
  <c r="L80" i="175"/>
  <c r="L72" i="175"/>
  <c r="L61" i="175"/>
  <c r="L59" i="175"/>
  <c r="T93" i="175"/>
  <c r="T85" i="175"/>
  <c r="T81" i="175"/>
  <c r="T73" i="175"/>
  <c r="T62" i="175"/>
  <c r="T53" i="175"/>
  <c r="T55" i="175"/>
  <c r="T96" i="175"/>
  <c r="T91" i="175"/>
  <c r="T84" i="175"/>
  <c r="T80" i="175"/>
  <c r="T72" i="175"/>
  <c r="T61" i="175"/>
  <c r="T95" i="175"/>
  <c r="T89" i="175"/>
  <c r="T83" i="175"/>
  <c r="T57" i="175"/>
  <c r="T97" i="175"/>
  <c r="T94" i="175"/>
  <c r="T87" i="175"/>
  <c r="T82" i="175"/>
  <c r="T74" i="175"/>
  <c r="T69" i="175"/>
  <c r="T58" i="175"/>
  <c r="T52" i="175"/>
  <c r="T79" i="175"/>
  <c r="T71" i="175"/>
  <c r="T60" i="175"/>
  <c r="T59" i="175"/>
  <c r="F55" i="175"/>
  <c r="F96" i="175"/>
  <c r="F91" i="175"/>
  <c r="F84" i="175"/>
  <c r="F80" i="175"/>
  <c r="F72" i="175"/>
  <c r="F61" i="175"/>
  <c r="F58" i="175"/>
  <c r="F52" i="175"/>
  <c r="F97" i="175"/>
  <c r="F95" i="175"/>
  <c r="F89" i="175"/>
  <c r="F83" i="175"/>
  <c r="F79" i="175"/>
  <c r="F71" i="175"/>
  <c r="F60" i="175"/>
  <c r="F53" i="175"/>
  <c r="F94" i="175"/>
  <c r="F87" i="175"/>
  <c r="F93" i="175"/>
  <c r="F85" i="175"/>
  <c r="F81" i="175"/>
  <c r="F73" i="175"/>
  <c r="F62" i="175"/>
  <c r="F57" i="175"/>
  <c r="F82" i="175"/>
  <c r="F74" i="175"/>
  <c r="F69" i="175"/>
  <c r="F59" i="175"/>
  <c r="N55" i="175"/>
  <c r="N96" i="175"/>
  <c r="N91" i="175"/>
  <c r="N84" i="175"/>
  <c r="N80" i="175"/>
  <c r="N72" i="175"/>
  <c r="N61" i="175"/>
  <c r="N58" i="175"/>
  <c r="N52" i="175"/>
  <c r="N97" i="175"/>
  <c r="N95" i="175"/>
  <c r="N89" i="175"/>
  <c r="N83" i="175"/>
  <c r="N93" i="175"/>
  <c r="N85" i="175"/>
  <c r="N82" i="175"/>
  <c r="N74" i="175"/>
  <c r="N69" i="175"/>
  <c r="N79" i="175"/>
  <c r="N71" i="175"/>
  <c r="N60" i="175"/>
  <c r="N53" i="175"/>
  <c r="N94" i="175"/>
  <c r="N87" i="175"/>
  <c r="N81" i="175"/>
  <c r="N73" i="175"/>
  <c r="N62" i="175"/>
  <c r="N57" i="175"/>
  <c r="N59" i="175"/>
  <c r="H95" i="175"/>
  <c r="H89" i="175"/>
  <c r="H83" i="175"/>
  <c r="H79" i="175"/>
  <c r="H71" i="175"/>
  <c r="H60" i="175"/>
  <c r="H57" i="175"/>
  <c r="H94" i="175"/>
  <c r="H87" i="175"/>
  <c r="H93" i="175"/>
  <c r="H85" i="175"/>
  <c r="H81" i="175"/>
  <c r="H80" i="175"/>
  <c r="H73" i="175"/>
  <c r="H72" i="175"/>
  <c r="H62" i="175"/>
  <c r="H61" i="175"/>
  <c r="H82" i="175"/>
  <c r="H74" i="175"/>
  <c r="H69" i="175"/>
  <c r="H55" i="175"/>
  <c r="H97" i="175"/>
  <c r="H96" i="175"/>
  <c r="H91" i="175"/>
  <c r="H84" i="175"/>
  <c r="H58" i="175"/>
  <c r="H53" i="175"/>
  <c r="H52" i="175"/>
  <c r="H59" i="175"/>
  <c r="P95" i="175"/>
  <c r="P89" i="175"/>
  <c r="P83" i="175"/>
  <c r="P79" i="175"/>
  <c r="P71" i="175"/>
  <c r="P60" i="175"/>
  <c r="P57" i="175"/>
  <c r="P94" i="175"/>
  <c r="P87" i="175"/>
  <c r="P58" i="175"/>
  <c r="P53" i="175"/>
  <c r="P52" i="175"/>
  <c r="P55" i="175"/>
  <c r="P97" i="175"/>
  <c r="P96" i="175"/>
  <c r="P91" i="175"/>
  <c r="P84" i="175"/>
  <c r="P81" i="175"/>
  <c r="P80" i="175"/>
  <c r="P73" i="175"/>
  <c r="P72" i="175"/>
  <c r="P62" i="175"/>
  <c r="P61" i="175"/>
  <c r="P93" i="175"/>
  <c r="P85" i="175"/>
  <c r="P82" i="175"/>
  <c r="P74" i="175"/>
  <c r="P69" i="175"/>
  <c r="P59" i="175"/>
  <c r="J94" i="175"/>
  <c r="J87" i="175"/>
  <c r="J82" i="175"/>
  <c r="J74" i="175"/>
  <c r="J69" i="175"/>
  <c r="J97" i="175"/>
  <c r="J93" i="175"/>
  <c r="J85" i="175"/>
  <c r="J95" i="175"/>
  <c r="J89" i="175"/>
  <c r="J83" i="175"/>
  <c r="J81" i="175"/>
  <c r="J80" i="175"/>
  <c r="J73" i="175"/>
  <c r="J72" i="175"/>
  <c r="J62" i="175"/>
  <c r="J61" i="175"/>
  <c r="J57" i="175"/>
  <c r="J55" i="175"/>
  <c r="J96" i="175"/>
  <c r="J91" i="175"/>
  <c r="J84" i="175"/>
  <c r="J58" i="175"/>
  <c r="J53" i="175"/>
  <c r="J52" i="175"/>
  <c r="J79" i="175"/>
  <c r="J71" i="175"/>
  <c r="J60" i="175"/>
  <c r="J59" i="175"/>
  <c r="R94" i="175"/>
  <c r="R87" i="175"/>
  <c r="R82" i="175"/>
  <c r="R74" i="175"/>
  <c r="R69" i="175"/>
  <c r="R97" i="175"/>
  <c r="R93" i="175"/>
  <c r="R85" i="175"/>
  <c r="R55" i="175"/>
  <c r="R96" i="175"/>
  <c r="R91" i="175"/>
  <c r="R84" i="175"/>
  <c r="R79" i="175"/>
  <c r="R71" i="175"/>
  <c r="R60" i="175"/>
  <c r="R81" i="175"/>
  <c r="R80" i="175"/>
  <c r="R73" i="175"/>
  <c r="R72" i="175"/>
  <c r="R62" i="175"/>
  <c r="R61" i="175"/>
  <c r="R95" i="175"/>
  <c r="R89" i="175"/>
  <c r="R83" i="175"/>
  <c r="R57" i="175"/>
  <c r="R58" i="175"/>
  <c r="R53" i="175"/>
  <c r="R52" i="175"/>
  <c r="R59" i="175"/>
  <c r="J55" i="174"/>
  <c r="J96" i="174"/>
  <c r="J91" i="174"/>
  <c r="J84" i="174"/>
  <c r="J80" i="174"/>
  <c r="J72" i="174"/>
  <c r="J61" i="174"/>
  <c r="J58" i="174"/>
  <c r="J95" i="174"/>
  <c r="J89" i="174"/>
  <c r="J83" i="174"/>
  <c r="J57" i="174"/>
  <c r="J93" i="174"/>
  <c r="J85" i="174"/>
  <c r="J81" i="174"/>
  <c r="J73" i="174"/>
  <c r="J62" i="174"/>
  <c r="J79" i="174"/>
  <c r="J74" i="174"/>
  <c r="J71" i="174"/>
  <c r="J69" i="174"/>
  <c r="J60" i="174"/>
  <c r="J53" i="174"/>
  <c r="J52" i="174"/>
  <c r="J94" i="174"/>
  <c r="J87" i="174"/>
  <c r="J82" i="174"/>
  <c r="J97" i="174"/>
  <c r="J59" i="174"/>
  <c r="R19" i="174"/>
  <c r="R55" i="174"/>
  <c r="R96" i="174"/>
  <c r="R91" i="174"/>
  <c r="R84" i="174"/>
  <c r="R80" i="174"/>
  <c r="R72" i="174"/>
  <c r="R61" i="174"/>
  <c r="R58" i="174"/>
  <c r="R95" i="174"/>
  <c r="R89" i="174"/>
  <c r="R83" i="174"/>
  <c r="R94" i="174"/>
  <c r="R87" i="174"/>
  <c r="R82" i="174"/>
  <c r="R57" i="174"/>
  <c r="R73" i="174"/>
  <c r="R62" i="174"/>
  <c r="R93" i="174"/>
  <c r="R85" i="174"/>
  <c r="R81" i="174"/>
  <c r="R79" i="174"/>
  <c r="R74" i="174"/>
  <c r="R71" i="174"/>
  <c r="R69" i="174"/>
  <c r="R60" i="174"/>
  <c r="R53" i="174"/>
  <c r="R52" i="174"/>
  <c r="R97" i="174"/>
  <c r="R59" i="174"/>
  <c r="L95" i="174"/>
  <c r="L89" i="174"/>
  <c r="L83" i="174"/>
  <c r="L79" i="174"/>
  <c r="L71" i="174"/>
  <c r="L60" i="174"/>
  <c r="L57" i="174"/>
  <c r="L53" i="174"/>
  <c r="L94" i="174"/>
  <c r="L87" i="174"/>
  <c r="L82" i="174"/>
  <c r="L93" i="174"/>
  <c r="L85" i="174"/>
  <c r="L81" i="174"/>
  <c r="L73" i="174"/>
  <c r="L62" i="174"/>
  <c r="L55" i="174"/>
  <c r="L96" i="174"/>
  <c r="L91" i="174"/>
  <c r="L84" i="174"/>
  <c r="L74" i="174"/>
  <c r="L69" i="174"/>
  <c r="L58" i="174"/>
  <c r="L52" i="174"/>
  <c r="L80" i="174"/>
  <c r="L72" i="174"/>
  <c r="L61" i="174"/>
  <c r="L97" i="174"/>
  <c r="L59" i="174"/>
  <c r="T95" i="174"/>
  <c r="T89" i="174"/>
  <c r="T83" i="174"/>
  <c r="T79" i="174"/>
  <c r="T71" i="174"/>
  <c r="T60" i="174"/>
  <c r="T57" i="174"/>
  <c r="T53" i="174"/>
  <c r="T94" i="174"/>
  <c r="T87" i="174"/>
  <c r="T82" i="174"/>
  <c r="T80" i="174"/>
  <c r="T72" i="174"/>
  <c r="T61" i="174"/>
  <c r="T73" i="174"/>
  <c r="T62" i="174"/>
  <c r="T93" i="174"/>
  <c r="T85" i="174"/>
  <c r="T81" i="174"/>
  <c r="T74" i="174"/>
  <c r="T69" i="174"/>
  <c r="T58" i="174"/>
  <c r="T52" i="174"/>
  <c r="T55" i="174"/>
  <c r="T96" i="174"/>
  <c r="T91" i="174"/>
  <c r="T84" i="174"/>
  <c r="T97" i="174"/>
  <c r="T59" i="174"/>
  <c r="F94" i="174"/>
  <c r="F87" i="174"/>
  <c r="F82" i="174"/>
  <c r="F74" i="174"/>
  <c r="F69" i="174"/>
  <c r="F52" i="174"/>
  <c r="F93" i="174"/>
  <c r="F85" i="174"/>
  <c r="F79" i="174"/>
  <c r="F71" i="174"/>
  <c r="F60" i="174"/>
  <c r="F53" i="174"/>
  <c r="F80" i="174"/>
  <c r="F72" i="174"/>
  <c r="F61" i="174"/>
  <c r="F55" i="174"/>
  <c r="F96" i="174"/>
  <c r="F91" i="174"/>
  <c r="F84" i="174"/>
  <c r="F81" i="174"/>
  <c r="F73" i="174"/>
  <c r="F62" i="174"/>
  <c r="F57" i="174"/>
  <c r="F95" i="174"/>
  <c r="F89" i="174"/>
  <c r="F83" i="174"/>
  <c r="F58" i="174"/>
  <c r="F97" i="174"/>
  <c r="F59" i="174"/>
  <c r="N94" i="174"/>
  <c r="N87" i="174"/>
  <c r="N82" i="174"/>
  <c r="N74" i="174"/>
  <c r="N69" i="174"/>
  <c r="N52" i="174"/>
  <c r="N93" i="174"/>
  <c r="N85" i="174"/>
  <c r="N81" i="174"/>
  <c r="N55" i="174"/>
  <c r="N96" i="174"/>
  <c r="N91" i="174"/>
  <c r="N84" i="174"/>
  <c r="N58" i="174"/>
  <c r="N95" i="174"/>
  <c r="N89" i="174"/>
  <c r="N83" i="174"/>
  <c r="N79" i="174"/>
  <c r="N71" i="174"/>
  <c r="N60" i="174"/>
  <c r="N53" i="174"/>
  <c r="N80" i="174"/>
  <c r="N72" i="174"/>
  <c r="N61" i="174"/>
  <c r="N73" i="174"/>
  <c r="N62" i="174"/>
  <c r="N57" i="174"/>
  <c r="N97" i="174"/>
  <c r="N59" i="174"/>
  <c r="H93" i="174"/>
  <c r="H85" i="174"/>
  <c r="H81" i="174"/>
  <c r="H73" i="174"/>
  <c r="H62" i="174"/>
  <c r="H55" i="174"/>
  <c r="H96" i="174"/>
  <c r="H91" i="174"/>
  <c r="H84" i="174"/>
  <c r="H94" i="174"/>
  <c r="H87" i="174"/>
  <c r="H82" i="174"/>
  <c r="H80" i="174"/>
  <c r="H72" i="174"/>
  <c r="H61" i="174"/>
  <c r="H57" i="174"/>
  <c r="H95" i="174"/>
  <c r="H89" i="174"/>
  <c r="H83" i="174"/>
  <c r="H58" i="174"/>
  <c r="H79" i="174"/>
  <c r="H74" i="174"/>
  <c r="H71" i="174"/>
  <c r="H69" i="174"/>
  <c r="H60" i="174"/>
  <c r="H53" i="174"/>
  <c r="H52" i="174"/>
  <c r="H97" i="174"/>
  <c r="H59" i="174"/>
  <c r="P93" i="174"/>
  <c r="P85" i="174"/>
  <c r="P81" i="174"/>
  <c r="P73" i="174"/>
  <c r="P62" i="174"/>
  <c r="P55" i="174"/>
  <c r="P96" i="174"/>
  <c r="P91" i="174"/>
  <c r="P84" i="174"/>
  <c r="P95" i="174"/>
  <c r="P89" i="174"/>
  <c r="P83" i="174"/>
  <c r="P79" i="174"/>
  <c r="P74" i="174"/>
  <c r="P71" i="174"/>
  <c r="P69" i="174"/>
  <c r="P60" i="174"/>
  <c r="P53" i="174"/>
  <c r="P52" i="174"/>
  <c r="P80" i="174"/>
  <c r="P72" i="174"/>
  <c r="P61" i="174"/>
  <c r="P94" i="174"/>
  <c r="P87" i="174"/>
  <c r="P82" i="174"/>
  <c r="P57" i="174"/>
  <c r="P58" i="174"/>
  <c r="P97" i="174"/>
  <c r="P59" i="174"/>
  <c r="H55" i="173"/>
  <c r="H94" i="173"/>
  <c r="H87" i="173"/>
  <c r="H82" i="173"/>
  <c r="H74" i="173"/>
  <c r="H69" i="173"/>
  <c r="H57" i="173"/>
  <c r="H93" i="173"/>
  <c r="H85" i="173"/>
  <c r="H96" i="173"/>
  <c r="H91" i="173"/>
  <c r="H84" i="173"/>
  <c r="H52" i="173"/>
  <c r="H97" i="173"/>
  <c r="H80" i="173"/>
  <c r="H79" i="173"/>
  <c r="H72" i="173"/>
  <c r="H71" i="173"/>
  <c r="H61" i="173"/>
  <c r="H60" i="173"/>
  <c r="H58" i="173"/>
  <c r="H53" i="173"/>
  <c r="H95" i="173"/>
  <c r="H89" i="173"/>
  <c r="H83" i="173"/>
  <c r="H81" i="173"/>
  <c r="H73" i="173"/>
  <c r="H62" i="173"/>
  <c r="H59" i="173"/>
  <c r="P55" i="173"/>
  <c r="P94" i="173"/>
  <c r="P87" i="173"/>
  <c r="P82" i="173"/>
  <c r="P74" i="173"/>
  <c r="P69" i="173"/>
  <c r="P57" i="173"/>
  <c r="P93" i="173"/>
  <c r="P85" i="173"/>
  <c r="P97" i="173"/>
  <c r="P81" i="173"/>
  <c r="P73" i="173"/>
  <c r="P62" i="173"/>
  <c r="P95" i="173"/>
  <c r="P89" i="173"/>
  <c r="P83" i="173"/>
  <c r="P52" i="173"/>
  <c r="P96" i="173"/>
  <c r="P91" i="173"/>
  <c r="P84" i="173"/>
  <c r="P80" i="173"/>
  <c r="P79" i="173"/>
  <c r="P72" i="173"/>
  <c r="P71" i="173"/>
  <c r="P61" i="173"/>
  <c r="P60" i="173"/>
  <c r="P58" i="173"/>
  <c r="P53" i="173"/>
  <c r="P59" i="173"/>
  <c r="J97" i="173"/>
  <c r="J93" i="173"/>
  <c r="J85" i="173"/>
  <c r="J81" i="173"/>
  <c r="J73" i="173"/>
  <c r="J62" i="173"/>
  <c r="J53" i="173"/>
  <c r="J96" i="173"/>
  <c r="J91" i="173"/>
  <c r="J84" i="173"/>
  <c r="J55" i="173"/>
  <c r="J94" i="173"/>
  <c r="J87" i="173"/>
  <c r="J82" i="173"/>
  <c r="J74" i="173"/>
  <c r="J69" i="173"/>
  <c r="J57" i="173"/>
  <c r="J52" i="173"/>
  <c r="J80" i="173"/>
  <c r="J79" i="173"/>
  <c r="J72" i="173"/>
  <c r="J71" i="173"/>
  <c r="J61" i="173"/>
  <c r="J60" i="173"/>
  <c r="J58" i="173"/>
  <c r="J95" i="173"/>
  <c r="J89" i="173"/>
  <c r="J83" i="173"/>
  <c r="J59" i="173"/>
  <c r="R97" i="173"/>
  <c r="R93" i="173"/>
  <c r="R85" i="173"/>
  <c r="R81" i="173"/>
  <c r="R73" i="173"/>
  <c r="R62" i="173"/>
  <c r="R53" i="173"/>
  <c r="R96" i="173"/>
  <c r="R91" i="173"/>
  <c r="R84" i="173"/>
  <c r="R95" i="173"/>
  <c r="R89" i="173"/>
  <c r="R83" i="173"/>
  <c r="R74" i="173"/>
  <c r="R69" i="173"/>
  <c r="R57" i="173"/>
  <c r="R52" i="173"/>
  <c r="R55" i="173"/>
  <c r="R94" i="173"/>
  <c r="R87" i="173"/>
  <c r="R82" i="173"/>
  <c r="R80" i="173"/>
  <c r="R79" i="173"/>
  <c r="R72" i="173"/>
  <c r="R71" i="173"/>
  <c r="R61" i="173"/>
  <c r="R60" i="173"/>
  <c r="R58" i="173"/>
  <c r="R59" i="173"/>
  <c r="L96" i="173"/>
  <c r="L91" i="173"/>
  <c r="L84" i="173"/>
  <c r="L80" i="173"/>
  <c r="L72" i="173"/>
  <c r="L61" i="173"/>
  <c r="L52" i="173"/>
  <c r="L95" i="173"/>
  <c r="L89" i="173"/>
  <c r="L83" i="173"/>
  <c r="L93" i="173"/>
  <c r="L85" i="173"/>
  <c r="L79" i="173"/>
  <c r="L71" i="173"/>
  <c r="L60" i="173"/>
  <c r="L58" i="173"/>
  <c r="L53" i="173"/>
  <c r="L81" i="173"/>
  <c r="L73" i="173"/>
  <c r="L62" i="173"/>
  <c r="L55" i="173"/>
  <c r="L97" i="173"/>
  <c r="L94" i="173"/>
  <c r="L87" i="173"/>
  <c r="L82" i="173"/>
  <c r="L74" i="173"/>
  <c r="L69" i="173"/>
  <c r="L57" i="173"/>
  <c r="L59" i="173"/>
  <c r="T96" i="173"/>
  <c r="T91" i="173"/>
  <c r="T84" i="173"/>
  <c r="T80" i="173"/>
  <c r="T72" i="173"/>
  <c r="T61" i="173"/>
  <c r="T52" i="173"/>
  <c r="T95" i="173"/>
  <c r="T89" i="173"/>
  <c r="T83" i="173"/>
  <c r="T74" i="173"/>
  <c r="T69" i="173"/>
  <c r="T57" i="173"/>
  <c r="T55" i="173"/>
  <c r="T97" i="173"/>
  <c r="T94" i="173"/>
  <c r="T87" i="173"/>
  <c r="T82" i="173"/>
  <c r="T79" i="173"/>
  <c r="T71" i="173"/>
  <c r="T60" i="173"/>
  <c r="T58" i="173"/>
  <c r="T93" i="173"/>
  <c r="T85" i="173"/>
  <c r="T53" i="173"/>
  <c r="T81" i="173"/>
  <c r="T73" i="173"/>
  <c r="T62" i="173"/>
  <c r="T59" i="173"/>
  <c r="F97" i="173"/>
  <c r="F95" i="173"/>
  <c r="F89" i="173"/>
  <c r="F83" i="173"/>
  <c r="F79" i="173"/>
  <c r="F71" i="173"/>
  <c r="F60" i="173"/>
  <c r="F58" i="173"/>
  <c r="F55" i="173"/>
  <c r="F94" i="173"/>
  <c r="F87" i="173"/>
  <c r="F81" i="173"/>
  <c r="F73" i="173"/>
  <c r="F62" i="173"/>
  <c r="F93" i="173"/>
  <c r="F85" i="173"/>
  <c r="F82" i="173"/>
  <c r="F74" i="173"/>
  <c r="F69" i="173"/>
  <c r="F57" i="173"/>
  <c r="F96" i="173"/>
  <c r="F91" i="173"/>
  <c r="F84" i="173"/>
  <c r="F52" i="173"/>
  <c r="F80" i="173"/>
  <c r="F72" i="173"/>
  <c r="F61" i="173"/>
  <c r="F53" i="173"/>
  <c r="F59" i="173"/>
  <c r="N97" i="173"/>
  <c r="N95" i="173"/>
  <c r="N89" i="173"/>
  <c r="N83" i="173"/>
  <c r="N79" i="173"/>
  <c r="N71" i="173"/>
  <c r="N60" i="173"/>
  <c r="N58" i="173"/>
  <c r="N55" i="173"/>
  <c r="N94" i="173"/>
  <c r="N87" i="173"/>
  <c r="N82" i="173"/>
  <c r="N96" i="173"/>
  <c r="N91" i="173"/>
  <c r="N84" i="173"/>
  <c r="N80" i="173"/>
  <c r="N72" i="173"/>
  <c r="N61" i="173"/>
  <c r="N53" i="173"/>
  <c r="N81" i="173"/>
  <c r="N73" i="173"/>
  <c r="N62" i="173"/>
  <c r="N74" i="173"/>
  <c r="N69" i="173"/>
  <c r="N57" i="173"/>
  <c r="N93" i="173"/>
  <c r="N85" i="173"/>
  <c r="N52" i="173"/>
  <c r="N59" i="173"/>
  <c r="H95" i="172"/>
  <c r="H89" i="172"/>
  <c r="H83" i="172"/>
  <c r="H79" i="172"/>
  <c r="H71" i="172"/>
  <c r="H60" i="172"/>
  <c r="H57" i="172"/>
  <c r="H55" i="172"/>
  <c r="H85" i="172"/>
  <c r="H81" i="172"/>
  <c r="H73" i="172"/>
  <c r="H94" i="172"/>
  <c r="H87" i="172"/>
  <c r="H82" i="172"/>
  <c r="H74" i="172"/>
  <c r="H69" i="172"/>
  <c r="H93" i="172"/>
  <c r="H62" i="172"/>
  <c r="H52" i="172"/>
  <c r="H96" i="172"/>
  <c r="H91" i="172"/>
  <c r="H84" i="172"/>
  <c r="H80" i="172"/>
  <c r="H61" i="172"/>
  <c r="H58" i="172"/>
  <c r="H53" i="172"/>
  <c r="H72" i="172"/>
  <c r="H97" i="172"/>
  <c r="H59" i="172"/>
  <c r="P95" i="172"/>
  <c r="P89" i="172"/>
  <c r="P83" i="172"/>
  <c r="P79" i="172"/>
  <c r="P71" i="172"/>
  <c r="P60" i="172"/>
  <c r="P57" i="172"/>
  <c r="P93" i="172"/>
  <c r="P62" i="172"/>
  <c r="P94" i="172"/>
  <c r="P87" i="172"/>
  <c r="P82" i="172"/>
  <c r="P74" i="172"/>
  <c r="P69" i="172"/>
  <c r="P55" i="172"/>
  <c r="P85" i="172"/>
  <c r="P81" i="172"/>
  <c r="P73" i="172"/>
  <c r="P58" i="172"/>
  <c r="P53" i="172"/>
  <c r="P91" i="172"/>
  <c r="P84" i="172"/>
  <c r="P80" i="172"/>
  <c r="P72" i="172"/>
  <c r="P61" i="172"/>
  <c r="P52" i="172"/>
  <c r="P96" i="172"/>
  <c r="P97" i="172"/>
  <c r="P59" i="172"/>
  <c r="J94" i="172"/>
  <c r="J87" i="172"/>
  <c r="J82" i="172"/>
  <c r="J74" i="172"/>
  <c r="J69" i="172"/>
  <c r="J84" i="172"/>
  <c r="J72" i="172"/>
  <c r="J55" i="172"/>
  <c r="J93" i="172"/>
  <c r="J85" i="172"/>
  <c r="J81" i="172"/>
  <c r="J73" i="172"/>
  <c r="J62" i="172"/>
  <c r="J53" i="172"/>
  <c r="J96" i="172"/>
  <c r="J91" i="172"/>
  <c r="J80" i="172"/>
  <c r="J61" i="172"/>
  <c r="J95" i="172"/>
  <c r="J58" i="172"/>
  <c r="J89" i="172"/>
  <c r="J83" i="172"/>
  <c r="J79" i="172"/>
  <c r="J71" i="172"/>
  <c r="J60" i="172"/>
  <c r="J57" i="172"/>
  <c r="J52" i="172"/>
  <c r="J97" i="172"/>
  <c r="J59" i="172"/>
  <c r="R94" i="172"/>
  <c r="R87" i="172"/>
  <c r="R82" i="172"/>
  <c r="R74" i="172"/>
  <c r="R69" i="172"/>
  <c r="R96" i="172"/>
  <c r="R91" i="172"/>
  <c r="R61" i="172"/>
  <c r="R58" i="172"/>
  <c r="R55" i="172"/>
  <c r="R93" i="172"/>
  <c r="R85" i="172"/>
  <c r="R81" i="172"/>
  <c r="R73" i="172"/>
  <c r="R62" i="172"/>
  <c r="R53" i="172"/>
  <c r="R84" i="172"/>
  <c r="R80" i="172"/>
  <c r="R72" i="172"/>
  <c r="R95" i="172"/>
  <c r="R89" i="172"/>
  <c r="R83" i="172"/>
  <c r="R79" i="172"/>
  <c r="R71" i="172"/>
  <c r="R60" i="172"/>
  <c r="R57" i="172"/>
  <c r="R52" i="172"/>
  <c r="R97" i="172"/>
  <c r="R59" i="172"/>
  <c r="F96" i="172"/>
  <c r="F91" i="172"/>
  <c r="F84" i="172"/>
  <c r="F80" i="172"/>
  <c r="F72" i="172"/>
  <c r="F61" i="172"/>
  <c r="F58" i="172"/>
  <c r="F52" i="172"/>
  <c r="F87" i="172"/>
  <c r="F82" i="172"/>
  <c r="F74" i="172"/>
  <c r="F95" i="172"/>
  <c r="F89" i="172"/>
  <c r="F83" i="172"/>
  <c r="F79" i="172"/>
  <c r="F71" i="172"/>
  <c r="F60" i="172"/>
  <c r="F57" i="172"/>
  <c r="F94" i="172"/>
  <c r="F69" i="172"/>
  <c r="F93" i="172"/>
  <c r="F85" i="172"/>
  <c r="F81" i="172"/>
  <c r="F73" i="172"/>
  <c r="F62" i="172"/>
  <c r="F53" i="172"/>
  <c r="F55" i="172"/>
  <c r="F97" i="172"/>
  <c r="F59" i="172"/>
  <c r="N96" i="172"/>
  <c r="N91" i="172"/>
  <c r="N84" i="172"/>
  <c r="N80" i="172"/>
  <c r="N72" i="172"/>
  <c r="N61" i="172"/>
  <c r="N58" i="172"/>
  <c r="N52" i="172"/>
  <c r="N94" i="172"/>
  <c r="N69" i="172"/>
  <c r="N95" i="172"/>
  <c r="N89" i="172"/>
  <c r="N83" i="172"/>
  <c r="N79" i="172"/>
  <c r="N71" i="172"/>
  <c r="N60" i="172"/>
  <c r="N57" i="172"/>
  <c r="N87" i="172"/>
  <c r="N82" i="172"/>
  <c r="N74" i="172"/>
  <c r="N55" i="172"/>
  <c r="N53" i="172"/>
  <c r="N93" i="172"/>
  <c r="N85" i="172"/>
  <c r="N81" i="172"/>
  <c r="N73" i="172"/>
  <c r="N62" i="172"/>
  <c r="N97" i="172"/>
  <c r="N59" i="172"/>
  <c r="L55" i="172"/>
  <c r="L93" i="172"/>
  <c r="L85" i="172"/>
  <c r="L81" i="172"/>
  <c r="L73" i="172"/>
  <c r="L62" i="172"/>
  <c r="L53" i="172"/>
  <c r="L89" i="172"/>
  <c r="L83" i="172"/>
  <c r="L71" i="172"/>
  <c r="L96" i="172"/>
  <c r="L91" i="172"/>
  <c r="L84" i="172"/>
  <c r="L80" i="172"/>
  <c r="L72" i="172"/>
  <c r="L61" i="172"/>
  <c r="L58" i="172"/>
  <c r="L52" i="172"/>
  <c r="L95" i="172"/>
  <c r="L79" i="172"/>
  <c r="L60" i="172"/>
  <c r="L94" i="172"/>
  <c r="L87" i="172"/>
  <c r="L82" i="172"/>
  <c r="L74" i="172"/>
  <c r="L69" i="172"/>
  <c r="L57" i="172"/>
  <c r="L97" i="172"/>
  <c r="L59" i="172"/>
  <c r="T55" i="172"/>
  <c r="T93" i="172"/>
  <c r="T85" i="172"/>
  <c r="T81" i="172"/>
  <c r="T73" i="172"/>
  <c r="T62" i="172"/>
  <c r="T53" i="172"/>
  <c r="T95" i="172"/>
  <c r="T89" i="172"/>
  <c r="T79" i="172"/>
  <c r="T60" i="172"/>
  <c r="T96" i="172"/>
  <c r="T91" i="172"/>
  <c r="T84" i="172"/>
  <c r="T80" i="172"/>
  <c r="T72" i="172"/>
  <c r="T61" i="172"/>
  <c r="T58" i="172"/>
  <c r="T52" i="172"/>
  <c r="T83" i="172"/>
  <c r="T71" i="172"/>
  <c r="T94" i="172"/>
  <c r="T87" i="172"/>
  <c r="T82" i="172"/>
  <c r="T74" i="172"/>
  <c r="T69" i="172"/>
  <c r="T57" i="172"/>
  <c r="T97" i="172"/>
  <c r="T59" i="172"/>
  <c r="P55" i="169"/>
  <c r="P95" i="169"/>
  <c r="P89" i="169"/>
  <c r="P83" i="169"/>
  <c r="P79" i="169"/>
  <c r="P71" i="169"/>
  <c r="P60" i="169"/>
  <c r="P57" i="169"/>
  <c r="P53" i="169"/>
  <c r="P96" i="169"/>
  <c r="P91" i="169"/>
  <c r="P84" i="169"/>
  <c r="P80" i="169"/>
  <c r="P72" i="169"/>
  <c r="P61" i="169"/>
  <c r="P58" i="169"/>
  <c r="P93" i="169"/>
  <c r="P85" i="169"/>
  <c r="P81" i="169"/>
  <c r="P73" i="169"/>
  <c r="P62" i="169"/>
  <c r="P94" i="169"/>
  <c r="P87" i="169"/>
  <c r="P82" i="169"/>
  <c r="P74" i="169"/>
  <c r="P69" i="169"/>
  <c r="P52" i="169"/>
  <c r="P59" i="169"/>
  <c r="P97" i="169"/>
  <c r="J96" i="169"/>
  <c r="J91" i="169"/>
  <c r="J84" i="169"/>
  <c r="J80" i="169"/>
  <c r="J72" i="169"/>
  <c r="J61" i="169"/>
  <c r="J58" i="169"/>
  <c r="J93" i="169"/>
  <c r="J85" i="169"/>
  <c r="J81" i="169"/>
  <c r="J73" i="169"/>
  <c r="J62" i="169"/>
  <c r="J55" i="169"/>
  <c r="J95" i="169"/>
  <c r="J94" i="169"/>
  <c r="J89" i="169"/>
  <c r="J87" i="169"/>
  <c r="J83" i="169"/>
  <c r="J82" i="169"/>
  <c r="J79" i="169"/>
  <c r="J74" i="169"/>
  <c r="J71" i="169"/>
  <c r="J69" i="169"/>
  <c r="J60" i="169"/>
  <c r="J52" i="169"/>
  <c r="J57" i="169"/>
  <c r="J53" i="169"/>
  <c r="J59" i="169"/>
  <c r="J97" i="169"/>
  <c r="R96" i="169"/>
  <c r="R91" i="169"/>
  <c r="R84" i="169"/>
  <c r="R80" i="169"/>
  <c r="R72" i="169"/>
  <c r="R61" i="169"/>
  <c r="R58" i="169"/>
  <c r="R93" i="169"/>
  <c r="R85" i="169"/>
  <c r="R81" i="169"/>
  <c r="R73" i="169"/>
  <c r="R62" i="169"/>
  <c r="R57" i="169"/>
  <c r="R53" i="169"/>
  <c r="R55" i="169"/>
  <c r="R95" i="169"/>
  <c r="R94" i="169"/>
  <c r="R89" i="169"/>
  <c r="R87" i="169"/>
  <c r="R83" i="169"/>
  <c r="R82" i="169"/>
  <c r="R79" i="169"/>
  <c r="R74" i="169"/>
  <c r="R71" i="169"/>
  <c r="R69" i="169"/>
  <c r="R60" i="169"/>
  <c r="R52" i="169"/>
  <c r="R59" i="169"/>
  <c r="R97" i="169"/>
  <c r="L93" i="169"/>
  <c r="L85" i="169"/>
  <c r="L81" i="169"/>
  <c r="L73" i="169"/>
  <c r="L62" i="169"/>
  <c r="L94" i="169"/>
  <c r="L87" i="169"/>
  <c r="L82" i="169"/>
  <c r="L74" i="169"/>
  <c r="L69" i="169"/>
  <c r="L52" i="169"/>
  <c r="L58" i="169"/>
  <c r="L57" i="169"/>
  <c r="L53" i="169"/>
  <c r="L55" i="169"/>
  <c r="L96" i="169"/>
  <c r="L95" i="169"/>
  <c r="L91" i="169"/>
  <c r="L89" i="169"/>
  <c r="L84" i="169"/>
  <c r="L83" i="169"/>
  <c r="L80" i="169"/>
  <c r="L79" i="169"/>
  <c r="L72" i="169"/>
  <c r="L71" i="169"/>
  <c r="L61" i="169"/>
  <c r="L60" i="169"/>
  <c r="L59" i="169"/>
  <c r="L97" i="169"/>
  <c r="T93" i="169"/>
  <c r="T85" i="169"/>
  <c r="T81" i="169"/>
  <c r="T73" i="169"/>
  <c r="T62" i="169"/>
  <c r="T94" i="169"/>
  <c r="T87" i="169"/>
  <c r="T82" i="169"/>
  <c r="T74" i="169"/>
  <c r="T69" i="169"/>
  <c r="T53" i="169"/>
  <c r="T55" i="169"/>
  <c r="T96" i="169"/>
  <c r="T95" i="169"/>
  <c r="T91" i="169"/>
  <c r="T89" i="169"/>
  <c r="T84" i="169"/>
  <c r="T83" i="169"/>
  <c r="T80" i="169"/>
  <c r="T79" i="169"/>
  <c r="T72" i="169"/>
  <c r="T71" i="169"/>
  <c r="T61" i="169"/>
  <c r="T60" i="169"/>
  <c r="T52" i="169"/>
  <c r="T58" i="169"/>
  <c r="T57" i="169"/>
  <c r="T59" i="169"/>
  <c r="T97" i="169"/>
  <c r="N94" i="169"/>
  <c r="N87" i="169"/>
  <c r="N82" i="169"/>
  <c r="N74" i="169"/>
  <c r="N69" i="169"/>
  <c r="N52" i="169"/>
  <c r="N55" i="169"/>
  <c r="N95" i="169"/>
  <c r="N89" i="169"/>
  <c r="N83" i="169"/>
  <c r="N79" i="169"/>
  <c r="N71" i="169"/>
  <c r="N60" i="169"/>
  <c r="N57" i="169"/>
  <c r="N53" i="169"/>
  <c r="N58" i="169"/>
  <c r="N96" i="169"/>
  <c r="N91" i="169"/>
  <c r="N84" i="169"/>
  <c r="N80" i="169"/>
  <c r="N72" i="169"/>
  <c r="N61" i="169"/>
  <c r="N93" i="169"/>
  <c r="N85" i="169"/>
  <c r="N81" i="169"/>
  <c r="N73" i="169"/>
  <c r="N62" i="169"/>
  <c r="N59" i="169"/>
  <c r="N97" i="169"/>
  <c r="H55" i="169"/>
  <c r="H58" i="169"/>
  <c r="H57" i="169"/>
  <c r="H96" i="169"/>
  <c r="H95" i="169"/>
  <c r="H94" i="169"/>
  <c r="H93" i="169"/>
  <c r="H91" i="169"/>
  <c r="H89" i="169"/>
  <c r="H87" i="169"/>
  <c r="H85" i="169"/>
  <c r="H84" i="169"/>
  <c r="H83" i="169"/>
  <c r="H82" i="169"/>
  <c r="H81" i="169"/>
  <c r="H80" i="169"/>
  <c r="H79" i="169"/>
  <c r="H74" i="169"/>
  <c r="H73" i="169"/>
  <c r="H72" i="169"/>
  <c r="H71" i="169"/>
  <c r="H69" i="169"/>
  <c r="H62" i="169"/>
  <c r="H61" i="169"/>
  <c r="H60" i="169"/>
  <c r="H53" i="169"/>
  <c r="H52" i="169"/>
  <c r="H97" i="169"/>
  <c r="H59" i="169"/>
  <c r="F94" i="169"/>
  <c r="F87" i="169"/>
  <c r="F82" i="169"/>
  <c r="F74" i="169"/>
  <c r="F69" i="169"/>
  <c r="F58" i="169"/>
  <c r="F52" i="169"/>
  <c r="F93" i="169"/>
  <c r="F85" i="169"/>
  <c r="F81" i="169"/>
  <c r="F73" i="169"/>
  <c r="F62" i="169"/>
  <c r="F57" i="169"/>
  <c r="F55" i="169"/>
  <c r="F96" i="169"/>
  <c r="F91" i="169"/>
  <c r="F84" i="169"/>
  <c r="F80" i="169"/>
  <c r="F72" i="169"/>
  <c r="F61" i="169"/>
  <c r="F97" i="169"/>
  <c r="F95" i="169"/>
  <c r="F89" i="169"/>
  <c r="F83" i="169"/>
  <c r="F79" i="169"/>
  <c r="F71" i="169"/>
  <c r="F60" i="169"/>
  <c r="F53" i="169"/>
  <c r="F59" i="169"/>
  <c r="J97" i="168"/>
  <c r="J93" i="168"/>
  <c r="J85" i="168"/>
  <c r="J81" i="168"/>
  <c r="J73" i="168"/>
  <c r="J62" i="168"/>
  <c r="J53" i="168"/>
  <c r="J95" i="168"/>
  <c r="J89" i="168"/>
  <c r="J83" i="168"/>
  <c r="J79" i="168"/>
  <c r="J71" i="168"/>
  <c r="J60" i="168"/>
  <c r="J58" i="168"/>
  <c r="J55" i="168"/>
  <c r="J94" i="168"/>
  <c r="J87" i="168"/>
  <c r="J82" i="168"/>
  <c r="J74" i="168"/>
  <c r="J69" i="168"/>
  <c r="J57" i="168"/>
  <c r="J96" i="168"/>
  <c r="J84" i="168"/>
  <c r="J72" i="168"/>
  <c r="J91" i="168"/>
  <c r="J61" i="168"/>
  <c r="J52" i="168"/>
  <c r="J80" i="168"/>
  <c r="J59" i="168"/>
  <c r="R97" i="168"/>
  <c r="R93" i="168"/>
  <c r="R85" i="168"/>
  <c r="R81" i="168"/>
  <c r="R73" i="168"/>
  <c r="R62" i="168"/>
  <c r="R53" i="168"/>
  <c r="R95" i="168"/>
  <c r="R89" i="168"/>
  <c r="R83" i="168"/>
  <c r="R79" i="168"/>
  <c r="R60" i="168"/>
  <c r="R58" i="168"/>
  <c r="R55" i="168"/>
  <c r="R94" i="168"/>
  <c r="R87" i="168"/>
  <c r="R82" i="168"/>
  <c r="R74" i="168"/>
  <c r="R69" i="168"/>
  <c r="R57" i="168"/>
  <c r="R71" i="168"/>
  <c r="R52" i="168"/>
  <c r="R61" i="168"/>
  <c r="R96" i="168"/>
  <c r="R84" i="168"/>
  <c r="R72" i="168"/>
  <c r="R91" i="168"/>
  <c r="R80" i="168"/>
  <c r="R59" i="168"/>
  <c r="N97" i="168"/>
  <c r="N95" i="168"/>
  <c r="N89" i="168"/>
  <c r="N83" i="168"/>
  <c r="N79" i="168"/>
  <c r="N71" i="168"/>
  <c r="N60" i="168"/>
  <c r="N58" i="168"/>
  <c r="N93" i="168"/>
  <c r="N85" i="168"/>
  <c r="N81" i="168"/>
  <c r="N73" i="168"/>
  <c r="N62" i="168"/>
  <c r="N96" i="168"/>
  <c r="N91" i="168"/>
  <c r="N84" i="168"/>
  <c r="N80" i="168"/>
  <c r="N72" i="168"/>
  <c r="N61" i="168"/>
  <c r="N52" i="168"/>
  <c r="N55" i="168"/>
  <c r="N94" i="168"/>
  <c r="N82" i="168"/>
  <c r="N69" i="168"/>
  <c r="N53" i="168"/>
  <c r="N87" i="168"/>
  <c r="N74" i="168"/>
  <c r="N57" i="168"/>
  <c r="N59" i="168"/>
  <c r="P96" i="168"/>
  <c r="P91" i="168"/>
  <c r="P84" i="168"/>
  <c r="P80" i="168"/>
  <c r="P72" i="168"/>
  <c r="P61" i="168"/>
  <c r="P52" i="168"/>
  <c r="P55" i="168"/>
  <c r="P97" i="168"/>
  <c r="P94" i="168"/>
  <c r="P82" i="168"/>
  <c r="P74" i="168"/>
  <c r="P69" i="168"/>
  <c r="P57" i="168"/>
  <c r="P93" i="168"/>
  <c r="P85" i="168"/>
  <c r="P81" i="168"/>
  <c r="P73" i="168"/>
  <c r="P62" i="168"/>
  <c r="P53" i="168"/>
  <c r="P87" i="168"/>
  <c r="P89" i="168"/>
  <c r="P79" i="168"/>
  <c r="P60" i="168"/>
  <c r="P58" i="168"/>
  <c r="P95" i="168"/>
  <c r="P83" i="168"/>
  <c r="P71" i="168"/>
  <c r="P59" i="168"/>
  <c r="L55" i="168"/>
  <c r="L94" i="168"/>
  <c r="L87" i="168"/>
  <c r="L82" i="168"/>
  <c r="L74" i="168"/>
  <c r="L69" i="168"/>
  <c r="L57" i="168"/>
  <c r="L97" i="168"/>
  <c r="L96" i="168"/>
  <c r="L91" i="168"/>
  <c r="L84" i="168"/>
  <c r="L80" i="168"/>
  <c r="L72" i="168"/>
  <c r="L95" i="168"/>
  <c r="L89" i="168"/>
  <c r="L83" i="168"/>
  <c r="L79" i="168"/>
  <c r="L71" i="168"/>
  <c r="L60" i="168"/>
  <c r="L58" i="168"/>
  <c r="L61" i="168"/>
  <c r="L52" i="168"/>
  <c r="L93" i="168"/>
  <c r="L81" i="168"/>
  <c r="L62" i="168"/>
  <c r="L85" i="168"/>
  <c r="L73" i="168"/>
  <c r="L53" i="168"/>
  <c r="L59" i="168"/>
  <c r="T55" i="168"/>
  <c r="T94" i="168"/>
  <c r="T87" i="168"/>
  <c r="T82" i="168"/>
  <c r="T74" i="168"/>
  <c r="T69" i="168"/>
  <c r="T57" i="168"/>
  <c r="T97" i="168"/>
  <c r="T96" i="168"/>
  <c r="T91" i="168"/>
  <c r="T84" i="168"/>
  <c r="T80" i="168"/>
  <c r="T72" i="168"/>
  <c r="T61" i="168"/>
  <c r="T95" i="168"/>
  <c r="T89" i="168"/>
  <c r="T83" i="168"/>
  <c r="T79" i="168"/>
  <c r="T71" i="168"/>
  <c r="T60" i="168"/>
  <c r="T58" i="168"/>
  <c r="T85" i="168"/>
  <c r="T73" i="168"/>
  <c r="T93" i="168"/>
  <c r="T81" i="168"/>
  <c r="T62" i="168"/>
  <c r="T53" i="168"/>
  <c r="T52" i="168"/>
  <c r="T59" i="168"/>
  <c r="H96" i="168"/>
  <c r="H95" i="168"/>
  <c r="H94" i="168"/>
  <c r="H93" i="168"/>
  <c r="H91" i="168"/>
  <c r="H89" i="168"/>
  <c r="H87" i="168"/>
  <c r="H85" i="168"/>
  <c r="H84" i="168"/>
  <c r="H83" i="168"/>
  <c r="H82" i="168"/>
  <c r="H81" i="168"/>
  <c r="H80" i="168"/>
  <c r="H79" i="168"/>
  <c r="H74" i="168"/>
  <c r="H73" i="168"/>
  <c r="H72" i="168"/>
  <c r="H71" i="168"/>
  <c r="H69" i="168"/>
  <c r="H62" i="168"/>
  <c r="H61" i="168"/>
  <c r="H60" i="168"/>
  <c r="H97" i="168"/>
  <c r="H58" i="168"/>
  <c r="H57" i="168"/>
  <c r="H53" i="168"/>
  <c r="H52" i="168"/>
  <c r="H55" i="168"/>
  <c r="H59" i="168"/>
  <c r="F55" i="168"/>
  <c r="F97" i="168"/>
  <c r="F95" i="168"/>
  <c r="F89" i="168"/>
  <c r="F83" i="168"/>
  <c r="F79" i="168"/>
  <c r="F71" i="168"/>
  <c r="F60" i="168"/>
  <c r="F58" i="168"/>
  <c r="F94" i="168"/>
  <c r="F87" i="168"/>
  <c r="F82" i="168"/>
  <c r="F74" i="168"/>
  <c r="F69" i="168"/>
  <c r="F57" i="168"/>
  <c r="F93" i="168"/>
  <c r="F85" i="168"/>
  <c r="F81" i="168"/>
  <c r="F73" i="168"/>
  <c r="F62" i="168"/>
  <c r="F53" i="168"/>
  <c r="F96" i="168"/>
  <c r="F91" i="168"/>
  <c r="F84" i="168"/>
  <c r="F80" i="168"/>
  <c r="F72" i="168"/>
  <c r="F61" i="168"/>
  <c r="F52" i="168"/>
  <c r="F59" i="168"/>
  <c r="L25" i="165"/>
  <c r="L94" i="165"/>
  <c r="L87" i="165"/>
  <c r="L82" i="165"/>
  <c r="L74" i="165"/>
  <c r="L69" i="165"/>
  <c r="L57" i="165"/>
  <c r="L55" i="165"/>
  <c r="L93" i="165"/>
  <c r="L85" i="165"/>
  <c r="L96" i="165"/>
  <c r="L91" i="165"/>
  <c r="L84" i="165"/>
  <c r="L58" i="165"/>
  <c r="L52" i="165"/>
  <c r="L95" i="165"/>
  <c r="L89" i="165"/>
  <c r="L83" i="165"/>
  <c r="L79" i="165"/>
  <c r="L71" i="165"/>
  <c r="L60" i="165"/>
  <c r="L53" i="165"/>
  <c r="L80" i="165"/>
  <c r="L72" i="165"/>
  <c r="L61" i="165"/>
  <c r="L81" i="165"/>
  <c r="L73" i="165"/>
  <c r="L62" i="165"/>
  <c r="L97" i="165"/>
  <c r="L59" i="165"/>
  <c r="T25" i="165"/>
  <c r="T94" i="165"/>
  <c r="T87" i="165"/>
  <c r="T82" i="165"/>
  <c r="T74" i="165"/>
  <c r="T69" i="165"/>
  <c r="T57" i="165"/>
  <c r="T55" i="165"/>
  <c r="T93" i="165"/>
  <c r="T85" i="165"/>
  <c r="T81" i="165"/>
  <c r="T73" i="165"/>
  <c r="T62" i="165"/>
  <c r="T58" i="165"/>
  <c r="T52" i="165"/>
  <c r="T96" i="165"/>
  <c r="T91" i="165"/>
  <c r="T84" i="165"/>
  <c r="T79" i="165"/>
  <c r="T71" i="165"/>
  <c r="T60" i="165"/>
  <c r="T53" i="165"/>
  <c r="T95" i="165"/>
  <c r="T89" i="165"/>
  <c r="T83" i="165"/>
  <c r="T80" i="165"/>
  <c r="T72" i="165"/>
  <c r="T61" i="165"/>
  <c r="T97" i="165"/>
  <c r="T59" i="165"/>
  <c r="F27" i="165"/>
  <c r="F55" i="165"/>
  <c r="F93" i="165"/>
  <c r="F85" i="165"/>
  <c r="F81" i="165"/>
  <c r="F73" i="165"/>
  <c r="F62" i="165"/>
  <c r="F53" i="165"/>
  <c r="F96" i="165"/>
  <c r="F91" i="165"/>
  <c r="F84" i="165"/>
  <c r="F80" i="165"/>
  <c r="F72" i="165"/>
  <c r="F61" i="165"/>
  <c r="F57" i="165"/>
  <c r="F95" i="165"/>
  <c r="F89" i="165"/>
  <c r="F82" i="165"/>
  <c r="F74" i="165"/>
  <c r="F69" i="165"/>
  <c r="F58" i="165"/>
  <c r="F52" i="165"/>
  <c r="F97" i="165"/>
  <c r="F94" i="165"/>
  <c r="F87" i="165"/>
  <c r="F83" i="165"/>
  <c r="F79" i="165"/>
  <c r="F71" i="165"/>
  <c r="F60" i="165"/>
  <c r="F59" i="165"/>
  <c r="N25" i="165"/>
  <c r="N55" i="165"/>
  <c r="N93" i="165"/>
  <c r="N85" i="165"/>
  <c r="N81" i="165"/>
  <c r="N73" i="165"/>
  <c r="N62" i="165"/>
  <c r="N53" i="165"/>
  <c r="N97" i="165"/>
  <c r="N96" i="165"/>
  <c r="N91" i="165"/>
  <c r="N84" i="165"/>
  <c r="N95" i="165"/>
  <c r="N89" i="165"/>
  <c r="N83" i="165"/>
  <c r="N79" i="165"/>
  <c r="N71" i="165"/>
  <c r="N60" i="165"/>
  <c r="N94" i="165"/>
  <c r="N87" i="165"/>
  <c r="N80" i="165"/>
  <c r="N72" i="165"/>
  <c r="N61" i="165"/>
  <c r="N57" i="165"/>
  <c r="N82" i="165"/>
  <c r="N74" i="165"/>
  <c r="N69" i="165"/>
  <c r="N58" i="165"/>
  <c r="N52" i="165"/>
  <c r="N59" i="165"/>
  <c r="V55" i="165"/>
  <c r="V59" i="165"/>
  <c r="H96" i="165"/>
  <c r="H91" i="165"/>
  <c r="H84" i="165"/>
  <c r="H80" i="165"/>
  <c r="H72" i="165"/>
  <c r="H61" i="165"/>
  <c r="H52" i="165"/>
  <c r="H95" i="165"/>
  <c r="H89" i="165"/>
  <c r="H93" i="165"/>
  <c r="H85" i="165"/>
  <c r="H57" i="165"/>
  <c r="H82" i="165"/>
  <c r="H81" i="165"/>
  <c r="H74" i="165"/>
  <c r="H73" i="165"/>
  <c r="H69" i="165"/>
  <c r="H62" i="165"/>
  <c r="H58" i="165"/>
  <c r="H94" i="165"/>
  <c r="H87" i="165"/>
  <c r="H83" i="165"/>
  <c r="H79" i="165"/>
  <c r="H71" i="165"/>
  <c r="H60" i="165"/>
  <c r="H55" i="165"/>
  <c r="H53" i="165"/>
  <c r="H97" i="165"/>
  <c r="H59" i="165"/>
  <c r="P96" i="165"/>
  <c r="P91" i="165"/>
  <c r="P84" i="165"/>
  <c r="P80" i="165"/>
  <c r="P72" i="165"/>
  <c r="P61" i="165"/>
  <c r="P52" i="165"/>
  <c r="P95" i="165"/>
  <c r="P89" i="165"/>
  <c r="P83" i="165"/>
  <c r="P94" i="165"/>
  <c r="P87" i="165"/>
  <c r="P53" i="165"/>
  <c r="P55" i="165"/>
  <c r="P57" i="165"/>
  <c r="P93" i="165"/>
  <c r="P85" i="165"/>
  <c r="P82" i="165"/>
  <c r="P81" i="165"/>
  <c r="P74" i="165"/>
  <c r="P73" i="165"/>
  <c r="P69" i="165"/>
  <c r="P62" i="165"/>
  <c r="P58" i="165"/>
  <c r="P79" i="165"/>
  <c r="P71" i="165"/>
  <c r="P60" i="165"/>
  <c r="P97" i="165"/>
  <c r="P59" i="165"/>
  <c r="J21" i="165"/>
  <c r="J97" i="165"/>
  <c r="J95" i="165"/>
  <c r="J89" i="165"/>
  <c r="J83" i="165"/>
  <c r="J79" i="165"/>
  <c r="J71" i="165"/>
  <c r="J60" i="165"/>
  <c r="J58" i="165"/>
  <c r="J94" i="165"/>
  <c r="J87" i="165"/>
  <c r="J82" i="165"/>
  <c r="J81" i="165"/>
  <c r="J74" i="165"/>
  <c r="J73" i="165"/>
  <c r="J69" i="165"/>
  <c r="J62" i="165"/>
  <c r="J96" i="165"/>
  <c r="J91" i="165"/>
  <c r="J84" i="165"/>
  <c r="J52" i="165"/>
  <c r="J55" i="165"/>
  <c r="J53" i="165"/>
  <c r="J93" i="165"/>
  <c r="J85" i="165"/>
  <c r="J80" i="165"/>
  <c r="J72" i="165"/>
  <c r="J61" i="165"/>
  <c r="J57" i="165"/>
  <c r="J59" i="165"/>
  <c r="R19" i="165"/>
  <c r="R95" i="165"/>
  <c r="R89" i="165"/>
  <c r="R83" i="165"/>
  <c r="R79" i="165"/>
  <c r="R71" i="165"/>
  <c r="R60" i="165"/>
  <c r="R58" i="165"/>
  <c r="R94" i="165"/>
  <c r="R87" i="165"/>
  <c r="R55" i="165"/>
  <c r="R97" i="165"/>
  <c r="R80" i="165"/>
  <c r="R72" i="165"/>
  <c r="R61" i="165"/>
  <c r="R57" i="165"/>
  <c r="R93" i="165"/>
  <c r="R85" i="165"/>
  <c r="R82" i="165"/>
  <c r="R81" i="165"/>
  <c r="R74" i="165"/>
  <c r="R73" i="165"/>
  <c r="R69" i="165"/>
  <c r="R62" i="165"/>
  <c r="R52" i="165"/>
  <c r="R96" i="165"/>
  <c r="R91" i="165"/>
  <c r="R84" i="165"/>
  <c r="R53" i="165"/>
  <c r="R59" i="165"/>
  <c r="F20" i="164"/>
  <c r="F95" i="164"/>
  <c r="F89" i="164"/>
  <c r="F83" i="164"/>
  <c r="F79" i="164"/>
  <c r="F71" i="164"/>
  <c r="F60" i="164"/>
  <c r="F57" i="164"/>
  <c r="F80" i="164"/>
  <c r="F61" i="164"/>
  <c r="F94" i="164"/>
  <c r="F87" i="164"/>
  <c r="F82" i="164"/>
  <c r="F74" i="164"/>
  <c r="F69" i="164"/>
  <c r="F53" i="164"/>
  <c r="F96" i="164"/>
  <c r="F84" i="164"/>
  <c r="F72" i="164"/>
  <c r="F58" i="164"/>
  <c r="F93" i="164"/>
  <c r="F85" i="164"/>
  <c r="F81" i="164"/>
  <c r="F73" i="164"/>
  <c r="F62" i="164"/>
  <c r="F52" i="164"/>
  <c r="F91" i="164"/>
  <c r="F97" i="164"/>
  <c r="F59" i="164"/>
  <c r="N19" i="164"/>
  <c r="N95" i="164"/>
  <c r="N89" i="164"/>
  <c r="N83" i="164"/>
  <c r="N79" i="164"/>
  <c r="N71" i="164"/>
  <c r="N60" i="164"/>
  <c r="N57" i="164"/>
  <c r="N91" i="164"/>
  <c r="N94" i="164"/>
  <c r="N87" i="164"/>
  <c r="N82" i="164"/>
  <c r="N74" i="164"/>
  <c r="N69" i="164"/>
  <c r="N53" i="164"/>
  <c r="N96" i="164"/>
  <c r="N80" i="164"/>
  <c r="N61" i="164"/>
  <c r="N58" i="164"/>
  <c r="N93" i="164"/>
  <c r="N85" i="164"/>
  <c r="N81" i="164"/>
  <c r="N73" i="164"/>
  <c r="N62" i="164"/>
  <c r="N52" i="164"/>
  <c r="N84" i="164"/>
  <c r="N72" i="164"/>
  <c r="N97" i="164"/>
  <c r="N59" i="164"/>
  <c r="V52" i="164"/>
  <c r="V59" i="164"/>
  <c r="T23" i="164"/>
  <c r="T96" i="164"/>
  <c r="T91" i="164"/>
  <c r="T84" i="164"/>
  <c r="T80" i="164"/>
  <c r="T72" i="164"/>
  <c r="T61" i="164"/>
  <c r="T58" i="164"/>
  <c r="T81" i="164"/>
  <c r="T95" i="164"/>
  <c r="T89" i="164"/>
  <c r="T83" i="164"/>
  <c r="T79" i="164"/>
  <c r="T71" i="164"/>
  <c r="T60" i="164"/>
  <c r="T57" i="164"/>
  <c r="T85" i="164"/>
  <c r="T73" i="164"/>
  <c r="T52" i="164"/>
  <c r="T97" i="164"/>
  <c r="T94" i="164"/>
  <c r="T87" i="164"/>
  <c r="T82" i="164"/>
  <c r="T74" i="164"/>
  <c r="T69" i="164"/>
  <c r="T53" i="164"/>
  <c r="T93" i="164"/>
  <c r="T62" i="164"/>
  <c r="T59" i="164"/>
  <c r="H94" i="164"/>
  <c r="H87" i="164"/>
  <c r="H82" i="164"/>
  <c r="H74" i="164"/>
  <c r="H69" i="164"/>
  <c r="H53" i="164"/>
  <c r="H93" i="164"/>
  <c r="H85" i="164"/>
  <c r="H81" i="164"/>
  <c r="H73" i="164"/>
  <c r="H62" i="164"/>
  <c r="H52" i="164"/>
  <c r="H89" i="164"/>
  <c r="H83" i="164"/>
  <c r="H79" i="164"/>
  <c r="H60" i="164"/>
  <c r="H96" i="164"/>
  <c r="H91" i="164"/>
  <c r="H84" i="164"/>
  <c r="H80" i="164"/>
  <c r="H72" i="164"/>
  <c r="H61" i="164"/>
  <c r="H58" i="164"/>
  <c r="H97" i="164"/>
  <c r="H95" i="164"/>
  <c r="H71" i="164"/>
  <c r="H57" i="164"/>
  <c r="H59" i="164"/>
  <c r="P24" i="164"/>
  <c r="P94" i="164"/>
  <c r="P87" i="164"/>
  <c r="P82" i="164"/>
  <c r="P74" i="164"/>
  <c r="P69" i="164"/>
  <c r="P53" i="164"/>
  <c r="P95" i="164"/>
  <c r="P83" i="164"/>
  <c r="P71" i="164"/>
  <c r="P97" i="164"/>
  <c r="P93" i="164"/>
  <c r="P85" i="164"/>
  <c r="P81" i="164"/>
  <c r="P73" i="164"/>
  <c r="P62" i="164"/>
  <c r="P52" i="164"/>
  <c r="P89" i="164"/>
  <c r="P57" i="164"/>
  <c r="P96" i="164"/>
  <c r="P91" i="164"/>
  <c r="P84" i="164"/>
  <c r="P80" i="164"/>
  <c r="P72" i="164"/>
  <c r="P61" i="164"/>
  <c r="P58" i="164"/>
  <c r="P79" i="164"/>
  <c r="P60" i="164"/>
  <c r="P59" i="164"/>
  <c r="L21" i="164"/>
  <c r="L97" i="164"/>
  <c r="L96" i="164"/>
  <c r="L91" i="164"/>
  <c r="L84" i="164"/>
  <c r="L80" i="164"/>
  <c r="L72" i="164"/>
  <c r="L61" i="164"/>
  <c r="L58" i="164"/>
  <c r="L85" i="164"/>
  <c r="L73" i="164"/>
  <c r="L95" i="164"/>
  <c r="L89" i="164"/>
  <c r="L83" i="164"/>
  <c r="L79" i="164"/>
  <c r="L71" i="164"/>
  <c r="L60" i="164"/>
  <c r="L57" i="164"/>
  <c r="L93" i="164"/>
  <c r="L62" i="164"/>
  <c r="L94" i="164"/>
  <c r="L87" i="164"/>
  <c r="L82" i="164"/>
  <c r="L74" i="164"/>
  <c r="L69" i="164"/>
  <c r="L53" i="164"/>
  <c r="L81" i="164"/>
  <c r="L52" i="164"/>
  <c r="L59" i="164"/>
  <c r="J19" i="164"/>
  <c r="J93" i="164"/>
  <c r="J85" i="164"/>
  <c r="J81" i="164"/>
  <c r="J73" i="164"/>
  <c r="J62" i="164"/>
  <c r="J52" i="164"/>
  <c r="J94" i="164"/>
  <c r="J69" i="164"/>
  <c r="J53" i="164"/>
  <c r="J96" i="164"/>
  <c r="J91" i="164"/>
  <c r="J84" i="164"/>
  <c r="J80" i="164"/>
  <c r="J72" i="164"/>
  <c r="J61" i="164"/>
  <c r="J58" i="164"/>
  <c r="J82" i="164"/>
  <c r="J95" i="164"/>
  <c r="J89" i="164"/>
  <c r="J83" i="164"/>
  <c r="J79" i="164"/>
  <c r="J71" i="164"/>
  <c r="J60" i="164"/>
  <c r="J57" i="164"/>
  <c r="J87" i="164"/>
  <c r="J74" i="164"/>
  <c r="J97" i="164"/>
  <c r="J59" i="164"/>
  <c r="R19" i="164"/>
  <c r="R93" i="164"/>
  <c r="R85" i="164"/>
  <c r="R81" i="164"/>
  <c r="R73" i="164"/>
  <c r="R62" i="164"/>
  <c r="R52" i="164"/>
  <c r="R87" i="164"/>
  <c r="R74" i="164"/>
  <c r="R96" i="164"/>
  <c r="R91" i="164"/>
  <c r="R84" i="164"/>
  <c r="R80" i="164"/>
  <c r="R72" i="164"/>
  <c r="R61" i="164"/>
  <c r="R58" i="164"/>
  <c r="R94" i="164"/>
  <c r="R69" i="164"/>
  <c r="R53" i="164"/>
  <c r="R95" i="164"/>
  <c r="R89" i="164"/>
  <c r="R83" i="164"/>
  <c r="R79" i="164"/>
  <c r="R71" i="164"/>
  <c r="R60" i="164"/>
  <c r="R57" i="164"/>
  <c r="R82" i="164"/>
  <c r="R97" i="164"/>
  <c r="R59" i="164"/>
  <c r="L97" i="161"/>
  <c r="L59" i="161"/>
  <c r="T24" i="161"/>
  <c r="T97" i="161"/>
  <c r="T59" i="161"/>
  <c r="F27" i="161"/>
  <c r="F97" i="161"/>
  <c r="F59" i="161"/>
  <c r="N26" i="161"/>
  <c r="N97" i="161"/>
  <c r="N59" i="161"/>
  <c r="V27" i="161"/>
  <c r="V59" i="161"/>
  <c r="H20" i="161"/>
  <c r="H97" i="161"/>
  <c r="H59" i="161"/>
  <c r="P27" i="161"/>
  <c r="P97" i="161"/>
  <c r="P59" i="161"/>
  <c r="N27" i="161"/>
  <c r="J97" i="161"/>
  <c r="J59" i="161"/>
  <c r="R19" i="161"/>
  <c r="R97" i="161"/>
  <c r="R59" i="161"/>
  <c r="J97" i="158"/>
  <c r="J59" i="158"/>
  <c r="R97" i="158"/>
  <c r="R59" i="158"/>
  <c r="L25" i="158"/>
  <c r="L97" i="158"/>
  <c r="L59" i="158"/>
  <c r="T97" i="158"/>
  <c r="T59" i="158"/>
  <c r="F97" i="158"/>
  <c r="F59" i="158"/>
  <c r="N97" i="158"/>
  <c r="N59" i="158"/>
  <c r="V25" i="158"/>
  <c r="V59" i="158"/>
  <c r="H97" i="158"/>
  <c r="H59" i="158"/>
  <c r="P97" i="158"/>
  <c r="P59" i="158"/>
  <c r="E38" i="198"/>
  <c r="E42" i="198"/>
  <c r="C44" i="198"/>
  <c r="S46" i="195"/>
  <c r="M46" i="195"/>
  <c r="U46" i="195"/>
  <c r="K46" i="195"/>
  <c r="I36" i="198"/>
  <c r="Q36" i="198"/>
  <c r="G37" i="198"/>
  <c r="O37" i="198"/>
  <c r="M38" i="198"/>
  <c r="U38" i="198"/>
  <c r="K39" i="198"/>
  <c r="S39" i="198"/>
  <c r="I40" i="198"/>
  <c r="Q40" i="198"/>
  <c r="G41" i="198"/>
  <c r="O41" i="198"/>
  <c r="M42" i="198"/>
  <c r="U42" i="198"/>
  <c r="K43" i="198"/>
  <c r="S43" i="198"/>
  <c r="I44" i="198"/>
  <c r="Q44" i="198"/>
  <c r="G45" i="198"/>
  <c r="G46" i="198"/>
  <c r="O45" i="198"/>
  <c r="G46" i="195"/>
  <c r="H46" i="195"/>
  <c r="O46" i="195"/>
  <c r="E43" i="198"/>
  <c r="E46" i="195"/>
  <c r="C40" i="198"/>
  <c r="C39" i="198"/>
  <c r="C36" i="198"/>
  <c r="C46" i="195"/>
  <c r="D46" i="195"/>
  <c r="J25" i="159"/>
  <c r="J55" i="159"/>
  <c r="J97" i="159"/>
  <c r="J59" i="159"/>
  <c r="R97" i="159"/>
  <c r="R59" i="159"/>
  <c r="L55" i="159"/>
  <c r="L97" i="159"/>
  <c r="L59" i="159"/>
  <c r="T97" i="159"/>
  <c r="T59" i="159"/>
  <c r="F55" i="159"/>
  <c r="F97" i="159"/>
  <c r="F59" i="159"/>
  <c r="N97" i="159"/>
  <c r="N59" i="159"/>
  <c r="V59" i="159"/>
  <c r="H55" i="159"/>
  <c r="H97" i="159"/>
  <c r="H59" i="159"/>
  <c r="P25" i="159"/>
  <c r="P55" i="159"/>
  <c r="P97" i="159"/>
  <c r="P59" i="159"/>
  <c r="C33" i="159"/>
  <c r="D97" i="159"/>
  <c r="D59" i="159"/>
  <c r="G112" i="194"/>
  <c r="G116" i="194"/>
  <c r="H116" i="194"/>
  <c r="P28" i="194"/>
  <c r="P25" i="194"/>
  <c r="P26" i="194"/>
  <c r="M112" i="194"/>
  <c r="N112" i="194"/>
  <c r="S112" i="194"/>
  <c r="T32" i="194"/>
  <c r="T36" i="194"/>
  <c r="P41" i="194"/>
  <c r="P19" i="194"/>
  <c r="V59" i="194"/>
  <c r="V81" i="194"/>
  <c r="V85" i="194"/>
  <c r="V84" i="194"/>
  <c r="V83" i="194"/>
  <c r="U112" i="194"/>
  <c r="U116" i="194"/>
  <c r="V116" i="194"/>
  <c r="P44" i="194"/>
  <c r="Q111" i="195"/>
  <c r="L32" i="194"/>
  <c r="K112" i="194"/>
  <c r="L112" i="194"/>
  <c r="Q112" i="194"/>
  <c r="Q116" i="194"/>
  <c r="R116" i="194"/>
  <c r="P36" i="194"/>
  <c r="T39" i="194"/>
  <c r="P42" i="194"/>
  <c r="T44" i="194"/>
  <c r="K116" i="194"/>
  <c r="L116" i="194"/>
  <c r="S116" i="194"/>
  <c r="T116" i="194"/>
  <c r="E112" i="194"/>
  <c r="F26" i="194"/>
  <c r="C112" i="194"/>
  <c r="C116" i="194"/>
  <c r="D116" i="194"/>
  <c r="D36" i="194"/>
  <c r="D44" i="194"/>
  <c r="D45" i="194"/>
  <c r="H113" i="193"/>
  <c r="G61" i="195"/>
  <c r="H61" i="195"/>
  <c r="G69" i="195"/>
  <c r="H69" i="195"/>
  <c r="G73" i="195"/>
  <c r="H73" i="195"/>
  <c r="G85" i="195"/>
  <c r="H85" i="195"/>
  <c r="G89" i="195"/>
  <c r="H89" i="195"/>
  <c r="G93" i="195"/>
  <c r="G72" i="195"/>
  <c r="H72" i="195"/>
  <c r="G83" i="195"/>
  <c r="H83" i="195"/>
  <c r="G94" i="195"/>
  <c r="H94" i="195"/>
  <c r="G57" i="195"/>
  <c r="H57" i="195"/>
  <c r="G79" i="195"/>
  <c r="H79" i="195"/>
  <c r="G84" i="195"/>
  <c r="H84" i="195"/>
  <c r="G95" i="195"/>
  <c r="H95" i="195"/>
  <c r="G53" i="195"/>
  <c r="H53" i="195"/>
  <c r="G80" i="195"/>
  <c r="H80" i="195"/>
  <c r="G91" i="195"/>
  <c r="H91" i="195"/>
  <c r="G96" i="195"/>
  <c r="H96" i="195"/>
  <c r="G60" i="195"/>
  <c r="H60" i="195"/>
  <c r="G82" i="195"/>
  <c r="H82" i="195"/>
  <c r="G87" i="195"/>
  <c r="H20" i="193"/>
  <c r="H25" i="193"/>
  <c r="O58" i="195"/>
  <c r="P58" i="195"/>
  <c r="O79" i="195"/>
  <c r="P79" i="195"/>
  <c r="O91" i="195"/>
  <c r="P91" i="195"/>
  <c r="O95" i="195"/>
  <c r="P95" i="195"/>
  <c r="O53" i="195"/>
  <c r="P53" i="195"/>
  <c r="O57" i="195"/>
  <c r="P57" i="195"/>
  <c r="O74" i="195"/>
  <c r="P74" i="195"/>
  <c r="O82" i="195"/>
  <c r="P82" i="195"/>
  <c r="O60" i="195"/>
  <c r="P60" i="195"/>
  <c r="O84" i="195"/>
  <c r="P84" i="195"/>
  <c r="O61" i="195"/>
  <c r="P61" i="195"/>
  <c r="O69" i="195"/>
  <c r="P69" i="195"/>
  <c r="O72" i="195"/>
  <c r="P72" i="195"/>
  <c r="O89" i="195"/>
  <c r="P89" i="195"/>
  <c r="O80" i="195"/>
  <c r="P80" i="195"/>
  <c r="O96" i="195"/>
  <c r="P96" i="195"/>
  <c r="O81" i="195"/>
  <c r="P81" i="195"/>
  <c r="P27" i="193"/>
  <c r="P23" i="193"/>
  <c r="H20" i="195"/>
  <c r="P20" i="195"/>
  <c r="H25" i="195"/>
  <c r="P25" i="195"/>
  <c r="M53" i="195"/>
  <c r="M57" i="195"/>
  <c r="M74" i="195"/>
  <c r="M94" i="195"/>
  <c r="M69" i="195"/>
  <c r="M73" i="195"/>
  <c r="M85" i="195"/>
  <c r="M89" i="195"/>
  <c r="M60" i="195"/>
  <c r="M84" i="195"/>
  <c r="M71" i="195"/>
  <c r="M83" i="195"/>
  <c r="M95" i="195"/>
  <c r="M58" i="195"/>
  <c r="M96" i="195"/>
  <c r="M79" i="195"/>
  <c r="M91" i="195"/>
  <c r="M72" i="195"/>
  <c r="V59" i="193"/>
  <c r="U53" i="195"/>
  <c r="U57" i="195"/>
  <c r="U74" i="195"/>
  <c r="U94" i="195"/>
  <c r="U61" i="195"/>
  <c r="U69" i="195"/>
  <c r="U73" i="195"/>
  <c r="U85" i="195"/>
  <c r="U89" i="195"/>
  <c r="U93" i="195"/>
  <c r="U95" i="195"/>
  <c r="U60" i="195"/>
  <c r="U71" i="195"/>
  <c r="U87" i="195"/>
  <c r="U72" i="195"/>
  <c r="U58" i="195"/>
  <c r="U91" i="195"/>
  <c r="U80" i="195"/>
  <c r="V24" i="193"/>
  <c r="V36" i="193"/>
  <c r="K61" i="195"/>
  <c r="K69" i="195"/>
  <c r="K73" i="195"/>
  <c r="K81" i="195"/>
  <c r="L81" i="195"/>
  <c r="K85" i="195"/>
  <c r="K89" i="195"/>
  <c r="K93" i="195"/>
  <c r="K60" i="195"/>
  <c r="L60" i="195"/>
  <c r="K72" i="195"/>
  <c r="K84" i="195"/>
  <c r="K58" i="195"/>
  <c r="K83" i="195"/>
  <c r="L83" i="195"/>
  <c r="K91" i="195"/>
  <c r="K79" i="195"/>
  <c r="K71" i="195"/>
  <c r="K82" i="195"/>
  <c r="K53" i="195"/>
  <c r="K95" i="195"/>
  <c r="T24" i="193"/>
  <c r="S61" i="195"/>
  <c r="S69" i="195"/>
  <c r="S81" i="195"/>
  <c r="S85" i="195"/>
  <c r="S93" i="195"/>
  <c r="T93" i="195"/>
  <c r="S80" i="195"/>
  <c r="S84" i="195"/>
  <c r="S96" i="195"/>
  <c r="S83" i="195"/>
  <c r="S53" i="195"/>
  <c r="S94" i="195"/>
  <c r="S71" i="195"/>
  <c r="S57" i="195"/>
  <c r="S79" i="195"/>
  <c r="S95" i="195"/>
  <c r="S82" i="195"/>
  <c r="P46" i="193"/>
  <c r="M28" i="195"/>
  <c r="N40" i="195"/>
  <c r="U28" i="195"/>
  <c r="V46" i="195"/>
  <c r="L26" i="193"/>
  <c r="J45" i="193"/>
  <c r="I60" i="195"/>
  <c r="J60" i="195"/>
  <c r="I58" i="195"/>
  <c r="I79" i="195"/>
  <c r="I91" i="195"/>
  <c r="I95" i="195"/>
  <c r="J95" i="195"/>
  <c r="I57" i="195"/>
  <c r="I82" i="195"/>
  <c r="I61" i="195"/>
  <c r="J61" i="195"/>
  <c r="I81" i="195"/>
  <c r="J81" i="195"/>
  <c r="I93" i="195"/>
  <c r="I73" i="195"/>
  <c r="I85" i="195"/>
  <c r="J85" i="195"/>
  <c r="I53" i="195"/>
  <c r="J53" i="195"/>
  <c r="I96" i="195"/>
  <c r="I89" i="195"/>
  <c r="Q60" i="195"/>
  <c r="Q72" i="195"/>
  <c r="Q80" i="195"/>
  <c r="Q84" i="195"/>
  <c r="Q96" i="195"/>
  <c r="Q58" i="195"/>
  <c r="Q71" i="195"/>
  <c r="Q79" i="195"/>
  <c r="Q87" i="195"/>
  <c r="Q91" i="195"/>
  <c r="Q95" i="195"/>
  <c r="Q57" i="195"/>
  <c r="Q74" i="195"/>
  <c r="Q82" i="195"/>
  <c r="Q69" i="195"/>
  <c r="Q85" i="195"/>
  <c r="Q93" i="195"/>
  <c r="Q53" i="195"/>
  <c r="Q89" i="195"/>
  <c r="E60" i="195"/>
  <c r="E84" i="195"/>
  <c r="E53" i="195"/>
  <c r="E94" i="195"/>
  <c r="E58" i="195"/>
  <c r="E95" i="195"/>
  <c r="E73" i="195"/>
  <c r="E81" i="195"/>
  <c r="E89" i="195"/>
  <c r="E57" i="195"/>
  <c r="E74" i="195"/>
  <c r="E79" i="195"/>
  <c r="E83" i="195"/>
  <c r="E91" i="195"/>
  <c r="E28" i="195"/>
  <c r="F32" i="195"/>
  <c r="D33" i="193"/>
  <c r="D46" i="193"/>
  <c r="C72" i="195"/>
  <c r="C80" i="195"/>
  <c r="D80" i="195"/>
  <c r="C96" i="195"/>
  <c r="D96" i="195"/>
  <c r="C57" i="195"/>
  <c r="D57" i="195"/>
  <c r="C74" i="195"/>
  <c r="D74" i="195"/>
  <c r="C58" i="195"/>
  <c r="D58" i="195"/>
  <c r="C95" i="195"/>
  <c r="D95" i="195"/>
  <c r="C73" i="195"/>
  <c r="D73" i="195"/>
  <c r="C81" i="195"/>
  <c r="D81" i="195"/>
  <c r="C89" i="195"/>
  <c r="D89" i="195"/>
  <c r="C53" i="195"/>
  <c r="D53" i="195"/>
  <c r="C94" i="195"/>
  <c r="D94" i="195"/>
  <c r="C71" i="195"/>
  <c r="D71" i="195"/>
  <c r="C83" i="195"/>
  <c r="D83" i="195"/>
  <c r="C91" i="195"/>
  <c r="D21" i="193"/>
  <c r="D26" i="193"/>
  <c r="D31" i="193"/>
  <c r="E31" i="193"/>
  <c r="C33" i="175"/>
  <c r="C33" i="174"/>
  <c r="F28" i="173"/>
  <c r="V25" i="173"/>
  <c r="V59" i="173"/>
  <c r="P26" i="173"/>
  <c r="R25" i="174"/>
  <c r="L21" i="175"/>
  <c r="T21" i="175"/>
  <c r="L19" i="174"/>
  <c r="V55" i="175"/>
  <c r="V59" i="175"/>
  <c r="L23" i="173"/>
  <c r="N20" i="174"/>
  <c r="V19" i="174"/>
  <c r="V59" i="174"/>
  <c r="T26" i="172"/>
  <c r="F26" i="172"/>
  <c r="N21" i="172"/>
  <c r="V55" i="172"/>
  <c r="V59" i="172"/>
  <c r="L20" i="172"/>
  <c r="C33" i="170"/>
  <c r="V55" i="168"/>
  <c r="V59" i="168"/>
  <c r="P21" i="168"/>
  <c r="J27" i="168"/>
  <c r="R20" i="168"/>
  <c r="F21" i="169"/>
  <c r="V55" i="169"/>
  <c r="V59" i="169"/>
  <c r="J26" i="169"/>
  <c r="R19" i="169"/>
  <c r="T26" i="169"/>
  <c r="C33" i="169"/>
  <c r="C33" i="168"/>
  <c r="C33" i="167"/>
  <c r="D97" i="163"/>
  <c r="D59" i="163"/>
  <c r="K111" i="195"/>
  <c r="L111" i="195"/>
  <c r="S111" i="195"/>
  <c r="M111" i="195"/>
  <c r="I111" i="195"/>
  <c r="J111" i="195"/>
  <c r="G111" i="195"/>
  <c r="H111" i="195"/>
  <c r="E111" i="195"/>
  <c r="C111" i="195"/>
  <c r="D111" i="195"/>
  <c r="E31" i="171"/>
  <c r="E33" i="171"/>
  <c r="C28" i="171"/>
  <c r="D67" i="171"/>
  <c r="C31" i="171"/>
  <c r="E31" i="177"/>
  <c r="E33" i="177"/>
  <c r="C31" i="177"/>
  <c r="E31" i="160"/>
  <c r="E33" i="160"/>
  <c r="C28" i="160"/>
  <c r="C31" i="160"/>
  <c r="C31" i="162"/>
  <c r="E31" i="162"/>
  <c r="E33" i="162"/>
  <c r="T19" i="169"/>
  <c r="T21" i="169"/>
  <c r="J25" i="165"/>
  <c r="P20" i="161"/>
  <c r="E31" i="178"/>
  <c r="E33" i="178"/>
  <c r="S33" i="15"/>
  <c r="K33" i="15"/>
  <c r="M33" i="15"/>
  <c r="R20" i="161"/>
  <c r="R20" i="174"/>
  <c r="R21" i="174"/>
  <c r="R20" i="169"/>
  <c r="P21" i="173"/>
  <c r="J19" i="169"/>
  <c r="R21" i="169"/>
  <c r="R26" i="161"/>
  <c r="L20" i="175"/>
  <c r="J25" i="169"/>
  <c r="J21" i="169"/>
  <c r="P20" i="170"/>
  <c r="R25" i="165"/>
  <c r="T26" i="161"/>
  <c r="T19" i="172"/>
  <c r="T19" i="161"/>
  <c r="T19" i="175"/>
  <c r="V19" i="161"/>
  <c r="V21" i="161"/>
  <c r="V21" i="170"/>
  <c r="V25" i="161"/>
  <c r="T27" i="175"/>
  <c r="R25" i="161"/>
  <c r="R27" i="161"/>
  <c r="N33" i="172"/>
  <c r="L19" i="175"/>
  <c r="L25" i="173"/>
  <c r="J27" i="163"/>
  <c r="J27" i="159"/>
  <c r="J19" i="163"/>
  <c r="J25" i="168"/>
  <c r="J26" i="168"/>
  <c r="H19" i="167"/>
  <c r="L19" i="164"/>
  <c r="P25" i="168"/>
  <c r="L27" i="173"/>
  <c r="N21" i="174"/>
  <c r="T19" i="164"/>
  <c r="P33" i="167"/>
  <c r="H24" i="161"/>
  <c r="H21" i="167"/>
  <c r="D25" i="173"/>
  <c r="C33" i="173"/>
  <c r="D33" i="173"/>
  <c r="C33" i="162"/>
  <c r="D19" i="163"/>
  <c r="C33" i="163"/>
  <c r="D33" i="163"/>
  <c r="D19" i="158"/>
  <c r="C33" i="158"/>
  <c r="D33" i="158"/>
  <c r="D24" i="161"/>
  <c r="C33" i="161"/>
  <c r="D33" i="161"/>
  <c r="D21" i="175"/>
  <c r="D19" i="161"/>
  <c r="D21" i="161"/>
  <c r="D21" i="173"/>
  <c r="D63" i="160"/>
  <c r="D32" i="168"/>
  <c r="D21" i="169"/>
  <c r="C111" i="169"/>
  <c r="D111" i="169"/>
  <c r="D31" i="159"/>
  <c r="D58" i="159"/>
  <c r="C112" i="159"/>
  <c r="D112" i="159"/>
  <c r="D74" i="159"/>
  <c r="D82" i="159"/>
  <c r="D94" i="159"/>
  <c r="D55" i="159"/>
  <c r="D60" i="159"/>
  <c r="D71" i="159"/>
  <c r="D81" i="159"/>
  <c r="D87" i="159"/>
  <c r="D53" i="159"/>
  <c r="D61" i="159"/>
  <c r="D83" i="159"/>
  <c r="D89" i="159"/>
  <c r="D96" i="159"/>
  <c r="C111" i="159"/>
  <c r="D111" i="159"/>
  <c r="D69" i="159"/>
  <c r="D79" i="159"/>
  <c r="D72" i="159"/>
  <c r="D80" i="159"/>
  <c r="D91" i="159"/>
  <c r="D52" i="159"/>
  <c r="D73" i="159"/>
  <c r="D84" i="159"/>
  <c r="D93" i="159"/>
  <c r="D85" i="159"/>
  <c r="D57" i="159"/>
  <c r="D95" i="159"/>
  <c r="D19" i="165"/>
  <c r="C111" i="165"/>
  <c r="D111" i="165"/>
  <c r="D26" i="168"/>
  <c r="D115" i="164"/>
  <c r="C112" i="164"/>
  <c r="D112" i="164"/>
  <c r="C111" i="167"/>
  <c r="D111" i="167"/>
  <c r="C112" i="167"/>
  <c r="D112" i="167"/>
  <c r="D25" i="168"/>
  <c r="C111" i="171"/>
  <c r="D75" i="171"/>
  <c r="C112" i="174"/>
  <c r="D112" i="174"/>
  <c r="C111" i="174"/>
  <c r="D111" i="174"/>
  <c r="D28" i="175"/>
  <c r="C111" i="175"/>
  <c r="C112" i="175"/>
  <c r="D112" i="175"/>
  <c r="D58" i="161"/>
  <c r="D74" i="161"/>
  <c r="D82" i="161"/>
  <c r="D94" i="161"/>
  <c r="D57" i="161"/>
  <c r="D73" i="161"/>
  <c r="D79" i="161"/>
  <c r="D84" i="161"/>
  <c r="D89" i="161"/>
  <c r="D95" i="161"/>
  <c r="D71" i="161"/>
  <c r="D85" i="161"/>
  <c r="D60" i="161"/>
  <c r="D69" i="161"/>
  <c r="D80" i="161"/>
  <c r="D53" i="161"/>
  <c r="D61" i="161"/>
  <c r="D72" i="161"/>
  <c r="D81" i="161"/>
  <c r="D91" i="161"/>
  <c r="D83" i="161"/>
  <c r="D93" i="161"/>
  <c r="D87" i="161"/>
  <c r="C111" i="161"/>
  <c r="D111" i="161"/>
  <c r="D96" i="161"/>
  <c r="D52" i="161"/>
  <c r="D24" i="158"/>
  <c r="D58" i="158"/>
  <c r="C112" i="158"/>
  <c r="D112" i="158"/>
  <c r="D74" i="158"/>
  <c r="D82" i="158"/>
  <c r="D94" i="158"/>
  <c r="D53" i="158"/>
  <c r="C111" i="158"/>
  <c r="C116" i="158"/>
  <c r="D116" i="158"/>
  <c r="D69" i="158"/>
  <c r="D80" i="158"/>
  <c r="D85" i="158"/>
  <c r="D96" i="158"/>
  <c r="D71" i="158"/>
  <c r="D84" i="158"/>
  <c r="D73" i="158"/>
  <c r="D83" i="158"/>
  <c r="D93" i="158"/>
  <c r="D52" i="158"/>
  <c r="D57" i="158"/>
  <c r="D87" i="158"/>
  <c r="D95" i="158"/>
  <c r="D60" i="158"/>
  <c r="D79" i="158"/>
  <c r="D89" i="158"/>
  <c r="D61" i="158"/>
  <c r="D72" i="158"/>
  <c r="D81" i="158"/>
  <c r="D58" i="163"/>
  <c r="D55" i="163"/>
  <c r="D60" i="163"/>
  <c r="D71" i="163"/>
  <c r="D79" i="163"/>
  <c r="D83" i="163"/>
  <c r="D87" i="163"/>
  <c r="D91" i="163"/>
  <c r="D95" i="163"/>
  <c r="C111" i="163"/>
  <c r="D111" i="163"/>
  <c r="D73" i="163"/>
  <c r="D84" i="163"/>
  <c r="D89" i="163"/>
  <c r="D94" i="163"/>
  <c r="D61" i="163"/>
  <c r="D69" i="163"/>
  <c r="D85" i="163"/>
  <c r="D53" i="163"/>
  <c r="D72" i="163"/>
  <c r="D80" i="163"/>
  <c r="D93" i="163"/>
  <c r="D52" i="163"/>
  <c r="D74" i="163"/>
  <c r="D81" i="163"/>
  <c r="D96" i="163"/>
  <c r="D57" i="163"/>
  <c r="D82" i="163"/>
  <c r="D20" i="168"/>
  <c r="C112" i="173"/>
  <c r="D112" i="173"/>
  <c r="D23" i="161"/>
  <c r="D23" i="170"/>
  <c r="V53" i="169"/>
  <c r="V57" i="169"/>
  <c r="V61" i="169"/>
  <c r="V69" i="169"/>
  <c r="V73" i="169"/>
  <c r="V81" i="169"/>
  <c r="V85" i="169"/>
  <c r="V89" i="169"/>
  <c r="V93" i="169"/>
  <c r="V97" i="169"/>
  <c r="V83" i="169"/>
  <c r="V94" i="169"/>
  <c r="V58" i="169"/>
  <c r="V74" i="169"/>
  <c r="V79" i="169"/>
  <c r="V84" i="169"/>
  <c r="V95" i="169"/>
  <c r="V96" i="169"/>
  <c r="V87" i="169"/>
  <c r="V52" i="169"/>
  <c r="U111" i="169"/>
  <c r="V111" i="169"/>
  <c r="V80" i="169"/>
  <c r="V91" i="169"/>
  <c r="V82" i="169"/>
  <c r="V60" i="169"/>
  <c r="V71" i="169"/>
  <c r="V53" i="173"/>
  <c r="V61" i="173"/>
  <c r="V69" i="173"/>
  <c r="V81" i="173"/>
  <c r="V85" i="173"/>
  <c r="V93" i="173"/>
  <c r="V97" i="173"/>
  <c r="U112" i="173"/>
  <c r="V112" i="173"/>
  <c r="V72" i="173"/>
  <c r="V83" i="173"/>
  <c r="V94" i="173"/>
  <c r="V58" i="173"/>
  <c r="V74" i="173"/>
  <c r="V79" i="173"/>
  <c r="V84" i="173"/>
  <c r="U111" i="173"/>
  <c r="V80" i="173"/>
  <c r="V91" i="173"/>
  <c r="V71" i="173"/>
  <c r="V82" i="173"/>
  <c r="V96" i="173"/>
  <c r="V87" i="173"/>
  <c r="V55" i="173"/>
  <c r="V24" i="168"/>
  <c r="V53" i="168"/>
  <c r="V61" i="168"/>
  <c r="V69" i="168"/>
  <c r="V81" i="168"/>
  <c r="V85" i="168"/>
  <c r="V89" i="168"/>
  <c r="V93" i="168"/>
  <c r="V97" i="168"/>
  <c r="V60" i="168"/>
  <c r="V71" i="168"/>
  <c r="V82" i="168"/>
  <c r="V87" i="168"/>
  <c r="U112" i="168"/>
  <c r="V112" i="168"/>
  <c r="V72" i="168"/>
  <c r="V83" i="168"/>
  <c r="V94" i="168"/>
  <c r="V74" i="168"/>
  <c r="V84" i="168"/>
  <c r="V95" i="168"/>
  <c r="V52" i="168"/>
  <c r="V96" i="168"/>
  <c r="V58" i="168"/>
  <c r="V79" i="168"/>
  <c r="V91" i="168"/>
  <c r="V80" i="168"/>
  <c r="V24" i="172"/>
  <c r="V53" i="172"/>
  <c r="V57" i="172"/>
  <c r="V69" i="172"/>
  <c r="V73" i="172"/>
  <c r="V81" i="172"/>
  <c r="V85" i="172"/>
  <c r="V89" i="172"/>
  <c r="V97" i="172"/>
  <c r="V71" i="172"/>
  <c r="V87" i="172"/>
  <c r="V72" i="172"/>
  <c r="V83" i="172"/>
  <c r="V58" i="172"/>
  <c r="V79" i="172"/>
  <c r="V52" i="172"/>
  <c r="U111" i="172"/>
  <c r="V111" i="172"/>
  <c r="V80" i="172"/>
  <c r="V91" i="172"/>
  <c r="V74" i="172"/>
  <c r="V84" i="172"/>
  <c r="V95" i="172"/>
  <c r="V96" i="172"/>
  <c r="V113" i="175"/>
  <c r="V53" i="175"/>
  <c r="V57" i="175"/>
  <c r="V61" i="175"/>
  <c r="V69" i="175"/>
  <c r="V74" i="175"/>
  <c r="V82" i="175"/>
  <c r="V94" i="175"/>
  <c r="V60" i="175"/>
  <c r="V71" i="175"/>
  <c r="V79" i="175"/>
  <c r="V83" i="175"/>
  <c r="V87" i="175"/>
  <c r="V91" i="175"/>
  <c r="V95" i="175"/>
  <c r="V72" i="175"/>
  <c r="V80" i="175"/>
  <c r="V96" i="175"/>
  <c r="V73" i="175"/>
  <c r="V81" i="175"/>
  <c r="V89" i="175"/>
  <c r="V97" i="175"/>
  <c r="V84" i="175"/>
  <c r="V58" i="175"/>
  <c r="V85" i="175"/>
  <c r="V93" i="175"/>
  <c r="V71" i="158"/>
  <c r="V79" i="158"/>
  <c r="V83" i="158"/>
  <c r="V87" i="158"/>
  <c r="V95" i="158"/>
  <c r="V84" i="158"/>
  <c r="V89" i="158"/>
  <c r="V94" i="158"/>
  <c r="V53" i="158"/>
  <c r="V58" i="158"/>
  <c r="V74" i="158"/>
  <c r="V80" i="158"/>
  <c r="V85" i="158"/>
  <c r="V96" i="158"/>
  <c r="V60" i="158"/>
  <c r="V81" i="158"/>
  <c r="V61" i="158"/>
  <c r="V72" i="158"/>
  <c r="V82" i="158"/>
  <c r="V93" i="158"/>
  <c r="V97" i="158"/>
  <c r="V52" i="158"/>
  <c r="V25" i="168"/>
  <c r="V24" i="159"/>
  <c r="U111" i="159"/>
  <c r="V79" i="159"/>
  <c r="V83" i="159"/>
  <c r="V91" i="159"/>
  <c r="V95" i="159"/>
  <c r="V53" i="159"/>
  <c r="V58" i="159"/>
  <c r="V69" i="159"/>
  <c r="V74" i="159"/>
  <c r="V80" i="159"/>
  <c r="V85" i="159"/>
  <c r="V97" i="159"/>
  <c r="V61" i="159"/>
  <c r="V72" i="159"/>
  <c r="V82" i="159"/>
  <c r="V93" i="159"/>
  <c r="U112" i="159"/>
  <c r="V112" i="159"/>
  <c r="V73" i="159"/>
  <c r="V94" i="159"/>
  <c r="V89" i="159"/>
  <c r="V57" i="159"/>
  <c r="V53" i="164"/>
  <c r="V57" i="164"/>
  <c r="V61" i="164"/>
  <c r="V69" i="164"/>
  <c r="V73" i="164"/>
  <c r="V85" i="164"/>
  <c r="V89" i="164"/>
  <c r="V93" i="164"/>
  <c r="U111" i="164"/>
  <c r="V111" i="164"/>
  <c r="V91" i="164"/>
  <c r="V96" i="164"/>
  <c r="V58" i="164"/>
  <c r="V72" i="164"/>
  <c r="V79" i="164"/>
  <c r="V94" i="164"/>
  <c r="V60" i="164"/>
  <c r="V74" i="164"/>
  <c r="V82" i="164"/>
  <c r="U112" i="164"/>
  <c r="V112" i="164"/>
  <c r="V44" i="161"/>
  <c r="U111" i="161"/>
  <c r="V111" i="161"/>
  <c r="V71" i="161"/>
  <c r="V79" i="161"/>
  <c r="V83" i="161"/>
  <c r="V87" i="161"/>
  <c r="V91" i="161"/>
  <c r="V95" i="161"/>
  <c r="V61" i="161"/>
  <c r="V72" i="161"/>
  <c r="V82" i="161"/>
  <c r="V93" i="161"/>
  <c r="V57" i="161"/>
  <c r="V84" i="161"/>
  <c r="V89" i="161"/>
  <c r="V94" i="161"/>
  <c r="V53" i="161"/>
  <c r="V74" i="161"/>
  <c r="V85" i="161"/>
  <c r="V96" i="161"/>
  <c r="V97" i="161"/>
  <c r="V69" i="161"/>
  <c r="V80" i="161"/>
  <c r="V81" i="161"/>
  <c r="V58" i="161"/>
  <c r="V60" i="161"/>
  <c r="V24" i="163"/>
  <c r="V55" i="163"/>
  <c r="V79" i="163"/>
  <c r="V85" i="163"/>
  <c r="V89" i="163"/>
  <c r="V93" i="163"/>
  <c r="V57" i="163"/>
  <c r="V72" i="163"/>
  <c r="V84" i="163"/>
  <c r="V53" i="163"/>
  <c r="U112" i="163"/>
  <c r="V112" i="163"/>
  <c r="V82" i="163"/>
  <c r="V96" i="163"/>
  <c r="V74" i="163"/>
  <c r="V83" i="163"/>
  <c r="V91" i="163"/>
  <c r="V58" i="163"/>
  <c r="V52" i="163"/>
  <c r="V61" i="163"/>
  <c r="V80" i="163"/>
  <c r="V94" i="163"/>
  <c r="V69" i="163"/>
  <c r="V53" i="165"/>
  <c r="V57" i="165"/>
  <c r="V61" i="165"/>
  <c r="V60" i="165"/>
  <c r="V69" i="165"/>
  <c r="V81" i="165"/>
  <c r="V89" i="165"/>
  <c r="V93" i="165"/>
  <c r="V97" i="165"/>
  <c r="V74" i="165"/>
  <c r="V79" i="165"/>
  <c r="V84" i="165"/>
  <c r="V95" i="165"/>
  <c r="V58" i="165"/>
  <c r="V80" i="165"/>
  <c r="V91" i="165"/>
  <c r="V96" i="165"/>
  <c r="U111" i="165"/>
  <c r="V111" i="165"/>
  <c r="V71" i="165"/>
  <c r="V82" i="165"/>
  <c r="U112" i="165"/>
  <c r="V112" i="165"/>
  <c r="V72" i="165"/>
  <c r="V83" i="165"/>
  <c r="V94" i="165"/>
  <c r="V87" i="165"/>
  <c r="V52" i="165"/>
  <c r="V53" i="167"/>
  <c r="V57" i="167"/>
  <c r="V69" i="167"/>
  <c r="V73" i="167"/>
  <c r="V81" i="167"/>
  <c r="V85" i="167"/>
  <c r="V89" i="167"/>
  <c r="V97" i="167"/>
  <c r="U111" i="167"/>
  <c r="V111" i="167"/>
  <c r="V91" i="167"/>
  <c r="V96" i="167"/>
  <c r="V60" i="167"/>
  <c r="V82" i="167"/>
  <c r="V83" i="167"/>
  <c r="V94" i="167"/>
  <c r="V74" i="167"/>
  <c r="V84" i="167"/>
  <c r="V95" i="167"/>
  <c r="V58" i="167"/>
  <c r="V52" i="167"/>
  <c r="V79" i="167"/>
  <c r="V26" i="168"/>
  <c r="V44" i="170"/>
  <c r="V53" i="170"/>
  <c r="V57" i="170"/>
  <c r="V61" i="170"/>
  <c r="V69" i="170"/>
  <c r="V73" i="170"/>
  <c r="V85" i="170"/>
  <c r="V89" i="170"/>
  <c r="V93" i="170"/>
  <c r="V58" i="170"/>
  <c r="V74" i="170"/>
  <c r="V79" i="170"/>
  <c r="V84" i="170"/>
  <c r="V95" i="170"/>
  <c r="U111" i="170"/>
  <c r="V111" i="170"/>
  <c r="V91" i="170"/>
  <c r="V96" i="170"/>
  <c r="V60" i="170"/>
  <c r="V82" i="170"/>
  <c r="V94" i="170"/>
  <c r="V83" i="170"/>
  <c r="V36" i="174"/>
  <c r="V53" i="174"/>
  <c r="V57" i="174"/>
  <c r="V61" i="174"/>
  <c r="V69" i="174"/>
  <c r="V73" i="174"/>
  <c r="V81" i="174"/>
  <c r="V85" i="174"/>
  <c r="V93" i="174"/>
  <c r="V97" i="174"/>
  <c r="V58" i="174"/>
  <c r="V74" i="174"/>
  <c r="V79" i="174"/>
  <c r="V84" i="174"/>
  <c r="V95" i="174"/>
  <c r="V80" i="174"/>
  <c r="V91" i="174"/>
  <c r="V96" i="174"/>
  <c r="V71" i="174"/>
  <c r="V82" i="174"/>
  <c r="V72" i="174"/>
  <c r="V83" i="174"/>
  <c r="V55" i="174"/>
  <c r="V87" i="174"/>
  <c r="V52" i="174"/>
  <c r="V24" i="161"/>
  <c r="S111" i="167"/>
  <c r="T111" i="167"/>
  <c r="T32" i="168"/>
  <c r="T21" i="165"/>
  <c r="S112" i="165"/>
  <c r="T112" i="165"/>
  <c r="S111" i="165"/>
  <c r="T114" i="172"/>
  <c r="T32" i="175"/>
  <c r="S112" i="175"/>
  <c r="T112" i="175"/>
  <c r="T23" i="165"/>
  <c r="T24" i="158"/>
  <c r="T57" i="158"/>
  <c r="T69" i="158"/>
  <c r="T73" i="158"/>
  <c r="T85" i="158"/>
  <c r="T89" i="158"/>
  <c r="S111" i="158"/>
  <c r="T111" i="158"/>
  <c r="T91" i="158"/>
  <c r="T96" i="158"/>
  <c r="T71" i="158"/>
  <c r="T83" i="158"/>
  <c r="T60" i="158"/>
  <c r="T72" i="158"/>
  <c r="S112" i="158"/>
  <c r="T52" i="158"/>
  <c r="T95" i="158"/>
  <c r="T26" i="159"/>
  <c r="T61" i="159"/>
  <c r="T81" i="159"/>
  <c r="T93" i="159"/>
  <c r="T60" i="159"/>
  <c r="T82" i="159"/>
  <c r="T87" i="159"/>
  <c r="S112" i="159"/>
  <c r="T112" i="159"/>
  <c r="T83" i="159"/>
  <c r="S111" i="159"/>
  <c r="T111" i="159"/>
  <c r="T79" i="159"/>
  <c r="T72" i="159"/>
  <c r="T84" i="159"/>
  <c r="T95" i="159"/>
  <c r="T74" i="159"/>
  <c r="T52" i="159"/>
  <c r="T80" i="159"/>
  <c r="T53" i="163"/>
  <c r="T61" i="163"/>
  <c r="T69" i="163"/>
  <c r="T60" i="163"/>
  <c r="T71" i="163"/>
  <c r="T81" i="163"/>
  <c r="T89" i="163"/>
  <c r="S111" i="163"/>
  <c r="T111" i="163"/>
  <c r="T74" i="163"/>
  <c r="T96" i="163"/>
  <c r="S112" i="163"/>
  <c r="T112" i="163"/>
  <c r="T79" i="163"/>
  <c r="T94" i="163"/>
  <c r="T58" i="163"/>
  <c r="T83" i="163"/>
  <c r="T95" i="163"/>
  <c r="T21" i="168"/>
  <c r="T25" i="168"/>
  <c r="T24" i="169"/>
  <c r="T20" i="175"/>
  <c r="T25" i="175"/>
  <c r="T113" i="161"/>
  <c r="T53" i="161"/>
  <c r="T57" i="161"/>
  <c r="T61" i="161"/>
  <c r="T69" i="161"/>
  <c r="T81" i="161"/>
  <c r="T85" i="161"/>
  <c r="T93" i="161"/>
  <c r="T74" i="161"/>
  <c r="T84" i="161"/>
  <c r="T95" i="161"/>
  <c r="T71" i="161"/>
  <c r="T80" i="161"/>
  <c r="T82" i="161"/>
  <c r="T52" i="161"/>
  <c r="T83" i="161"/>
  <c r="T96" i="161"/>
  <c r="T87" i="161"/>
  <c r="T91" i="161"/>
  <c r="T26" i="163"/>
  <c r="T115" i="164"/>
  <c r="S111" i="164"/>
  <c r="S112" i="164"/>
  <c r="T112" i="164"/>
  <c r="T20" i="165"/>
  <c r="T24" i="170"/>
  <c r="S111" i="170"/>
  <c r="T111" i="170"/>
  <c r="T25" i="172"/>
  <c r="S112" i="173"/>
  <c r="T112" i="173"/>
  <c r="T26" i="175"/>
  <c r="R23" i="159"/>
  <c r="R53" i="159"/>
  <c r="R57" i="159"/>
  <c r="R61" i="159"/>
  <c r="R69" i="159"/>
  <c r="R81" i="159"/>
  <c r="R85" i="159"/>
  <c r="R89" i="159"/>
  <c r="R93" i="159"/>
  <c r="R72" i="159"/>
  <c r="R83" i="159"/>
  <c r="R94" i="159"/>
  <c r="R58" i="159"/>
  <c r="R71" i="159"/>
  <c r="R79" i="159"/>
  <c r="R55" i="159"/>
  <c r="R95" i="159"/>
  <c r="Q111" i="159"/>
  <c r="R87" i="159"/>
  <c r="R96" i="159"/>
  <c r="R60" i="159"/>
  <c r="R80" i="159"/>
  <c r="R74" i="159"/>
  <c r="R52" i="159"/>
  <c r="R82" i="159"/>
  <c r="R91" i="159"/>
  <c r="R57" i="158"/>
  <c r="R61" i="158"/>
  <c r="R73" i="158"/>
  <c r="R81" i="158"/>
  <c r="R93" i="158"/>
  <c r="R60" i="158"/>
  <c r="R82" i="158"/>
  <c r="R87" i="158"/>
  <c r="Q111" i="158"/>
  <c r="R111" i="158"/>
  <c r="R74" i="158"/>
  <c r="R80" i="158"/>
  <c r="Q112" i="158"/>
  <c r="R112" i="158"/>
  <c r="R72" i="158"/>
  <c r="R83" i="158"/>
  <c r="R91" i="158"/>
  <c r="R52" i="158"/>
  <c r="R84" i="158"/>
  <c r="R94" i="158"/>
  <c r="R58" i="158"/>
  <c r="R96" i="158"/>
  <c r="Q112" i="165"/>
  <c r="R112" i="165"/>
  <c r="Q111" i="165"/>
  <c r="Q111" i="170"/>
  <c r="R115" i="173"/>
  <c r="Q112" i="173"/>
  <c r="R112" i="173"/>
  <c r="Q111" i="173"/>
  <c r="R32" i="174"/>
  <c r="Q111" i="175"/>
  <c r="R111" i="175"/>
  <c r="R24" i="174"/>
  <c r="R23" i="163"/>
  <c r="R53" i="163"/>
  <c r="R69" i="163"/>
  <c r="R82" i="163"/>
  <c r="R94" i="163"/>
  <c r="R93" i="163"/>
  <c r="R58" i="163"/>
  <c r="R91" i="163"/>
  <c r="Q111" i="163"/>
  <c r="R111" i="163"/>
  <c r="R79" i="163"/>
  <c r="R85" i="163"/>
  <c r="R60" i="163"/>
  <c r="R71" i="163"/>
  <c r="R95" i="163"/>
  <c r="R96" i="163"/>
  <c r="R81" i="163"/>
  <c r="R52" i="163"/>
  <c r="R45" i="161"/>
  <c r="R53" i="161"/>
  <c r="R61" i="161"/>
  <c r="R69" i="161"/>
  <c r="R73" i="161"/>
  <c r="R81" i="161"/>
  <c r="R85" i="161"/>
  <c r="R89" i="161"/>
  <c r="R93" i="161"/>
  <c r="Q111" i="161"/>
  <c r="R80" i="161"/>
  <c r="R91" i="161"/>
  <c r="R96" i="161"/>
  <c r="R74" i="161"/>
  <c r="R82" i="161"/>
  <c r="R95" i="161"/>
  <c r="R84" i="161"/>
  <c r="R94" i="161"/>
  <c r="R52" i="161"/>
  <c r="R58" i="161"/>
  <c r="R87" i="161"/>
  <c r="Q112" i="161"/>
  <c r="R112" i="161"/>
  <c r="R71" i="161"/>
  <c r="R79" i="161"/>
  <c r="R72" i="161"/>
  <c r="Q112" i="167"/>
  <c r="R112" i="167"/>
  <c r="Q111" i="167"/>
  <c r="R111" i="167"/>
  <c r="R23" i="168"/>
  <c r="Q112" i="168"/>
  <c r="R112" i="168"/>
  <c r="Q111" i="168"/>
  <c r="R25" i="163"/>
  <c r="R19" i="167"/>
  <c r="R25" i="172"/>
  <c r="P26" i="165"/>
  <c r="O111" i="165"/>
  <c r="P111" i="165"/>
  <c r="O112" i="165"/>
  <c r="P112" i="165"/>
  <c r="P58" i="161"/>
  <c r="P74" i="161"/>
  <c r="P82" i="161"/>
  <c r="P60" i="161"/>
  <c r="P71" i="161"/>
  <c r="P81" i="161"/>
  <c r="P87" i="161"/>
  <c r="P53" i="161"/>
  <c r="P61" i="161"/>
  <c r="P83" i="161"/>
  <c r="P89" i="161"/>
  <c r="P96" i="161"/>
  <c r="P57" i="161"/>
  <c r="P85" i="161"/>
  <c r="P95" i="161"/>
  <c r="O111" i="161"/>
  <c r="P69" i="161"/>
  <c r="P72" i="161"/>
  <c r="P80" i="161"/>
  <c r="P91" i="161"/>
  <c r="P73" i="161"/>
  <c r="P93" i="161"/>
  <c r="O111" i="167"/>
  <c r="P111" i="167"/>
  <c r="O112" i="167"/>
  <c r="P112" i="167"/>
  <c r="P23" i="168"/>
  <c r="O111" i="168"/>
  <c r="P111" i="168"/>
  <c r="O112" i="168"/>
  <c r="P112" i="168"/>
  <c r="P114" i="170"/>
  <c r="O111" i="170"/>
  <c r="O112" i="170"/>
  <c r="P112" i="170"/>
  <c r="O112" i="174"/>
  <c r="P112" i="174"/>
  <c r="P46" i="164"/>
  <c r="O112" i="164"/>
  <c r="P112" i="164"/>
  <c r="P27" i="158"/>
  <c r="P58" i="158"/>
  <c r="P74" i="158"/>
  <c r="P82" i="158"/>
  <c r="P61" i="158"/>
  <c r="P72" i="158"/>
  <c r="P83" i="158"/>
  <c r="P93" i="158"/>
  <c r="P53" i="158"/>
  <c r="P60" i="158"/>
  <c r="P89" i="158"/>
  <c r="P96" i="158"/>
  <c r="P71" i="158"/>
  <c r="P80" i="158"/>
  <c r="P91" i="158"/>
  <c r="P52" i="158"/>
  <c r="P73" i="158"/>
  <c r="P85" i="158"/>
  <c r="P95" i="158"/>
  <c r="O111" i="158"/>
  <c r="P69" i="158"/>
  <c r="O112" i="175"/>
  <c r="P112" i="175"/>
  <c r="P58" i="159"/>
  <c r="O112" i="159"/>
  <c r="P112" i="159"/>
  <c r="P74" i="159"/>
  <c r="P82" i="159"/>
  <c r="P94" i="159"/>
  <c r="P57" i="159"/>
  <c r="P73" i="159"/>
  <c r="P79" i="159"/>
  <c r="P89" i="159"/>
  <c r="P95" i="159"/>
  <c r="O111" i="159"/>
  <c r="P72" i="159"/>
  <c r="P80" i="159"/>
  <c r="P93" i="159"/>
  <c r="P85" i="159"/>
  <c r="P96" i="159"/>
  <c r="P60" i="159"/>
  <c r="P69" i="159"/>
  <c r="P52" i="159"/>
  <c r="P53" i="159"/>
  <c r="P71" i="159"/>
  <c r="P81" i="159"/>
  <c r="P91" i="159"/>
  <c r="P83" i="159"/>
  <c r="P58" i="163"/>
  <c r="O112" i="163"/>
  <c r="P112" i="163"/>
  <c r="P74" i="163"/>
  <c r="P57" i="163"/>
  <c r="P79" i="163"/>
  <c r="P87" i="163"/>
  <c r="P95" i="163"/>
  <c r="P89" i="163"/>
  <c r="O111" i="163"/>
  <c r="P85" i="163"/>
  <c r="P53" i="163"/>
  <c r="P20" i="164"/>
  <c r="P25" i="169"/>
  <c r="O111" i="169"/>
  <c r="P111" i="169"/>
  <c r="O112" i="169"/>
  <c r="P112" i="169"/>
  <c r="O111" i="173"/>
  <c r="P111" i="173"/>
  <c r="O112" i="173"/>
  <c r="P112" i="173"/>
  <c r="N24" i="168"/>
  <c r="M112" i="168"/>
  <c r="N112" i="168"/>
  <c r="M111" i="168"/>
  <c r="N111" i="168"/>
  <c r="M112" i="169"/>
  <c r="N112" i="169"/>
  <c r="N42" i="161"/>
  <c r="M111" i="161"/>
  <c r="N111" i="161"/>
  <c r="N79" i="161"/>
  <c r="N83" i="161"/>
  <c r="N91" i="161"/>
  <c r="N95" i="161"/>
  <c r="N60" i="161"/>
  <c r="N72" i="161"/>
  <c r="N80" i="161"/>
  <c r="N57" i="161"/>
  <c r="N81" i="161"/>
  <c r="N89" i="161"/>
  <c r="N74" i="161"/>
  <c r="N82" i="161"/>
  <c r="N61" i="161"/>
  <c r="M112" i="161"/>
  <c r="N112" i="161"/>
  <c r="N94" i="161"/>
  <c r="N85" i="161"/>
  <c r="M111" i="164"/>
  <c r="N111" i="164"/>
  <c r="M111" i="158"/>
  <c r="N111" i="158"/>
  <c r="N79" i="158"/>
  <c r="N83" i="158"/>
  <c r="N91" i="158"/>
  <c r="N60" i="158"/>
  <c r="N72" i="158"/>
  <c r="N80" i="158"/>
  <c r="N96" i="158"/>
  <c r="N53" i="158"/>
  <c r="N61" i="158"/>
  <c r="N85" i="158"/>
  <c r="N93" i="158"/>
  <c r="M112" i="158"/>
  <c r="N112" i="158"/>
  <c r="N94" i="158"/>
  <c r="N57" i="158"/>
  <c r="N73" i="158"/>
  <c r="N89" i="158"/>
  <c r="N58" i="158"/>
  <c r="N81" i="158"/>
  <c r="N52" i="158"/>
  <c r="N82" i="158"/>
  <c r="N28" i="161"/>
  <c r="N20" i="163"/>
  <c r="M111" i="165"/>
  <c r="N111" i="165"/>
  <c r="N21" i="168"/>
  <c r="N44" i="170"/>
  <c r="M112" i="170"/>
  <c r="N112" i="170"/>
  <c r="M111" i="170"/>
  <c r="N24" i="172"/>
  <c r="N24" i="163"/>
  <c r="N55" i="163"/>
  <c r="N71" i="163"/>
  <c r="N79" i="163"/>
  <c r="N60" i="163"/>
  <c r="N80" i="163"/>
  <c r="N57" i="163"/>
  <c r="N73" i="163"/>
  <c r="N81" i="163"/>
  <c r="N85" i="163"/>
  <c r="N93" i="163"/>
  <c r="N74" i="163"/>
  <c r="N82" i="163"/>
  <c r="N94" i="163"/>
  <c r="N53" i="163"/>
  <c r="N69" i="163"/>
  <c r="N83" i="163"/>
  <c r="N84" i="163"/>
  <c r="N95" i="163"/>
  <c r="N96" i="163"/>
  <c r="N52" i="163"/>
  <c r="N61" i="163"/>
  <c r="M112" i="163"/>
  <c r="M112" i="173"/>
  <c r="N112" i="173"/>
  <c r="M111" i="173"/>
  <c r="M111" i="175"/>
  <c r="N111" i="175"/>
  <c r="N24" i="159"/>
  <c r="N55" i="159"/>
  <c r="M111" i="159"/>
  <c r="N111" i="159"/>
  <c r="N71" i="159"/>
  <c r="N87" i="159"/>
  <c r="N95" i="159"/>
  <c r="N72" i="159"/>
  <c r="N84" i="159"/>
  <c r="N96" i="159"/>
  <c r="N57" i="159"/>
  <c r="N73" i="159"/>
  <c r="N81" i="159"/>
  <c r="N82" i="159"/>
  <c r="N69" i="159"/>
  <c r="N85" i="159"/>
  <c r="N94" i="159"/>
  <c r="N19" i="161"/>
  <c r="N19" i="163"/>
  <c r="N26" i="164"/>
  <c r="M112" i="167"/>
  <c r="M111" i="167"/>
  <c r="N111" i="167"/>
  <c r="N25" i="168"/>
  <c r="N36" i="174"/>
  <c r="M111" i="174"/>
  <c r="N111" i="174"/>
  <c r="L24" i="159"/>
  <c r="K111" i="159"/>
  <c r="L71" i="159"/>
  <c r="L79" i="159"/>
  <c r="L83" i="159"/>
  <c r="L87" i="159"/>
  <c r="L91" i="159"/>
  <c r="L69" i="159"/>
  <c r="L80" i="159"/>
  <c r="L85" i="159"/>
  <c r="L96" i="159"/>
  <c r="L60" i="159"/>
  <c r="L73" i="159"/>
  <c r="L81" i="159"/>
  <c r="L94" i="159"/>
  <c r="L52" i="159"/>
  <c r="L61" i="159"/>
  <c r="L89" i="159"/>
  <c r="K112" i="159"/>
  <c r="L72" i="159"/>
  <c r="L82" i="159"/>
  <c r="L93" i="159"/>
  <c r="L84" i="159"/>
  <c r="K111" i="161"/>
  <c r="L111" i="161"/>
  <c r="L71" i="161"/>
  <c r="L83" i="161"/>
  <c r="L87" i="161"/>
  <c r="L95" i="161"/>
  <c r="L61" i="161"/>
  <c r="L72" i="161"/>
  <c r="L82" i="161"/>
  <c r="L93" i="161"/>
  <c r="K112" i="161"/>
  <c r="L112" i="161"/>
  <c r="L84" i="161"/>
  <c r="L58" i="161"/>
  <c r="L96" i="161"/>
  <c r="L60" i="161"/>
  <c r="L89" i="161"/>
  <c r="L73" i="161"/>
  <c r="L81" i="161"/>
  <c r="L57" i="161"/>
  <c r="L74" i="161"/>
  <c r="L85" i="161"/>
  <c r="L52" i="161"/>
  <c r="L24" i="169"/>
  <c r="K111" i="169"/>
  <c r="L111" i="169"/>
  <c r="K112" i="169"/>
  <c r="L112" i="169"/>
  <c r="K112" i="172"/>
  <c r="L112" i="172"/>
  <c r="L21" i="158"/>
  <c r="L24" i="170"/>
  <c r="K111" i="170"/>
  <c r="K112" i="170"/>
  <c r="L26" i="172"/>
  <c r="L28" i="172"/>
  <c r="L21" i="173"/>
  <c r="L19" i="172"/>
  <c r="L25" i="172"/>
  <c r="L19" i="173"/>
  <c r="L26" i="173"/>
  <c r="K112" i="175"/>
  <c r="L112" i="175"/>
  <c r="K111" i="175"/>
  <c r="L111" i="175"/>
  <c r="L24" i="158"/>
  <c r="K111" i="158"/>
  <c r="L111" i="158"/>
  <c r="L71" i="158"/>
  <c r="L83" i="158"/>
  <c r="L87" i="158"/>
  <c r="K112" i="158"/>
  <c r="L112" i="158"/>
  <c r="L73" i="158"/>
  <c r="L89" i="158"/>
  <c r="L94" i="158"/>
  <c r="L61" i="158"/>
  <c r="L69" i="158"/>
  <c r="L72" i="158"/>
  <c r="L85" i="158"/>
  <c r="L93" i="158"/>
  <c r="L60" i="158"/>
  <c r="L52" i="158"/>
  <c r="L26" i="168"/>
  <c r="K112" i="168"/>
  <c r="L112" i="168"/>
  <c r="K111" i="168"/>
  <c r="L111" i="168"/>
  <c r="K112" i="174"/>
  <c r="L112" i="174"/>
  <c r="K111" i="174"/>
  <c r="L111" i="174"/>
  <c r="L39" i="172"/>
  <c r="K112" i="173"/>
  <c r="L112" i="173"/>
  <c r="K111" i="173"/>
  <c r="L23" i="172"/>
  <c r="K111" i="163"/>
  <c r="L111" i="163"/>
  <c r="L53" i="163"/>
  <c r="L74" i="163"/>
  <c r="L84" i="163"/>
  <c r="L72" i="163"/>
  <c r="L85" i="163"/>
  <c r="L95" i="163"/>
  <c r="L60" i="163"/>
  <c r="L52" i="163"/>
  <c r="L87" i="163"/>
  <c r="L82" i="163"/>
  <c r="L83" i="163"/>
  <c r="L113" i="164"/>
  <c r="K111" i="164"/>
  <c r="L111" i="164"/>
  <c r="K112" i="164"/>
  <c r="L27" i="165"/>
  <c r="K111" i="165"/>
  <c r="L111" i="165"/>
  <c r="K112" i="165"/>
  <c r="L112" i="165"/>
  <c r="K112" i="167"/>
  <c r="L112" i="167"/>
  <c r="K111" i="167"/>
  <c r="L27" i="172"/>
  <c r="L20" i="173"/>
  <c r="L21" i="174"/>
  <c r="L26" i="175"/>
  <c r="L23" i="174"/>
  <c r="J23" i="163"/>
  <c r="J53" i="163"/>
  <c r="J57" i="163"/>
  <c r="J61" i="163"/>
  <c r="J73" i="163"/>
  <c r="I112" i="163"/>
  <c r="J72" i="163"/>
  <c r="J94" i="163"/>
  <c r="J58" i="163"/>
  <c r="J84" i="163"/>
  <c r="J91" i="163"/>
  <c r="I111" i="163"/>
  <c r="J111" i="163"/>
  <c r="J79" i="163"/>
  <c r="J60" i="163"/>
  <c r="J80" i="163"/>
  <c r="J87" i="163"/>
  <c r="J95" i="163"/>
  <c r="J89" i="163"/>
  <c r="J81" i="163"/>
  <c r="J21" i="163"/>
  <c r="J25" i="163"/>
  <c r="J20" i="163"/>
  <c r="J43" i="161"/>
  <c r="J53" i="161"/>
  <c r="J57" i="161"/>
  <c r="J61" i="161"/>
  <c r="J69" i="161"/>
  <c r="J73" i="161"/>
  <c r="J85" i="161"/>
  <c r="J89" i="161"/>
  <c r="J93" i="161"/>
  <c r="I111" i="161"/>
  <c r="J111" i="161"/>
  <c r="J80" i="161"/>
  <c r="J91" i="161"/>
  <c r="J74" i="161"/>
  <c r="J82" i="161"/>
  <c r="J95" i="161"/>
  <c r="J84" i="161"/>
  <c r="J94" i="161"/>
  <c r="J52" i="161"/>
  <c r="J58" i="161"/>
  <c r="J87" i="161"/>
  <c r="I112" i="161"/>
  <c r="J112" i="161"/>
  <c r="J71" i="161"/>
  <c r="J79" i="161"/>
  <c r="J72" i="161"/>
  <c r="J24" i="161"/>
  <c r="J23" i="173"/>
  <c r="I112" i="173"/>
  <c r="I111" i="173"/>
  <c r="J111" i="173"/>
  <c r="J21" i="170"/>
  <c r="J26" i="173"/>
  <c r="J23" i="159"/>
  <c r="J53" i="159"/>
  <c r="J57" i="159"/>
  <c r="J69" i="159"/>
  <c r="J81" i="159"/>
  <c r="J85" i="159"/>
  <c r="J89" i="159"/>
  <c r="J93" i="159"/>
  <c r="I112" i="159"/>
  <c r="J112" i="159"/>
  <c r="J72" i="159"/>
  <c r="J94" i="159"/>
  <c r="J58" i="159"/>
  <c r="J71" i="159"/>
  <c r="J84" i="159"/>
  <c r="I111" i="159"/>
  <c r="J111" i="159"/>
  <c r="J96" i="159"/>
  <c r="J60" i="159"/>
  <c r="I112" i="167"/>
  <c r="J112" i="167"/>
  <c r="I111" i="167"/>
  <c r="I112" i="169"/>
  <c r="J112" i="169"/>
  <c r="I111" i="169"/>
  <c r="J111" i="169"/>
  <c r="J23" i="172"/>
  <c r="I112" i="172"/>
  <c r="J112" i="172"/>
  <c r="J32" i="174"/>
  <c r="I111" i="174"/>
  <c r="J111" i="174"/>
  <c r="I112" i="174"/>
  <c r="J19" i="173"/>
  <c r="J45" i="170"/>
  <c r="I112" i="170"/>
  <c r="J112" i="170"/>
  <c r="I111" i="170"/>
  <c r="J53" i="158"/>
  <c r="J69" i="158"/>
  <c r="J81" i="158"/>
  <c r="J85" i="158"/>
  <c r="J60" i="158"/>
  <c r="J71" i="158"/>
  <c r="J82" i="158"/>
  <c r="J87" i="158"/>
  <c r="I111" i="158"/>
  <c r="J95" i="158"/>
  <c r="I112" i="158"/>
  <c r="J112" i="158"/>
  <c r="J79" i="158"/>
  <c r="J91" i="158"/>
  <c r="J58" i="158"/>
  <c r="I112" i="164"/>
  <c r="J112" i="164"/>
  <c r="I111" i="164"/>
  <c r="I112" i="165"/>
  <c r="I111" i="165"/>
  <c r="J111" i="165"/>
  <c r="J28" i="168"/>
  <c r="I112" i="168"/>
  <c r="J112" i="168"/>
  <c r="I111" i="168"/>
  <c r="J111" i="168"/>
  <c r="J19" i="170"/>
  <c r="I111" i="175"/>
  <c r="J111" i="175"/>
  <c r="I112" i="175"/>
  <c r="J112" i="175"/>
  <c r="H58" i="163"/>
  <c r="G112" i="163"/>
  <c r="H112" i="163"/>
  <c r="H74" i="163"/>
  <c r="H57" i="163"/>
  <c r="H73" i="163"/>
  <c r="H83" i="163"/>
  <c r="H87" i="163"/>
  <c r="H91" i="163"/>
  <c r="H95" i="163"/>
  <c r="H71" i="163"/>
  <c r="H84" i="163"/>
  <c r="H89" i="163"/>
  <c r="H94" i="163"/>
  <c r="H60" i="163"/>
  <c r="H69" i="163"/>
  <c r="H80" i="163"/>
  <c r="H93" i="163"/>
  <c r="H82" i="163"/>
  <c r="H55" i="163"/>
  <c r="H81" i="163"/>
  <c r="H53" i="163"/>
  <c r="H96" i="163"/>
  <c r="H72" i="163"/>
  <c r="H61" i="163"/>
  <c r="G111" i="169"/>
  <c r="H111" i="169"/>
  <c r="H58" i="158"/>
  <c r="G112" i="158"/>
  <c r="H74" i="158"/>
  <c r="H82" i="158"/>
  <c r="H94" i="158"/>
  <c r="H72" i="158"/>
  <c r="H93" i="158"/>
  <c r="H53" i="158"/>
  <c r="H60" i="158"/>
  <c r="H81" i="158"/>
  <c r="H89" i="158"/>
  <c r="H96" i="158"/>
  <c r="H71" i="158"/>
  <c r="H80" i="158"/>
  <c r="H91" i="158"/>
  <c r="H52" i="158"/>
  <c r="H73" i="158"/>
  <c r="H84" i="158"/>
  <c r="G111" i="158"/>
  <c r="H79" i="158"/>
  <c r="H87" i="158"/>
  <c r="H57" i="158"/>
  <c r="H85" i="158"/>
  <c r="H69" i="158"/>
  <c r="H95" i="158"/>
  <c r="G112" i="161"/>
  <c r="H112" i="161"/>
  <c r="H74" i="161"/>
  <c r="H82" i="161"/>
  <c r="H94" i="161"/>
  <c r="H60" i="161"/>
  <c r="H71" i="161"/>
  <c r="H81" i="161"/>
  <c r="H87" i="161"/>
  <c r="H53" i="161"/>
  <c r="H61" i="161"/>
  <c r="H83" i="161"/>
  <c r="H89" i="161"/>
  <c r="H96" i="161"/>
  <c r="H57" i="161"/>
  <c r="H85" i="161"/>
  <c r="H95" i="161"/>
  <c r="H79" i="161"/>
  <c r="H73" i="161"/>
  <c r="H93" i="161"/>
  <c r="H84" i="161"/>
  <c r="H80" i="161"/>
  <c r="H72" i="161"/>
  <c r="H91" i="161"/>
  <c r="H52" i="161"/>
  <c r="H25" i="163"/>
  <c r="H27" i="165"/>
  <c r="G111" i="165"/>
  <c r="H111" i="165"/>
  <c r="G112" i="165"/>
  <c r="H112" i="165"/>
  <c r="H31" i="168"/>
  <c r="G112" i="168"/>
  <c r="H112" i="168"/>
  <c r="H25" i="161"/>
  <c r="H26" i="168"/>
  <c r="G112" i="170"/>
  <c r="H112" i="170"/>
  <c r="H20" i="169"/>
  <c r="G112" i="174"/>
  <c r="H112" i="174"/>
  <c r="H31" i="175"/>
  <c r="G112" i="175"/>
  <c r="H112" i="175"/>
  <c r="G111" i="175"/>
  <c r="H111" i="175"/>
  <c r="H27" i="161"/>
  <c r="H114" i="164"/>
  <c r="G112" i="164"/>
  <c r="H112" i="164"/>
  <c r="G111" i="167"/>
  <c r="H111" i="167"/>
  <c r="G112" i="172"/>
  <c r="H112" i="172"/>
  <c r="H27" i="174"/>
  <c r="H58" i="159"/>
  <c r="G112" i="159"/>
  <c r="H112" i="159"/>
  <c r="H74" i="159"/>
  <c r="H94" i="159"/>
  <c r="H57" i="159"/>
  <c r="H73" i="159"/>
  <c r="H79" i="159"/>
  <c r="H84" i="159"/>
  <c r="H89" i="159"/>
  <c r="H95" i="159"/>
  <c r="H72" i="159"/>
  <c r="H80" i="159"/>
  <c r="H87" i="159"/>
  <c r="H93" i="159"/>
  <c r="H85" i="159"/>
  <c r="H96" i="159"/>
  <c r="H60" i="159"/>
  <c r="H69" i="159"/>
  <c r="H83" i="159"/>
  <c r="H61" i="159"/>
  <c r="H91" i="159"/>
  <c r="H81" i="159"/>
  <c r="H52" i="159"/>
  <c r="H71" i="159"/>
  <c r="H53" i="159"/>
  <c r="H20" i="167"/>
  <c r="H27" i="167"/>
  <c r="H19" i="168"/>
  <c r="H25" i="168"/>
  <c r="H113" i="173"/>
  <c r="F19" i="163"/>
  <c r="F25" i="165"/>
  <c r="F25" i="161"/>
  <c r="F19" i="161"/>
  <c r="F25" i="163"/>
  <c r="F19" i="169"/>
  <c r="F20" i="161"/>
  <c r="F21" i="164"/>
  <c r="U111" i="195"/>
  <c r="O111" i="195"/>
  <c r="P111" i="195"/>
  <c r="E116" i="194"/>
  <c r="F116" i="194"/>
  <c r="F26" i="163"/>
  <c r="F20" i="163"/>
  <c r="F19" i="172"/>
  <c r="F21" i="172"/>
  <c r="E112" i="167"/>
  <c r="F112" i="167"/>
  <c r="F36" i="174"/>
  <c r="E112" i="174"/>
  <c r="F112" i="174"/>
  <c r="E111" i="174"/>
  <c r="F111" i="174"/>
  <c r="F27" i="167"/>
  <c r="F20" i="173"/>
  <c r="F21" i="174"/>
  <c r="F27" i="174"/>
  <c r="F23" i="174"/>
  <c r="F24" i="159"/>
  <c r="F53" i="159"/>
  <c r="F57" i="159"/>
  <c r="F61" i="159"/>
  <c r="F69" i="159"/>
  <c r="F73" i="159"/>
  <c r="F81" i="159"/>
  <c r="F85" i="159"/>
  <c r="F89" i="159"/>
  <c r="F93" i="159"/>
  <c r="E112" i="159"/>
  <c r="F72" i="159"/>
  <c r="F83" i="159"/>
  <c r="F94" i="159"/>
  <c r="F58" i="159"/>
  <c r="F74" i="159"/>
  <c r="F79" i="159"/>
  <c r="F84" i="159"/>
  <c r="F95" i="159"/>
  <c r="E111" i="159"/>
  <c r="F111" i="159"/>
  <c r="F80" i="159"/>
  <c r="F91" i="159"/>
  <c r="F60" i="159"/>
  <c r="F71" i="159"/>
  <c r="F82" i="159"/>
  <c r="F87" i="159"/>
  <c r="F96" i="159"/>
  <c r="F52" i="159"/>
  <c r="F53" i="161"/>
  <c r="F57" i="161"/>
  <c r="F61" i="161"/>
  <c r="F69" i="161"/>
  <c r="F73" i="161"/>
  <c r="F81" i="161"/>
  <c r="F85" i="161"/>
  <c r="F89" i="161"/>
  <c r="F93" i="161"/>
  <c r="E111" i="161"/>
  <c r="F111" i="161"/>
  <c r="F80" i="161"/>
  <c r="F91" i="161"/>
  <c r="F96" i="161"/>
  <c r="F60" i="161"/>
  <c r="F71" i="161"/>
  <c r="F82" i="161"/>
  <c r="F87" i="161"/>
  <c r="E112" i="161"/>
  <c r="F112" i="161"/>
  <c r="F72" i="161"/>
  <c r="F83" i="161"/>
  <c r="F94" i="161"/>
  <c r="F74" i="161"/>
  <c r="F84" i="161"/>
  <c r="F95" i="161"/>
  <c r="F52" i="161"/>
  <c r="F79" i="161"/>
  <c r="F58" i="161"/>
  <c r="E112" i="164"/>
  <c r="F112" i="164"/>
  <c r="E111" i="164"/>
  <c r="F111" i="164"/>
  <c r="E112" i="169"/>
  <c r="F112" i="169"/>
  <c r="E111" i="169"/>
  <c r="E116" i="169"/>
  <c r="F116" i="169"/>
  <c r="E112" i="172"/>
  <c r="F112" i="172"/>
  <c r="F19" i="174"/>
  <c r="F20" i="174"/>
  <c r="F24" i="161"/>
  <c r="F53" i="158"/>
  <c r="F57" i="158"/>
  <c r="F61" i="158"/>
  <c r="F69" i="158"/>
  <c r="F73" i="158"/>
  <c r="F81" i="158"/>
  <c r="F85" i="158"/>
  <c r="F89" i="158"/>
  <c r="F93" i="158"/>
  <c r="F60" i="158"/>
  <c r="F71" i="158"/>
  <c r="F82" i="158"/>
  <c r="F87" i="158"/>
  <c r="E112" i="158"/>
  <c r="F112" i="158"/>
  <c r="F72" i="158"/>
  <c r="F83" i="158"/>
  <c r="F94" i="158"/>
  <c r="F58" i="158"/>
  <c r="F79" i="158"/>
  <c r="E111" i="158"/>
  <c r="F80" i="158"/>
  <c r="F91" i="158"/>
  <c r="F74" i="158"/>
  <c r="F95" i="158"/>
  <c r="F96" i="158"/>
  <c r="F84" i="158"/>
  <c r="F52" i="158"/>
  <c r="F24" i="168"/>
  <c r="E112" i="173"/>
  <c r="F112" i="173"/>
  <c r="E111" i="173"/>
  <c r="F111" i="173"/>
  <c r="F27" i="173"/>
  <c r="F25" i="174"/>
  <c r="F24" i="163"/>
  <c r="F53" i="163"/>
  <c r="F57" i="163"/>
  <c r="F61" i="163"/>
  <c r="F69" i="163"/>
  <c r="F73" i="163"/>
  <c r="E112" i="163"/>
  <c r="F112" i="163"/>
  <c r="F72" i="163"/>
  <c r="F82" i="163"/>
  <c r="F94" i="163"/>
  <c r="F58" i="163"/>
  <c r="F74" i="163"/>
  <c r="F79" i="163"/>
  <c r="F83" i="163"/>
  <c r="F87" i="163"/>
  <c r="F91" i="163"/>
  <c r="F95" i="163"/>
  <c r="F84" i="163"/>
  <c r="F55" i="163"/>
  <c r="F85" i="163"/>
  <c r="F93" i="163"/>
  <c r="F71" i="163"/>
  <c r="F89" i="163"/>
  <c r="E111" i="163"/>
  <c r="F96" i="163"/>
  <c r="F52" i="163"/>
  <c r="F60" i="163"/>
  <c r="F80" i="163"/>
  <c r="F81" i="163"/>
  <c r="E112" i="165"/>
  <c r="E111" i="165"/>
  <c r="F111" i="165"/>
  <c r="F44" i="170"/>
  <c r="E112" i="170"/>
  <c r="F112" i="170"/>
  <c r="E111" i="170"/>
  <c r="F25" i="173"/>
  <c r="F26" i="174"/>
  <c r="E112" i="175"/>
  <c r="F112" i="175"/>
  <c r="E111" i="175"/>
  <c r="F111" i="175"/>
  <c r="P20" i="175"/>
  <c r="P21" i="175"/>
  <c r="P19" i="175"/>
  <c r="P26" i="175"/>
  <c r="P27" i="175"/>
  <c r="P25" i="175"/>
  <c r="L25" i="175"/>
  <c r="L27" i="175"/>
  <c r="H19" i="175"/>
  <c r="H20" i="175"/>
  <c r="H21" i="175"/>
  <c r="H25" i="175"/>
  <c r="H26" i="175"/>
  <c r="H27" i="175"/>
  <c r="D19" i="175"/>
  <c r="D26" i="175"/>
  <c r="D20" i="175"/>
  <c r="D27" i="175"/>
  <c r="D25" i="175"/>
  <c r="V27" i="174"/>
  <c r="R27" i="174"/>
  <c r="P25" i="174"/>
  <c r="P20" i="174"/>
  <c r="P24" i="174"/>
  <c r="L24" i="174"/>
  <c r="L26" i="174"/>
  <c r="D19" i="174"/>
  <c r="D21" i="174"/>
  <c r="D23" i="174"/>
  <c r="V20" i="173"/>
  <c r="T20" i="173"/>
  <c r="T19" i="173"/>
  <c r="T21" i="173"/>
  <c r="T25" i="173"/>
  <c r="T27" i="173"/>
  <c r="T23" i="173"/>
  <c r="T26" i="173"/>
  <c r="R26" i="173"/>
  <c r="P24" i="173"/>
  <c r="H25" i="173"/>
  <c r="H24" i="173"/>
  <c r="H19" i="173"/>
  <c r="H27" i="173"/>
  <c r="D23" i="173"/>
  <c r="D19" i="173"/>
  <c r="D26" i="173"/>
  <c r="D20" i="173"/>
  <c r="V19" i="172"/>
  <c r="T21" i="172"/>
  <c r="T27" i="172"/>
  <c r="T23" i="172"/>
  <c r="T20" i="172"/>
  <c r="R46" i="172"/>
  <c r="R20" i="172"/>
  <c r="R27" i="172"/>
  <c r="N19" i="172"/>
  <c r="N26" i="172"/>
  <c r="L43" i="172"/>
  <c r="L21" i="172"/>
  <c r="H20" i="172"/>
  <c r="H21" i="172"/>
  <c r="H25" i="172"/>
  <c r="H24" i="172"/>
  <c r="H26" i="172"/>
  <c r="H27" i="172"/>
  <c r="H19" i="172"/>
  <c r="T23" i="170"/>
  <c r="R24" i="170"/>
  <c r="R21" i="170"/>
  <c r="R25" i="170"/>
  <c r="R20" i="170"/>
  <c r="R27" i="170"/>
  <c r="P24" i="170"/>
  <c r="L23" i="170"/>
  <c r="J27" i="170"/>
  <c r="J24" i="170"/>
  <c r="H24" i="170"/>
  <c r="F19" i="170"/>
  <c r="F21" i="170"/>
  <c r="V26" i="169"/>
  <c r="V20" i="169"/>
  <c r="V25" i="169"/>
  <c r="V27" i="169"/>
  <c r="V19" i="169"/>
  <c r="V21" i="169"/>
  <c r="R26" i="169"/>
  <c r="P19" i="169"/>
  <c r="P20" i="169"/>
  <c r="N27" i="169"/>
  <c r="N25" i="169"/>
  <c r="L26" i="169"/>
  <c r="J20" i="169"/>
  <c r="J28" i="169"/>
  <c r="H25" i="169"/>
  <c r="H27" i="169"/>
  <c r="F20" i="169"/>
  <c r="T26" i="168"/>
  <c r="T27" i="168"/>
  <c r="T19" i="168"/>
  <c r="T20" i="168"/>
  <c r="T23" i="168"/>
  <c r="R25" i="168"/>
  <c r="P19" i="168"/>
  <c r="P26" i="168"/>
  <c r="P27" i="168"/>
  <c r="P24" i="168"/>
  <c r="L23" i="168"/>
  <c r="J19" i="168"/>
  <c r="J20" i="168"/>
  <c r="J21" i="168"/>
  <c r="H20" i="168"/>
  <c r="H27" i="168"/>
  <c r="H24" i="168"/>
  <c r="H21" i="168"/>
  <c r="F20" i="168"/>
  <c r="F19" i="168"/>
  <c r="D19" i="168"/>
  <c r="D28" i="168"/>
  <c r="D21" i="168"/>
  <c r="D27" i="168"/>
  <c r="D23" i="168"/>
  <c r="V25" i="167"/>
  <c r="V20" i="167"/>
  <c r="R21" i="167"/>
  <c r="R26" i="167"/>
  <c r="R20" i="167"/>
  <c r="R25" i="167"/>
  <c r="P19" i="167"/>
  <c r="P20" i="167"/>
  <c r="P21" i="167"/>
  <c r="P24" i="167"/>
  <c r="P25" i="167"/>
  <c r="P26" i="167"/>
  <c r="P27" i="167"/>
  <c r="N25" i="167"/>
  <c r="N20" i="167"/>
  <c r="J25" i="167"/>
  <c r="J21" i="167"/>
  <c r="J26" i="167"/>
  <c r="H24" i="167"/>
  <c r="H25" i="167"/>
  <c r="H33" i="167"/>
  <c r="F20" i="167"/>
  <c r="V20" i="165"/>
  <c r="V25" i="165"/>
  <c r="R20" i="165"/>
  <c r="R21" i="165"/>
  <c r="R26" i="165"/>
  <c r="N27" i="165"/>
  <c r="N20" i="165"/>
  <c r="L20" i="165"/>
  <c r="L23" i="165"/>
  <c r="J26" i="165"/>
  <c r="F20" i="165"/>
  <c r="D23" i="165"/>
  <c r="D25" i="165"/>
  <c r="D20" i="165"/>
  <c r="T26" i="164"/>
  <c r="T21" i="164"/>
  <c r="R25" i="164"/>
  <c r="R38" i="164"/>
  <c r="R21" i="164"/>
  <c r="R26" i="164"/>
  <c r="N20" i="164"/>
  <c r="N25" i="164"/>
  <c r="N28" i="164"/>
  <c r="N21" i="164"/>
  <c r="N27" i="164"/>
  <c r="L26" i="164"/>
  <c r="L23" i="164"/>
  <c r="H20" i="164"/>
  <c r="H27" i="164"/>
  <c r="H24" i="164"/>
  <c r="H25" i="164"/>
  <c r="D23" i="164"/>
  <c r="D21" i="164"/>
  <c r="D19" i="164"/>
  <c r="V27" i="163"/>
  <c r="V25" i="163"/>
  <c r="T21" i="163"/>
  <c r="R21" i="163"/>
  <c r="P20" i="163"/>
  <c r="P27" i="163"/>
  <c r="P25" i="163"/>
  <c r="D26" i="163"/>
  <c r="V20" i="161"/>
  <c r="V26" i="161"/>
  <c r="V23" i="161"/>
  <c r="T21" i="161"/>
  <c r="T23" i="161"/>
  <c r="R23" i="161"/>
  <c r="R21" i="161"/>
  <c r="R24" i="161"/>
  <c r="P25" i="161"/>
  <c r="P24" i="161"/>
  <c r="P23" i="161"/>
  <c r="N21" i="161"/>
  <c r="N24" i="161"/>
  <c r="N23" i="161"/>
  <c r="L19" i="161"/>
  <c r="L21" i="161"/>
  <c r="L26" i="161"/>
  <c r="L24" i="161"/>
  <c r="L23" i="161"/>
  <c r="J28" i="161"/>
  <c r="J23" i="161"/>
  <c r="J19" i="161"/>
  <c r="J20" i="161"/>
  <c r="J26" i="161"/>
  <c r="J27" i="161"/>
  <c r="J21" i="161"/>
  <c r="J25" i="161"/>
  <c r="H23" i="161"/>
  <c r="F26" i="161"/>
  <c r="F23" i="161"/>
  <c r="F21" i="161"/>
  <c r="R20" i="159"/>
  <c r="P21" i="159"/>
  <c r="N21" i="159"/>
  <c r="N19" i="159"/>
  <c r="V20" i="158"/>
  <c r="L23" i="159"/>
  <c r="T20" i="159"/>
  <c r="T23" i="159"/>
  <c r="L21" i="159"/>
  <c r="T42" i="159"/>
  <c r="D23" i="159"/>
  <c r="F20" i="158"/>
  <c r="F43" i="158"/>
  <c r="D23" i="158"/>
  <c r="P24" i="158"/>
  <c r="F23" i="158"/>
  <c r="R24" i="158"/>
  <c r="D27" i="158"/>
  <c r="L23" i="158"/>
  <c r="F25" i="158"/>
  <c r="V27" i="158"/>
  <c r="T23" i="158"/>
  <c r="G46" i="192"/>
  <c r="O46" i="192"/>
  <c r="C46" i="192"/>
  <c r="K46" i="192"/>
  <c r="K46" i="198"/>
  <c r="L93" i="195"/>
  <c r="L19" i="195"/>
  <c r="T26" i="195"/>
  <c r="J32" i="195"/>
  <c r="P46" i="195"/>
  <c r="N25" i="195"/>
  <c r="H23" i="195"/>
  <c r="P23" i="195"/>
  <c r="H27" i="195"/>
  <c r="P27" i="195"/>
  <c r="H37" i="195"/>
  <c r="P37" i="195"/>
  <c r="J40" i="195"/>
  <c r="H41" i="195"/>
  <c r="P41" i="195"/>
  <c r="J44" i="195"/>
  <c r="H45" i="195"/>
  <c r="P45" i="195"/>
  <c r="H97" i="195"/>
  <c r="H93" i="195"/>
  <c r="H87" i="195"/>
  <c r="H44" i="195"/>
  <c r="H42" i="195"/>
  <c r="H40" i="195"/>
  <c r="H38" i="195"/>
  <c r="H36" i="195"/>
  <c r="H32" i="195"/>
  <c r="H28" i="195"/>
  <c r="H26" i="195"/>
  <c r="H24" i="195"/>
  <c r="H21" i="195"/>
  <c r="H19" i="195"/>
  <c r="P97" i="195"/>
  <c r="P44" i="195"/>
  <c r="P42" i="195"/>
  <c r="P40" i="195"/>
  <c r="P38" i="195"/>
  <c r="P36" i="195"/>
  <c r="P32" i="195"/>
  <c r="P28" i="195"/>
  <c r="P26" i="195"/>
  <c r="P24" i="195"/>
  <c r="P21" i="195"/>
  <c r="P19" i="195"/>
  <c r="H59" i="195"/>
  <c r="P59" i="195"/>
  <c r="J97" i="195"/>
  <c r="J45" i="195"/>
  <c r="J43" i="195"/>
  <c r="J37" i="195"/>
  <c r="J27" i="195"/>
  <c r="J20" i="195"/>
  <c r="J28" i="195"/>
  <c r="J38" i="195"/>
  <c r="H39" i="195"/>
  <c r="P39" i="195"/>
  <c r="J42" i="195"/>
  <c r="H43" i="195"/>
  <c r="P43" i="195"/>
  <c r="J59" i="195"/>
  <c r="J19" i="195"/>
  <c r="J82" i="195"/>
  <c r="J114" i="195"/>
  <c r="H115" i="195"/>
  <c r="P115" i="195"/>
  <c r="L114" i="195"/>
  <c r="T114" i="195"/>
  <c r="H113" i="195"/>
  <c r="P113" i="195"/>
  <c r="J113" i="195"/>
  <c r="H114" i="195"/>
  <c r="P114" i="195"/>
  <c r="D21" i="195"/>
  <c r="D26" i="195"/>
  <c r="D24" i="195"/>
  <c r="D25" i="195"/>
  <c r="D19" i="195"/>
  <c r="D32" i="195"/>
  <c r="D20" i="195"/>
  <c r="D23" i="195"/>
  <c r="D27" i="195"/>
  <c r="D37" i="195"/>
  <c r="D45" i="195"/>
  <c r="D39" i="195"/>
  <c r="D41" i="195"/>
  <c r="D33" i="195"/>
  <c r="D43" i="195"/>
  <c r="T40" i="194"/>
  <c r="T45" i="194"/>
  <c r="T37" i="194"/>
  <c r="R37" i="194"/>
  <c r="R45" i="194"/>
  <c r="R27" i="194"/>
  <c r="R46" i="194"/>
  <c r="P27" i="194"/>
  <c r="P32" i="194"/>
  <c r="N26" i="194"/>
  <c r="N111" i="194"/>
  <c r="N21" i="194"/>
  <c r="N36" i="194"/>
  <c r="N40" i="194"/>
  <c r="L23" i="194"/>
  <c r="L46" i="194"/>
  <c r="J20" i="194"/>
  <c r="J115" i="194"/>
  <c r="J45" i="194"/>
  <c r="J27" i="194"/>
  <c r="J37" i="194"/>
  <c r="J39" i="194"/>
  <c r="H114" i="194"/>
  <c r="H26" i="194"/>
  <c r="H27" i="194"/>
  <c r="H46" i="194"/>
  <c r="H113" i="194"/>
  <c r="H19" i="194"/>
  <c r="H45" i="194"/>
  <c r="H25" i="194"/>
  <c r="H37" i="194"/>
  <c r="H38" i="194"/>
  <c r="D32" i="194"/>
  <c r="D33" i="194"/>
  <c r="D40" i="194"/>
  <c r="D28" i="194"/>
  <c r="D31" i="194"/>
  <c r="E31" i="194"/>
  <c r="E33" i="194"/>
  <c r="F33" i="194"/>
  <c r="D43" i="194"/>
  <c r="D46" i="194"/>
  <c r="D23" i="194"/>
  <c r="D27" i="194"/>
  <c r="D42" i="194"/>
  <c r="V20" i="193"/>
  <c r="V21" i="193"/>
  <c r="V23" i="193"/>
  <c r="V38" i="193"/>
  <c r="V40" i="193"/>
  <c r="V46" i="193"/>
  <c r="V58" i="193"/>
  <c r="V42" i="193"/>
  <c r="V60" i="193"/>
  <c r="T46" i="193"/>
  <c r="T21" i="193"/>
  <c r="R21" i="193"/>
  <c r="R27" i="193"/>
  <c r="R32" i="193"/>
  <c r="R37" i="193"/>
  <c r="R41" i="193"/>
  <c r="R45" i="193"/>
  <c r="R46" i="193"/>
  <c r="R23" i="193"/>
  <c r="R24" i="193"/>
  <c r="R19" i="193"/>
  <c r="R20" i="193"/>
  <c r="R25" i="193"/>
  <c r="R26" i="193"/>
  <c r="R39" i="193"/>
  <c r="R43" i="193"/>
  <c r="P20" i="193"/>
  <c r="P25" i="193"/>
  <c r="N20" i="193"/>
  <c r="N40" i="193"/>
  <c r="N19" i="193"/>
  <c r="N21" i="193"/>
  <c r="N26" i="193"/>
  <c r="N23" i="193"/>
  <c r="N25" i="193"/>
  <c r="N38" i="193"/>
  <c r="N24" i="193"/>
  <c r="N42" i="193"/>
  <c r="N36" i="193"/>
  <c r="N44" i="193"/>
  <c r="N46" i="193"/>
  <c r="J24" i="193"/>
  <c r="J27" i="193"/>
  <c r="J32" i="193"/>
  <c r="J20" i="193"/>
  <c r="J26" i="193"/>
  <c r="J37" i="193"/>
  <c r="J39" i="193"/>
  <c r="J41" i="193"/>
  <c r="J43" i="193"/>
  <c r="H46" i="193"/>
  <c r="F25" i="193"/>
  <c r="F23" i="193"/>
  <c r="F24" i="193"/>
  <c r="F36" i="193"/>
  <c r="F44" i="193"/>
  <c r="F42" i="193"/>
  <c r="F20" i="193"/>
  <c r="F21" i="193"/>
  <c r="F38" i="193"/>
  <c r="F26" i="193"/>
  <c r="F19" i="193"/>
  <c r="F40" i="193"/>
  <c r="F46" i="193"/>
  <c r="L32" i="175"/>
  <c r="D23" i="175"/>
  <c r="L23" i="175"/>
  <c r="T23" i="175"/>
  <c r="H24" i="175"/>
  <c r="P24" i="175"/>
  <c r="T33" i="175"/>
  <c r="F23" i="175"/>
  <c r="N23" i="175"/>
  <c r="V23" i="175"/>
  <c r="J24" i="175"/>
  <c r="R24" i="175"/>
  <c r="H23" i="175"/>
  <c r="P23" i="175"/>
  <c r="D24" i="175"/>
  <c r="L24" i="175"/>
  <c r="T24" i="175"/>
  <c r="J23" i="175"/>
  <c r="R23" i="175"/>
  <c r="F24" i="175"/>
  <c r="N24" i="175"/>
  <c r="V24" i="175"/>
  <c r="T23" i="174"/>
  <c r="J26" i="174"/>
  <c r="J27" i="174"/>
  <c r="N23" i="174"/>
  <c r="V23" i="174"/>
  <c r="J24" i="174"/>
  <c r="N19" i="174"/>
  <c r="H25" i="174"/>
  <c r="T26" i="174"/>
  <c r="N28" i="174"/>
  <c r="H20" i="174"/>
  <c r="J21" i="174"/>
  <c r="T21" i="174"/>
  <c r="J25" i="174"/>
  <c r="V25" i="174"/>
  <c r="V26" i="174"/>
  <c r="N27" i="174"/>
  <c r="H23" i="174"/>
  <c r="P23" i="174"/>
  <c r="D24" i="174"/>
  <c r="T24" i="174"/>
  <c r="H24" i="174"/>
  <c r="J28" i="174"/>
  <c r="J19" i="174"/>
  <c r="T19" i="174"/>
  <c r="J20" i="174"/>
  <c r="V20" i="174"/>
  <c r="V21" i="174"/>
  <c r="N25" i="174"/>
  <c r="D26" i="174"/>
  <c r="N26" i="174"/>
  <c r="P27" i="174"/>
  <c r="J23" i="174"/>
  <c r="R23" i="174"/>
  <c r="F24" i="174"/>
  <c r="N24" i="174"/>
  <c r="V24" i="174"/>
  <c r="N20" i="173"/>
  <c r="V27" i="173"/>
  <c r="F23" i="173"/>
  <c r="N23" i="173"/>
  <c r="V23" i="173"/>
  <c r="J24" i="173"/>
  <c r="R24" i="173"/>
  <c r="P20" i="173"/>
  <c r="H21" i="173"/>
  <c r="P25" i="173"/>
  <c r="H26" i="173"/>
  <c r="H23" i="173"/>
  <c r="P23" i="173"/>
  <c r="D24" i="173"/>
  <c r="L24" i="173"/>
  <c r="T24" i="173"/>
  <c r="P19" i="173"/>
  <c r="H20" i="173"/>
  <c r="P27" i="173"/>
  <c r="R23" i="173"/>
  <c r="F24" i="173"/>
  <c r="N24" i="173"/>
  <c r="V24" i="173"/>
  <c r="P24" i="172"/>
  <c r="D20" i="172"/>
  <c r="V21" i="172"/>
  <c r="V26" i="172"/>
  <c r="P27" i="172"/>
  <c r="D28" i="172"/>
  <c r="N31" i="172"/>
  <c r="H33" i="172"/>
  <c r="H36" i="172"/>
  <c r="H40" i="172"/>
  <c r="H44" i="172"/>
  <c r="L46" i="172"/>
  <c r="F23" i="172"/>
  <c r="N23" i="172"/>
  <c r="V23" i="172"/>
  <c r="J24" i="172"/>
  <c r="R24" i="172"/>
  <c r="D23" i="172"/>
  <c r="D19" i="172"/>
  <c r="D25" i="172"/>
  <c r="D27" i="172"/>
  <c r="D37" i="172"/>
  <c r="D41" i="172"/>
  <c r="D45" i="172"/>
  <c r="H23" i="172"/>
  <c r="P23" i="172"/>
  <c r="D24" i="172"/>
  <c r="L24" i="172"/>
  <c r="T24" i="172"/>
  <c r="V60" i="172"/>
  <c r="J20" i="172"/>
  <c r="D21" i="172"/>
  <c r="D26" i="172"/>
  <c r="T28" i="172"/>
  <c r="T37" i="172"/>
  <c r="T41" i="172"/>
  <c r="T45" i="172"/>
  <c r="R23" i="172"/>
  <c r="F24" i="172"/>
  <c r="F20" i="170"/>
  <c r="F23" i="170"/>
  <c r="N23" i="170"/>
  <c r="V23" i="170"/>
  <c r="N19" i="170"/>
  <c r="H20" i="170"/>
  <c r="N21" i="170"/>
  <c r="N26" i="170"/>
  <c r="H23" i="170"/>
  <c r="P23" i="170"/>
  <c r="D24" i="170"/>
  <c r="F26" i="170"/>
  <c r="V20" i="170"/>
  <c r="P25" i="170"/>
  <c r="V26" i="170"/>
  <c r="J23" i="170"/>
  <c r="R23" i="170"/>
  <c r="F24" i="170"/>
  <c r="N24" i="170"/>
  <c r="V24" i="170"/>
  <c r="D23" i="169"/>
  <c r="L23" i="169"/>
  <c r="T23" i="169"/>
  <c r="H24" i="169"/>
  <c r="P24" i="169"/>
  <c r="F23" i="169"/>
  <c r="N23" i="169"/>
  <c r="V23" i="169"/>
  <c r="J24" i="169"/>
  <c r="R24" i="169"/>
  <c r="L19" i="169"/>
  <c r="L21" i="169"/>
  <c r="D26" i="169"/>
  <c r="P27" i="169"/>
  <c r="H23" i="169"/>
  <c r="P23" i="169"/>
  <c r="D24" i="169"/>
  <c r="D19" i="169"/>
  <c r="N19" i="169"/>
  <c r="N20" i="169"/>
  <c r="N21" i="169"/>
  <c r="F25" i="169"/>
  <c r="N28" i="169"/>
  <c r="J23" i="169"/>
  <c r="R23" i="169"/>
  <c r="F24" i="169"/>
  <c r="N24" i="169"/>
  <c r="V24" i="169"/>
  <c r="F21" i="168"/>
  <c r="F25" i="168"/>
  <c r="N26" i="168"/>
  <c r="N27" i="168"/>
  <c r="V27" i="168"/>
  <c r="F23" i="168"/>
  <c r="N23" i="168"/>
  <c r="V23" i="168"/>
  <c r="J24" i="168"/>
  <c r="R24" i="168"/>
  <c r="V19" i="168"/>
  <c r="F26" i="168"/>
  <c r="F27" i="168"/>
  <c r="H23" i="168"/>
  <c r="D24" i="168"/>
  <c r="L24" i="168"/>
  <c r="T24" i="168"/>
  <c r="N19" i="168"/>
  <c r="N20" i="168"/>
  <c r="V20" i="168"/>
  <c r="V21" i="168"/>
  <c r="J23" i="168"/>
  <c r="D25" i="167"/>
  <c r="L25" i="167"/>
  <c r="T25" i="167"/>
  <c r="J33" i="167"/>
  <c r="R33" i="167"/>
  <c r="F23" i="167"/>
  <c r="N23" i="167"/>
  <c r="V23" i="167"/>
  <c r="J24" i="167"/>
  <c r="R24" i="167"/>
  <c r="D23" i="167"/>
  <c r="L23" i="167"/>
  <c r="T23" i="167"/>
  <c r="F25" i="167"/>
  <c r="N27" i="167"/>
  <c r="H23" i="167"/>
  <c r="P23" i="167"/>
  <c r="D24" i="167"/>
  <c r="L24" i="167"/>
  <c r="T24" i="167"/>
  <c r="D20" i="167"/>
  <c r="L20" i="167"/>
  <c r="T20" i="167"/>
  <c r="D27" i="167"/>
  <c r="J23" i="167"/>
  <c r="R23" i="167"/>
  <c r="F24" i="167"/>
  <c r="N24" i="167"/>
  <c r="V24" i="167"/>
  <c r="P24" i="165"/>
  <c r="H19" i="165"/>
  <c r="P21" i="165"/>
  <c r="H25" i="165"/>
  <c r="P25" i="165"/>
  <c r="H26" i="165"/>
  <c r="D27" i="165"/>
  <c r="P27" i="165"/>
  <c r="F23" i="165"/>
  <c r="N23" i="165"/>
  <c r="V23" i="165"/>
  <c r="J24" i="165"/>
  <c r="R24" i="165"/>
  <c r="H33" i="165"/>
  <c r="P33" i="165"/>
  <c r="H23" i="165"/>
  <c r="P23" i="165"/>
  <c r="D24" i="165"/>
  <c r="L24" i="165"/>
  <c r="T24" i="165"/>
  <c r="H24" i="165"/>
  <c r="P19" i="165"/>
  <c r="H20" i="165"/>
  <c r="P20" i="165"/>
  <c r="H21" i="165"/>
  <c r="J33" i="165"/>
  <c r="R33" i="165"/>
  <c r="J23" i="165"/>
  <c r="R23" i="165"/>
  <c r="F24" i="165"/>
  <c r="N24" i="165"/>
  <c r="V24" i="165"/>
  <c r="J21" i="164"/>
  <c r="J28" i="164"/>
  <c r="J33" i="164"/>
  <c r="J40" i="164"/>
  <c r="F23" i="164"/>
  <c r="N23" i="164"/>
  <c r="V23" i="164"/>
  <c r="J24" i="164"/>
  <c r="R24" i="164"/>
  <c r="J26" i="164"/>
  <c r="N43" i="164"/>
  <c r="H23" i="164"/>
  <c r="P23" i="164"/>
  <c r="D24" i="164"/>
  <c r="L24" i="164"/>
  <c r="T24" i="164"/>
  <c r="J20" i="164"/>
  <c r="J25" i="164"/>
  <c r="L46" i="164"/>
  <c r="J23" i="164"/>
  <c r="R23" i="164"/>
  <c r="F24" i="164"/>
  <c r="N24" i="164"/>
  <c r="V24" i="164"/>
  <c r="L33" i="163"/>
  <c r="V40" i="163"/>
  <c r="D23" i="163"/>
  <c r="L23" i="163"/>
  <c r="T23" i="163"/>
  <c r="H24" i="163"/>
  <c r="P24" i="163"/>
  <c r="N42" i="163"/>
  <c r="F23" i="163"/>
  <c r="N23" i="163"/>
  <c r="V23" i="163"/>
  <c r="J24" i="163"/>
  <c r="R24" i="163"/>
  <c r="P28" i="163"/>
  <c r="F31" i="163"/>
  <c r="F36" i="163"/>
  <c r="F44" i="163"/>
  <c r="J46" i="163"/>
  <c r="H23" i="163"/>
  <c r="P23" i="163"/>
  <c r="D24" i="163"/>
  <c r="L24" i="163"/>
  <c r="T24" i="163"/>
  <c r="N26" i="163"/>
  <c r="N27" i="163"/>
  <c r="L28" i="163"/>
  <c r="J39" i="163"/>
  <c r="D19" i="160"/>
  <c r="D21" i="160"/>
  <c r="R31" i="161"/>
  <c r="N33" i="161"/>
  <c r="T33" i="161"/>
  <c r="R36" i="161"/>
  <c r="J38" i="161"/>
  <c r="D40" i="161"/>
  <c r="P41" i="161"/>
  <c r="R43" i="161"/>
  <c r="L69" i="161"/>
  <c r="F32" i="161"/>
  <c r="J33" i="161"/>
  <c r="P33" i="161"/>
  <c r="F37" i="161"/>
  <c r="R38" i="161"/>
  <c r="F40" i="161"/>
  <c r="R41" i="161"/>
  <c r="N44" i="161"/>
  <c r="N46" i="161"/>
  <c r="F28" i="161"/>
  <c r="V28" i="161"/>
  <c r="N32" i="161"/>
  <c r="F33" i="161"/>
  <c r="L33" i="161"/>
  <c r="V33" i="161"/>
  <c r="N37" i="161"/>
  <c r="F39" i="161"/>
  <c r="N40" i="161"/>
  <c r="F42" i="161"/>
  <c r="J45" i="161"/>
  <c r="H46" i="161"/>
  <c r="R28" i="161"/>
  <c r="J31" i="161"/>
  <c r="V32" i="161"/>
  <c r="H33" i="161"/>
  <c r="R33" i="161"/>
  <c r="J36" i="161"/>
  <c r="V37" i="161"/>
  <c r="N39" i="161"/>
  <c r="D41" i="161"/>
  <c r="V42" i="161"/>
  <c r="D28" i="160"/>
  <c r="P32" i="159"/>
  <c r="P39" i="159"/>
  <c r="H45" i="159"/>
  <c r="P24" i="159"/>
  <c r="P19" i="159"/>
  <c r="V21" i="159"/>
  <c r="D26" i="159"/>
  <c r="P27" i="159"/>
  <c r="P28" i="159"/>
  <c r="F31" i="159"/>
  <c r="P37" i="159"/>
  <c r="V40" i="159"/>
  <c r="V42" i="159"/>
  <c r="J45" i="159"/>
  <c r="H46" i="159"/>
  <c r="P46" i="159"/>
  <c r="P62" i="159"/>
  <c r="J115" i="159"/>
  <c r="F23" i="159"/>
  <c r="N23" i="159"/>
  <c r="V23" i="159"/>
  <c r="J24" i="159"/>
  <c r="R24" i="159"/>
  <c r="V36" i="159"/>
  <c r="V114" i="159"/>
  <c r="H24" i="159"/>
  <c r="V19" i="159"/>
  <c r="H25" i="159"/>
  <c r="F26" i="159"/>
  <c r="V31" i="159"/>
  <c r="N38" i="159"/>
  <c r="H41" i="159"/>
  <c r="P43" i="159"/>
  <c r="J46" i="159"/>
  <c r="H113" i="159"/>
  <c r="H23" i="159"/>
  <c r="P23" i="159"/>
  <c r="D24" i="159"/>
  <c r="T24" i="159"/>
  <c r="H19" i="159"/>
  <c r="P20" i="159"/>
  <c r="V26" i="159"/>
  <c r="J32" i="159"/>
  <c r="N36" i="159"/>
  <c r="T38" i="159"/>
  <c r="P41" i="159"/>
  <c r="V44" i="159"/>
  <c r="J113" i="159"/>
  <c r="N33" i="158"/>
  <c r="N23" i="158"/>
  <c r="V23" i="158"/>
  <c r="J24" i="158"/>
  <c r="N41" i="158"/>
  <c r="H24" i="158"/>
  <c r="H20" i="158"/>
  <c r="H25" i="158"/>
  <c r="H27" i="158"/>
  <c r="J19" i="158"/>
  <c r="N20" i="158"/>
  <c r="J21" i="158"/>
  <c r="J26" i="158"/>
  <c r="N27" i="158"/>
  <c r="J28" i="158"/>
  <c r="F32" i="158"/>
  <c r="J38" i="158"/>
  <c r="J44" i="158"/>
  <c r="H23" i="158"/>
  <c r="P23" i="158"/>
  <c r="H19" i="158"/>
  <c r="H21" i="158"/>
  <c r="H26" i="158"/>
  <c r="V28" i="158"/>
  <c r="P19" i="158"/>
  <c r="P20" i="158"/>
  <c r="N25" i="158"/>
  <c r="P26" i="158"/>
  <c r="F28" i="158"/>
  <c r="V39" i="158"/>
  <c r="V45" i="158"/>
  <c r="J46" i="158"/>
  <c r="N71" i="158"/>
  <c r="J23" i="158"/>
  <c r="R23" i="158"/>
  <c r="F24" i="158"/>
  <c r="N24" i="158"/>
  <c r="V24" i="158"/>
  <c r="S46" i="192"/>
  <c r="E46" i="192"/>
  <c r="I46" i="192"/>
  <c r="M46" i="192"/>
  <c r="Q46" i="192"/>
  <c r="U46" i="192"/>
  <c r="N41" i="175"/>
  <c r="J46" i="175"/>
  <c r="J19" i="175"/>
  <c r="R19" i="175"/>
  <c r="F20" i="175"/>
  <c r="N20" i="175"/>
  <c r="V20" i="175"/>
  <c r="J21" i="175"/>
  <c r="R21" i="175"/>
  <c r="F25" i="175"/>
  <c r="N25" i="175"/>
  <c r="V25" i="175"/>
  <c r="J26" i="175"/>
  <c r="R26" i="175"/>
  <c r="F27" i="175"/>
  <c r="N27" i="175"/>
  <c r="V27" i="175"/>
  <c r="F28" i="175"/>
  <c r="J28" i="175"/>
  <c r="N28" i="175"/>
  <c r="R28" i="175"/>
  <c r="V28" i="175"/>
  <c r="N31" i="175"/>
  <c r="D32" i="175"/>
  <c r="N32" i="175"/>
  <c r="N33" i="175"/>
  <c r="F37" i="175"/>
  <c r="R38" i="175"/>
  <c r="J40" i="175"/>
  <c r="V41" i="175"/>
  <c r="N43" i="175"/>
  <c r="F45" i="175"/>
  <c r="R46" i="175"/>
  <c r="R114" i="175"/>
  <c r="J31" i="175"/>
  <c r="V32" i="175"/>
  <c r="R36" i="175"/>
  <c r="V39" i="175"/>
  <c r="R44" i="175"/>
  <c r="F31" i="175"/>
  <c r="P31" i="175"/>
  <c r="F32" i="175"/>
  <c r="R32" i="175"/>
  <c r="D33" i="175"/>
  <c r="J33" i="175"/>
  <c r="P33" i="175"/>
  <c r="V33" i="175"/>
  <c r="N37" i="175"/>
  <c r="F39" i="175"/>
  <c r="R40" i="175"/>
  <c r="J42" i="175"/>
  <c r="V43" i="175"/>
  <c r="N45" i="175"/>
  <c r="H46" i="175"/>
  <c r="V31" i="175"/>
  <c r="F33" i="175"/>
  <c r="J38" i="175"/>
  <c r="F43" i="175"/>
  <c r="F113" i="175"/>
  <c r="F19" i="175"/>
  <c r="N19" i="175"/>
  <c r="V19" i="175"/>
  <c r="J20" i="175"/>
  <c r="R20" i="175"/>
  <c r="F21" i="175"/>
  <c r="N21" i="175"/>
  <c r="V21" i="175"/>
  <c r="J25" i="175"/>
  <c r="R25" i="175"/>
  <c r="F26" i="175"/>
  <c r="N26" i="175"/>
  <c r="V26" i="175"/>
  <c r="J27" i="175"/>
  <c r="R27" i="175"/>
  <c r="H28" i="175"/>
  <c r="L28" i="175"/>
  <c r="P28" i="175"/>
  <c r="T28" i="175"/>
  <c r="R31" i="175"/>
  <c r="J32" i="175"/>
  <c r="L33" i="175"/>
  <c r="R33" i="175"/>
  <c r="J36" i="175"/>
  <c r="V37" i="175"/>
  <c r="N39" i="175"/>
  <c r="F41" i="175"/>
  <c r="R42" i="175"/>
  <c r="J44" i="175"/>
  <c r="V45" i="175"/>
  <c r="P46" i="175"/>
  <c r="N31" i="174"/>
  <c r="N32" i="174"/>
  <c r="F33" i="174"/>
  <c r="L33" i="174"/>
  <c r="V33" i="174"/>
  <c r="V39" i="174"/>
  <c r="F43" i="174"/>
  <c r="F28" i="174"/>
  <c r="V28" i="174"/>
  <c r="R31" i="174"/>
  <c r="V32" i="174"/>
  <c r="H33" i="174"/>
  <c r="R33" i="174"/>
  <c r="N37" i="174"/>
  <c r="R40" i="174"/>
  <c r="R28" i="174"/>
  <c r="F31" i="174"/>
  <c r="V31" i="174"/>
  <c r="D33" i="174"/>
  <c r="N33" i="174"/>
  <c r="T33" i="174"/>
  <c r="J38" i="174"/>
  <c r="N41" i="174"/>
  <c r="J31" i="174"/>
  <c r="F32" i="174"/>
  <c r="J33" i="174"/>
  <c r="P33" i="174"/>
  <c r="F39" i="174"/>
  <c r="J42" i="174"/>
  <c r="V28" i="173"/>
  <c r="F32" i="173"/>
  <c r="V32" i="173"/>
  <c r="P33" i="173"/>
  <c r="H36" i="173"/>
  <c r="T37" i="173"/>
  <c r="D39" i="173"/>
  <c r="V39" i="173"/>
  <c r="L41" i="173"/>
  <c r="P42" i="173"/>
  <c r="T43" i="173"/>
  <c r="D45" i="173"/>
  <c r="F46" i="173"/>
  <c r="T46" i="173"/>
  <c r="F114" i="173"/>
  <c r="H31" i="173"/>
  <c r="L32" i="173"/>
  <c r="J33" i="173"/>
  <c r="R33" i="173"/>
  <c r="P36" i="173"/>
  <c r="H38" i="173"/>
  <c r="F39" i="173"/>
  <c r="H40" i="173"/>
  <c r="T41" i="173"/>
  <c r="D43" i="173"/>
  <c r="V43" i="173"/>
  <c r="L45" i="173"/>
  <c r="H46" i="173"/>
  <c r="N46" i="173"/>
  <c r="V46" i="173"/>
  <c r="T114" i="173"/>
  <c r="D27" i="173"/>
  <c r="P31" i="173"/>
  <c r="N32" i="173"/>
  <c r="F33" i="173"/>
  <c r="L33" i="173"/>
  <c r="T33" i="173"/>
  <c r="D37" i="173"/>
  <c r="J38" i="173"/>
  <c r="L39" i="173"/>
  <c r="P40" i="173"/>
  <c r="H42" i="173"/>
  <c r="F43" i="173"/>
  <c r="H44" i="173"/>
  <c r="T45" i="173"/>
  <c r="J46" i="173"/>
  <c r="P46" i="173"/>
  <c r="D32" i="173"/>
  <c r="T32" i="173"/>
  <c r="H33" i="173"/>
  <c r="N33" i="173"/>
  <c r="V33" i="173"/>
  <c r="L37" i="173"/>
  <c r="P38" i="173"/>
  <c r="T39" i="173"/>
  <c r="D41" i="173"/>
  <c r="J42" i="173"/>
  <c r="L43" i="173"/>
  <c r="P44" i="173"/>
  <c r="D46" i="173"/>
  <c r="L46" i="173"/>
  <c r="R46" i="173"/>
  <c r="P25" i="172"/>
  <c r="P26" i="172"/>
  <c r="P28" i="172"/>
  <c r="P31" i="172"/>
  <c r="L32" i="172"/>
  <c r="D33" i="172"/>
  <c r="J33" i="172"/>
  <c r="T33" i="172"/>
  <c r="N36" i="172"/>
  <c r="J37" i="172"/>
  <c r="F38" i="172"/>
  <c r="V38" i="172"/>
  <c r="R39" i="172"/>
  <c r="N40" i="172"/>
  <c r="J41" i="172"/>
  <c r="F42" i="172"/>
  <c r="V42" i="172"/>
  <c r="R43" i="172"/>
  <c r="N44" i="172"/>
  <c r="J45" i="172"/>
  <c r="H46" i="172"/>
  <c r="N46" i="172"/>
  <c r="H113" i="172"/>
  <c r="P38" i="172"/>
  <c r="P42" i="172"/>
  <c r="P20" i="172"/>
  <c r="P21" i="172"/>
  <c r="J27" i="172"/>
  <c r="F31" i="172"/>
  <c r="V31" i="172"/>
  <c r="R32" i="172"/>
  <c r="F33" i="172"/>
  <c r="P33" i="172"/>
  <c r="V33" i="172"/>
  <c r="P36" i="172"/>
  <c r="L37" i="172"/>
  <c r="H38" i="172"/>
  <c r="D39" i="172"/>
  <c r="T39" i="172"/>
  <c r="P40" i="172"/>
  <c r="L41" i="172"/>
  <c r="H42" i="172"/>
  <c r="D43" i="172"/>
  <c r="T43" i="172"/>
  <c r="P44" i="172"/>
  <c r="L45" i="172"/>
  <c r="D46" i="172"/>
  <c r="J46" i="172"/>
  <c r="T46" i="172"/>
  <c r="P113" i="172"/>
  <c r="J32" i="172"/>
  <c r="P19" i="172"/>
  <c r="J25" i="172"/>
  <c r="H28" i="172"/>
  <c r="H31" i="172"/>
  <c r="D32" i="172"/>
  <c r="T32" i="172"/>
  <c r="L33" i="172"/>
  <c r="R33" i="172"/>
  <c r="F36" i="172"/>
  <c r="V36" i="172"/>
  <c r="R37" i="172"/>
  <c r="N38" i="172"/>
  <c r="J39" i="172"/>
  <c r="F40" i="172"/>
  <c r="V40" i="172"/>
  <c r="R41" i="172"/>
  <c r="N42" i="172"/>
  <c r="J43" i="172"/>
  <c r="F44" i="172"/>
  <c r="V44" i="172"/>
  <c r="R45" i="172"/>
  <c r="F46" i="172"/>
  <c r="P46" i="172"/>
  <c r="V46" i="172"/>
  <c r="H27" i="170"/>
  <c r="H37" i="170"/>
  <c r="F46" i="170"/>
  <c r="N46" i="170"/>
  <c r="V46" i="170"/>
  <c r="J33" i="170"/>
  <c r="R33" i="170"/>
  <c r="P43" i="170"/>
  <c r="H46" i="170"/>
  <c r="P46" i="170"/>
  <c r="H45" i="170"/>
  <c r="J46" i="170"/>
  <c r="R46" i="170"/>
  <c r="F33" i="170"/>
  <c r="N33" i="170"/>
  <c r="V33" i="170"/>
  <c r="F32" i="169"/>
  <c r="J33" i="169"/>
  <c r="P33" i="169"/>
  <c r="F37" i="169"/>
  <c r="V39" i="169"/>
  <c r="V45" i="169"/>
  <c r="F28" i="169"/>
  <c r="V28" i="169"/>
  <c r="N32" i="169"/>
  <c r="F33" i="169"/>
  <c r="L33" i="169"/>
  <c r="V33" i="169"/>
  <c r="V37" i="169"/>
  <c r="F41" i="169"/>
  <c r="R46" i="169"/>
  <c r="F27" i="169"/>
  <c r="R28" i="169"/>
  <c r="J31" i="169"/>
  <c r="V32" i="169"/>
  <c r="H33" i="169"/>
  <c r="R33" i="169"/>
  <c r="J36" i="169"/>
  <c r="J38" i="169"/>
  <c r="R42" i="169"/>
  <c r="R31" i="169"/>
  <c r="D33" i="169"/>
  <c r="N33" i="169"/>
  <c r="T33" i="169"/>
  <c r="R36" i="169"/>
  <c r="N39" i="169"/>
  <c r="J44" i="169"/>
  <c r="H46" i="169"/>
  <c r="L20" i="168"/>
  <c r="L25" i="168"/>
  <c r="L27" i="168"/>
  <c r="R19" i="168"/>
  <c r="R21" i="168"/>
  <c r="R26" i="168"/>
  <c r="N28" i="168"/>
  <c r="L19" i="168"/>
  <c r="L21" i="168"/>
  <c r="D46" i="167"/>
  <c r="L46" i="167"/>
  <c r="T46" i="167"/>
  <c r="F46" i="167"/>
  <c r="N46" i="167"/>
  <c r="V46" i="167"/>
  <c r="D19" i="167"/>
  <c r="L19" i="167"/>
  <c r="T19" i="167"/>
  <c r="D21" i="167"/>
  <c r="L21" i="167"/>
  <c r="T21" i="167"/>
  <c r="D26" i="167"/>
  <c r="L26" i="167"/>
  <c r="T26" i="167"/>
  <c r="T27" i="167"/>
  <c r="D33" i="167"/>
  <c r="L33" i="167"/>
  <c r="T33" i="167"/>
  <c r="H46" i="167"/>
  <c r="P46" i="167"/>
  <c r="F19" i="167"/>
  <c r="N19" i="167"/>
  <c r="V19" i="167"/>
  <c r="F21" i="167"/>
  <c r="N21" i="167"/>
  <c r="V21" i="167"/>
  <c r="F26" i="167"/>
  <c r="N26" i="167"/>
  <c r="V26" i="167"/>
  <c r="L27" i="167"/>
  <c r="V27" i="167"/>
  <c r="F33" i="167"/>
  <c r="N33" i="167"/>
  <c r="V33" i="167"/>
  <c r="J46" i="167"/>
  <c r="R46" i="167"/>
  <c r="D46" i="165"/>
  <c r="F46" i="165"/>
  <c r="N46" i="165"/>
  <c r="V46" i="165"/>
  <c r="L46" i="165"/>
  <c r="L19" i="165"/>
  <c r="D21" i="165"/>
  <c r="D26" i="165"/>
  <c r="L26" i="165"/>
  <c r="T26" i="165"/>
  <c r="T27" i="165"/>
  <c r="D33" i="165"/>
  <c r="L33" i="165"/>
  <c r="T33" i="165"/>
  <c r="H46" i="165"/>
  <c r="P46" i="165"/>
  <c r="T46" i="165"/>
  <c r="T19" i="165"/>
  <c r="L21" i="165"/>
  <c r="F19" i="165"/>
  <c r="N19" i="165"/>
  <c r="V19" i="165"/>
  <c r="F21" i="165"/>
  <c r="N21" i="165"/>
  <c r="V21" i="165"/>
  <c r="F26" i="165"/>
  <c r="N26" i="165"/>
  <c r="V26" i="165"/>
  <c r="V27" i="165"/>
  <c r="F33" i="165"/>
  <c r="N33" i="165"/>
  <c r="V33" i="165"/>
  <c r="J46" i="165"/>
  <c r="R46" i="165"/>
  <c r="F37" i="164"/>
  <c r="F45" i="164"/>
  <c r="V115" i="164"/>
  <c r="F19" i="164"/>
  <c r="V25" i="164"/>
  <c r="V26" i="164"/>
  <c r="P27" i="164"/>
  <c r="F28" i="164"/>
  <c r="V28" i="164"/>
  <c r="N32" i="164"/>
  <c r="F33" i="164"/>
  <c r="L33" i="164"/>
  <c r="V33" i="164"/>
  <c r="N37" i="164"/>
  <c r="F39" i="164"/>
  <c r="R40" i="164"/>
  <c r="J42" i="164"/>
  <c r="V43" i="164"/>
  <c r="N45" i="164"/>
  <c r="F46" i="164"/>
  <c r="V46" i="164"/>
  <c r="N113" i="164"/>
  <c r="V20" i="164"/>
  <c r="V21" i="164"/>
  <c r="D26" i="164"/>
  <c r="F27" i="164"/>
  <c r="V27" i="164"/>
  <c r="R28" i="164"/>
  <c r="J31" i="164"/>
  <c r="V32" i="164"/>
  <c r="H33" i="164"/>
  <c r="R33" i="164"/>
  <c r="J36" i="164"/>
  <c r="V37" i="164"/>
  <c r="N39" i="164"/>
  <c r="F41" i="164"/>
  <c r="R42" i="164"/>
  <c r="J44" i="164"/>
  <c r="V45" i="164"/>
  <c r="H46" i="164"/>
  <c r="J114" i="164"/>
  <c r="F32" i="164"/>
  <c r="P33" i="164"/>
  <c r="V41" i="164"/>
  <c r="V19" i="164"/>
  <c r="F25" i="164"/>
  <c r="P25" i="164"/>
  <c r="F26" i="164"/>
  <c r="R31" i="164"/>
  <c r="D33" i="164"/>
  <c r="N33" i="164"/>
  <c r="T33" i="164"/>
  <c r="R36" i="164"/>
  <c r="J38" i="164"/>
  <c r="V39" i="164"/>
  <c r="N41" i="164"/>
  <c r="F43" i="164"/>
  <c r="R44" i="164"/>
  <c r="D46" i="164"/>
  <c r="R46" i="164"/>
  <c r="F115" i="164"/>
  <c r="R32" i="163"/>
  <c r="R37" i="163"/>
  <c r="R45" i="163"/>
  <c r="R46" i="163"/>
  <c r="R33" i="163"/>
  <c r="R19" i="163"/>
  <c r="H20" i="163"/>
  <c r="R20" i="163"/>
  <c r="H28" i="163"/>
  <c r="N31" i="163"/>
  <c r="H33" i="163"/>
  <c r="N33" i="163"/>
  <c r="N36" i="163"/>
  <c r="F38" i="163"/>
  <c r="R39" i="163"/>
  <c r="J41" i="163"/>
  <c r="V42" i="163"/>
  <c r="N44" i="163"/>
  <c r="D46" i="163"/>
  <c r="L46" i="163"/>
  <c r="T46" i="163"/>
  <c r="F27" i="163"/>
  <c r="D28" i="163"/>
  <c r="T28" i="163"/>
  <c r="V31" i="163"/>
  <c r="J33" i="163"/>
  <c r="T33" i="163"/>
  <c r="V36" i="163"/>
  <c r="N38" i="163"/>
  <c r="F40" i="163"/>
  <c r="R41" i="163"/>
  <c r="J43" i="163"/>
  <c r="V44" i="163"/>
  <c r="F46" i="163"/>
  <c r="N46" i="163"/>
  <c r="R26" i="163"/>
  <c r="H27" i="163"/>
  <c r="R27" i="163"/>
  <c r="J32" i="163"/>
  <c r="F33" i="163"/>
  <c r="P33" i="163"/>
  <c r="V33" i="163"/>
  <c r="J37" i="163"/>
  <c r="V38" i="163"/>
  <c r="N40" i="163"/>
  <c r="F42" i="163"/>
  <c r="R43" i="163"/>
  <c r="J45" i="163"/>
  <c r="H46" i="163"/>
  <c r="P46" i="163"/>
  <c r="J55" i="163"/>
  <c r="D20" i="160"/>
  <c r="D25" i="160"/>
  <c r="D46" i="160"/>
  <c r="D33" i="159"/>
  <c r="R41" i="159"/>
  <c r="R43" i="159"/>
  <c r="D20" i="159"/>
  <c r="N31" i="159"/>
  <c r="F33" i="159"/>
  <c r="N33" i="159"/>
  <c r="T33" i="159"/>
  <c r="R37" i="159"/>
  <c r="R39" i="159"/>
  <c r="D42" i="159"/>
  <c r="F44" i="159"/>
  <c r="F46" i="159"/>
  <c r="L46" i="159"/>
  <c r="R113" i="159"/>
  <c r="D19" i="159"/>
  <c r="J20" i="159"/>
  <c r="D21" i="159"/>
  <c r="N26" i="159"/>
  <c r="T31" i="159"/>
  <c r="R32" i="159"/>
  <c r="H33" i="159"/>
  <c r="P33" i="159"/>
  <c r="V33" i="159"/>
  <c r="H37" i="159"/>
  <c r="D38" i="159"/>
  <c r="V38" i="159"/>
  <c r="F40" i="159"/>
  <c r="J41" i="159"/>
  <c r="F42" i="159"/>
  <c r="J43" i="159"/>
  <c r="N44" i="159"/>
  <c r="P45" i="159"/>
  <c r="N46" i="159"/>
  <c r="N53" i="159"/>
  <c r="J74" i="159"/>
  <c r="J82" i="159"/>
  <c r="H114" i="159"/>
  <c r="L33" i="159"/>
  <c r="D46" i="159"/>
  <c r="R46" i="159"/>
  <c r="F19" i="159"/>
  <c r="T19" i="159"/>
  <c r="F21" i="159"/>
  <c r="R25" i="159"/>
  <c r="R27" i="159"/>
  <c r="J33" i="159"/>
  <c r="R33" i="159"/>
  <c r="F36" i="159"/>
  <c r="J37" i="159"/>
  <c r="F38" i="159"/>
  <c r="J39" i="159"/>
  <c r="N40" i="159"/>
  <c r="N42" i="159"/>
  <c r="R45" i="159"/>
  <c r="N61" i="159"/>
  <c r="N79" i="159"/>
  <c r="N93" i="159"/>
  <c r="R21" i="158"/>
  <c r="L26" i="158"/>
  <c r="F27" i="158"/>
  <c r="R28" i="158"/>
  <c r="J31" i="158"/>
  <c r="H32" i="158"/>
  <c r="J33" i="158"/>
  <c r="F37" i="158"/>
  <c r="R38" i="158"/>
  <c r="J40" i="158"/>
  <c r="V41" i="158"/>
  <c r="J43" i="158"/>
  <c r="R44" i="158"/>
  <c r="J72" i="158"/>
  <c r="L20" i="158"/>
  <c r="N28" i="158"/>
  <c r="L31" i="158"/>
  <c r="N32" i="158"/>
  <c r="F33" i="158"/>
  <c r="V33" i="158"/>
  <c r="N37" i="158"/>
  <c r="F39" i="158"/>
  <c r="R40" i="158"/>
  <c r="J42" i="158"/>
  <c r="R43" i="158"/>
  <c r="V44" i="158"/>
  <c r="F46" i="158"/>
  <c r="N46" i="158"/>
  <c r="V46" i="158"/>
  <c r="L53" i="158"/>
  <c r="R36" i="158"/>
  <c r="R46" i="158"/>
  <c r="R19" i="158"/>
  <c r="R26" i="158"/>
  <c r="R31" i="158"/>
  <c r="V32" i="158"/>
  <c r="H33" i="158"/>
  <c r="R33" i="158"/>
  <c r="J36" i="158"/>
  <c r="V37" i="158"/>
  <c r="N39" i="158"/>
  <c r="F41" i="158"/>
  <c r="R42" i="158"/>
  <c r="H44" i="158"/>
  <c r="J45" i="158"/>
  <c r="J52" i="158"/>
  <c r="J57" i="158"/>
  <c r="J74" i="158"/>
  <c r="J84" i="158"/>
  <c r="R114" i="197"/>
  <c r="R103" i="197"/>
  <c r="R101" i="197"/>
  <c r="R99" i="197"/>
  <c r="R93" i="197"/>
  <c r="R91" i="197"/>
  <c r="R89" i="197"/>
  <c r="R87" i="197"/>
  <c r="R115" i="197"/>
  <c r="R113" i="197"/>
  <c r="R104" i="197"/>
  <c r="R100" i="197"/>
  <c r="R98" i="197"/>
  <c r="R96" i="197"/>
  <c r="R94" i="197"/>
  <c r="R92" i="197"/>
  <c r="R90" i="197"/>
  <c r="R88" i="197"/>
  <c r="R86" i="197"/>
  <c r="R84" i="197"/>
  <c r="R82" i="197"/>
  <c r="R81" i="197"/>
  <c r="R79" i="197"/>
  <c r="R77" i="197"/>
  <c r="R75" i="197"/>
  <c r="R73" i="197"/>
  <c r="R71" i="197"/>
  <c r="R69" i="197"/>
  <c r="R67" i="197"/>
  <c r="R65" i="197"/>
  <c r="R63" i="197"/>
  <c r="R83" i="197"/>
  <c r="R78" i="197"/>
  <c r="R74" i="197"/>
  <c r="R70" i="197"/>
  <c r="R66" i="197"/>
  <c r="R61" i="197"/>
  <c r="R59" i="197"/>
  <c r="R57" i="197"/>
  <c r="R55" i="197"/>
  <c r="R53" i="197"/>
  <c r="R45" i="197"/>
  <c r="R43" i="197"/>
  <c r="R41" i="197"/>
  <c r="R39" i="197"/>
  <c r="R37" i="197"/>
  <c r="R32" i="197"/>
  <c r="R27" i="197"/>
  <c r="R25" i="197"/>
  <c r="R23" i="197"/>
  <c r="R20" i="197"/>
  <c r="R80" i="197"/>
  <c r="R64" i="197"/>
  <c r="R58" i="197"/>
  <c r="R46" i="197"/>
  <c r="R42" i="197"/>
  <c r="R38" i="197"/>
  <c r="R19" i="197"/>
  <c r="R76" i="197"/>
  <c r="R56" i="197"/>
  <c r="R33" i="197"/>
  <c r="R21" i="197"/>
  <c r="R72" i="197"/>
  <c r="R54" i="197"/>
  <c r="R44" i="197"/>
  <c r="R40" i="197"/>
  <c r="R36" i="197"/>
  <c r="R28" i="197"/>
  <c r="R24" i="197"/>
  <c r="R26" i="197"/>
  <c r="R60" i="197"/>
  <c r="R31" i="197"/>
  <c r="R68" i="197"/>
  <c r="F23" i="197"/>
  <c r="J26" i="197"/>
  <c r="V27" i="197"/>
  <c r="N115" i="197"/>
  <c r="N113" i="197"/>
  <c r="N104" i="197"/>
  <c r="N100" i="197"/>
  <c r="N98" i="197"/>
  <c r="N96" i="197"/>
  <c r="N94" i="197"/>
  <c r="N92" i="197"/>
  <c r="N90" i="197"/>
  <c r="N88" i="197"/>
  <c r="N86" i="197"/>
  <c r="N114" i="197"/>
  <c r="N103" i="197"/>
  <c r="N101" i="197"/>
  <c r="N99" i="197"/>
  <c r="N93" i="197"/>
  <c r="N91" i="197"/>
  <c r="N89" i="197"/>
  <c r="N87" i="197"/>
  <c r="N83" i="197"/>
  <c r="N80" i="197"/>
  <c r="N78" i="197"/>
  <c r="N76" i="197"/>
  <c r="N74" i="197"/>
  <c r="N72" i="197"/>
  <c r="N70" i="197"/>
  <c r="N68" i="197"/>
  <c r="N66" i="197"/>
  <c r="N64" i="197"/>
  <c r="N84" i="197"/>
  <c r="N79" i="197"/>
  <c r="N75" i="197"/>
  <c r="N71" i="197"/>
  <c r="N67" i="197"/>
  <c r="N63" i="197"/>
  <c r="N60" i="197"/>
  <c r="N58" i="197"/>
  <c r="N56" i="197"/>
  <c r="N54" i="197"/>
  <c r="N44" i="197"/>
  <c r="N42" i="197"/>
  <c r="N40" i="197"/>
  <c r="N38" i="197"/>
  <c r="N36" i="197"/>
  <c r="N31" i="197"/>
  <c r="N26" i="197"/>
  <c r="N24" i="197"/>
  <c r="N21" i="197"/>
  <c r="N19" i="197"/>
  <c r="N37" i="197"/>
  <c r="J38" i="197"/>
  <c r="F39" i="197"/>
  <c r="V39" i="197"/>
  <c r="N41" i="197"/>
  <c r="J42" i="197"/>
  <c r="F43" i="197"/>
  <c r="V43" i="197"/>
  <c r="N45" i="197"/>
  <c r="J46" i="197"/>
  <c r="F53" i="197"/>
  <c r="J56" i="197"/>
  <c r="V57" i="197"/>
  <c r="N59" i="197"/>
  <c r="F61" i="197"/>
  <c r="F63" i="197"/>
  <c r="N69" i="197"/>
  <c r="V75" i="197"/>
  <c r="F79" i="197"/>
  <c r="N82" i="197"/>
  <c r="F20" i="197"/>
  <c r="V25" i="197"/>
  <c r="J114" i="197"/>
  <c r="J103" i="197"/>
  <c r="J101" i="197"/>
  <c r="J99" i="197"/>
  <c r="J93" i="197"/>
  <c r="J91" i="197"/>
  <c r="J89" i="197"/>
  <c r="J87" i="197"/>
  <c r="J115" i="197"/>
  <c r="J113" i="197"/>
  <c r="J104" i="197"/>
  <c r="J100" i="197"/>
  <c r="J98" i="197"/>
  <c r="J96" i="197"/>
  <c r="J94" i="197"/>
  <c r="J92" i="197"/>
  <c r="J90" i="197"/>
  <c r="J88" i="197"/>
  <c r="J86" i="197"/>
  <c r="J84" i="197"/>
  <c r="J82" i="197"/>
  <c r="J83" i="197"/>
  <c r="J81" i="197"/>
  <c r="J79" i="197"/>
  <c r="J77" i="197"/>
  <c r="J75" i="197"/>
  <c r="J73" i="197"/>
  <c r="J71" i="197"/>
  <c r="J69" i="197"/>
  <c r="J67" i="197"/>
  <c r="J65" i="197"/>
  <c r="J63" i="197"/>
  <c r="J80" i="197"/>
  <c r="J76" i="197"/>
  <c r="J72" i="197"/>
  <c r="J68" i="197"/>
  <c r="J64" i="197"/>
  <c r="J61" i="197"/>
  <c r="J59" i="197"/>
  <c r="J57" i="197"/>
  <c r="J55" i="197"/>
  <c r="J53" i="197"/>
  <c r="J45" i="197"/>
  <c r="J43" i="197"/>
  <c r="J41" i="197"/>
  <c r="J39" i="197"/>
  <c r="J37" i="197"/>
  <c r="J32" i="197"/>
  <c r="J27" i="197"/>
  <c r="J25" i="197"/>
  <c r="J23" i="197"/>
  <c r="J20" i="197"/>
  <c r="J31" i="197"/>
  <c r="F32" i="197"/>
  <c r="V32" i="197"/>
  <c r="F46" i="197"/>
  <c r="V46" i="197"/>
  <c r="N53" i="197"/>
  <c r="F55" i="197"/>
  <c r="J58" i="197"/>
  <c r="V59" i="197"/>
  <c r="N61" i="197"/>
  <c r="V63" i="197"/>
  <c r="J70" i="197"/>
  <c r="N73" i="197"/>
  <c r="J111" i="197"/>
  <c r="F115" i="197"/>
  <c r="F113" i="197"/>
  <c r="F104" i="197"/>
  <c r="F100" i="197"/>
  <c r="F98" i="197"/>
  <c r="F96" i="197"/>
  <c r="F94" i="197"/>
  <c r="F92" i="197"/>
  <c r="F90" i="197"/>
  <c r="F88" i="197"/>
  <c r="F86" i="197"/>
  <c r="F114" i="197"/>
  <c r="F103" i="197"/>
  <c r="F101" i="197"/>
  <c r="F99" i="197"/>
  <c r="F93" i="197"/>
  <c r="F91" i="197"/>
  <c r="F89" i="197"/>
  <c r="F87" i="197"/>
  <c r="F83" i="197"/>
  <c r="F80" i="197"/>
  <c r="F78" i="197"/>
  <c r="F76" i="197"/>
  <c r="F74" i="197"/>
  <c r="F72" i="197"/>
  <c r="F70" i="197"/>
  <c r="F68" i="197"/>
  <c r="F66" i="197"/>
  <c r="F64" i="197"/>
  <c r="F82" i="197"/>
  <c r="F84" i="197"/>
  <c r="F81" i="197"/>
  <c r="F77" i="197"/>
  <c r="F73" i="197"/>
  <c r="F69" i="197"/>
  <c r="F65" i="197"/>
  <c r="F60" i="197"/>
  <c r="F58" i="197"/>
  <c r="F56" i="197"/>
  <c r="F54" i="197"/>
  <c r="F44" i="197"/>
  <c r="F42" i="197"/>
  <c r="F40" i="197"/>
  <c r="F38" i="197"/>
  <c r="F36" i="197"/>
  <c r="F31" i="197"/>
  <c r="F26" i="197"/>
  <c r="F24" i="197"/>
  <c r="F21" i="197"/>
  <c r="F19" i="197"/>
  <c r="V115" i="197"/>
  <c r="V113" i="197"/>
  <c r="V104" i="197"/>
  <c r="V100" i="197"/>
  <c r="V98" i="197"/>
  <c r="V96" i="197"/>
  <c r="V94" i="197"/>
  <c r="V92" i="197"/>
  <c r="V90" i="197"/>
  <c r="V88" i="197"/>
  <c r="V86" i="197"/>
  <c r="V114" i="197"/>
  <c r="V103" i="197"/>
  <c r="V101" i="197"/>
  <c r="V99" i="197"/>
  <c r="V97" i="197"/>
  <c r="V93" i="197"/>
  <c r="V91" i="197"/>
  <c r="V89" i="197"/>
  <c r="V87" i="197"/>
  <c r="V85" i="197"/>
  <c r="V83" i="197"/>
  <c r="V81" i="197"/>
  <c r="V84" i="197"/>
  <c r="V80" i="197"/>
  <c r="V78" i="197"/>
  <c r="V76" i="197"/>
  <c r="V74" i="197"/>
  <c r="V72" i="197"/>
  <c r="V70" i="197"/>
  <c r="V68" i="197"/>
  <c r="V66" i="197"/>
  <c r="V64" i="197"/>
  <c r="V77" i="197"/>
  <c r="V73" i="197"/>
  <c r="V69" i="197"/>
  <c r="V65" i="197"/>
  <c r="V60" i="197"/>
  <c r="V58" i="197"/>
  <c r="V56" i="197"/>
  <c r="V54" i="197"/>
  <c r="V44" i="197"/>
  <c r="V42" i="197"/>
  <c r="V40" i="197"/>
  <c r="V38" i="197"/>
  <c r="V36" i="197"/>
  <c r="V31" i="197"/>
  <c r="V26" i="197"/>
  <c r="V24" i="197"/>
  <c r="V21" i="197"/>
  <c r="V19" i="197"/>
  <c r="V82" i="197"/>
  <c r="F37" i="197"/>
  <c r="V37" i="197"/>
  <c r="F41" i="197"/>
  <c r="V41" i="197"/>
  <c r="F45" i="197"/>
  <c r="V45" i="197"/>
  <c r="V53" i="197"/>
  <c r="F57" i="197"/>
  <c r="V61" i="197"/>
  <c r="V67" i="197"/>
  <c r="F71" i="197"/>
  <c r="D115" i="197"/>
  <c r="D113" i="197"/>
  <c r="D104" i="197"/>
  <c r="D100" i="197"/>
  <c r="D98" i="197"/>
  <c r="D96" i="197"/>
  <c r="D94" i="197"/>
  <c r="D92" i="197"/>
  <c r="D114" i="197"/>
  <c r="D88" i="197"/>
  <c r="D103" i="197"/>
  <c r="D91" i="197"/>
  <c r="D87" i="197"/>
  <c r="D80" i="197"/>
  <c r="D78" i="197"/>
  <c r="D76" i="197"/>
  <c r="D74" i="197"/>
  <c r="D72" i="197"/>
  <c r="D70" i="197"/>
  <c r="D68" i="197"/>
  <c r="D66" i="197"/>
  <c r="D64" i="197"/>
  <c r="H114" i="197"/>
  <c r="H103" i="197"/>
  <c r="H101" i="197"/>
  <c r="H99" i="197"/>
  <c r="H93" i="197"/>
  <c r="H100" i="197"/>
  <c r="H92" i="197"/>
  <c r="H91" i="197"/>
  <c r="H87" i="197"/>
  <c r="H82" i="197"/>
  <c r="H115" i="197"/>
  <c r="H98" i="197"/>
  <c r="H90" i="197"/>
  <c r="H86" i="197"/>
  <c r="H84" i="197"/>
  <c r="H83" i="197"/>
  <c r="H81" i="197"/>
  <c r="H79" i="197"/>
  <c r="H77" i="197"/>
  <c r="H75" i="197"/>
  <c r="H73" i="197"/>
  <c r="H71" i="197"/>
  <c r="H69" i="197"/>
  <c r="H67" i="197"/>
  <c r="H65" i="197"/>
  <c r="H63" i="197"/>
  <c r="L115" i="197"/>
  <c r="L113" i="197"/>
  <c r="L104" i="197"/>
  <c r="L100" i="197"/>
  <c r="L98" i="197"/>
  <c r="L96" i="197"/>
  <c r="L94" i="197"/>
  <c r="L92" i="197"/>
  <c r="L114" i="197"/>
  <c r="L103" i="197"/>
  <c r="L90" i="197"/>
  <c r="L86" i="197"/>
  <c r="L84" i="197"/>
  <c r="L101" i="197"/>
  <c r="L93" i="197"/>
  <c r="L89" i="197"/>
  <c r="L80" i="197"/>
  <c r="L78" i="197"/>
  <c r="L76" i="197"/>
  <c r="L74" i="197"/>
  <c r="L72" i="197"/>
  <c r="L70" i="197"/>
  <c r="L68" i="197"/>
  <c r="L66" i="197"/>
  <c r="L64" i="197"/>
  <c r="P114" i="197"/>
  <c r="P103" i="197"/>
  <c r="P101" i="197"/>
  <c r="P99" i="197"/>
  <c r="P93" i="197"/>
  <c r="P115" i="197"/>
  <c r="P98" i="197"/>
  <c r="P89" i="197"/>
  <c r="P113" i="197"/>
  <c r="P104" i="197"/>
  <c r="P96" i="197"/>
  <c r="P88" i="197"/>
  <c r="P82" i="197"/>
  <c r="P81" i="197"/>
  <c r="P79" i="197"/>
  <c r="P77" i="197"/>
  <c r="P75" i="197"/>
  <c r="P73" i="197"/>
  <c r="P71" i="197"/>
  <c r="P69" i="197"/>
  <c r="P67" i="197"/>
  <c r="P65" i="197"/>
  <c r="P63" i="197"/>
  <c r="T115" i="197"/>
  <c r="T113" i="197"/>
  <c r="T104" i="197"/>
  <c r="T100" i="197"/>
  <c r="T98" i="197"/>
  <c r="T96" i="197"/>
  <c r="T94" i="197"/>
  <c r="T92" i="197"/>
  <c r="T101" i="197"/>
  <c r="T93" i="197"/>
  <c r="T88" i="197"/>
  <c r="T83" i="197"/>
  <c r="T82" i="197"/>
  <c r="T99" i="197"/>
  <c r="T91" i="197"/>
  <c r="T87" i="197"/>
  <c r="T84" i="197"/>
  <c r="T80" i="197"/>
  <c r="T78" i="197"/>
  <c r="T76" i="197"/>
  <c r="T74" i="197"/>
  <c r="T72" i="197"/>
  <c r="T70" i="197"/>
  <c r="T68" i="197"/>
  <c r="T66" i="197"/>
  <c r="T64" i="197"/>
  <c r="D31" i="197"/>
  <c r="L31" i="197"/>
  <c r="T31" i="197"/>
  <c r="H32" i="197"/>
  <c r="P32" i="197"/>
  <c r="D36" i="197"/>
  <c r="L36" i="197"/>
  <c r="T36" i="197"/>
  <c r="H37" i="197"/>
  <c r="P37" i="197"/>
  <c r="D38" i="197"/>
  <c r="L38" i="197"/>
  <c r="T38" i="197"/>
  <c r="H39" i="197"/>
  <c r="P39" i="197"/>
  <c r="D40" i="197"/>
  <c r="L40" i="197"/>
  <c r="T40" i="197"/>
  <c r="H41" i="197"/>
  <c r="P41" i="197"/>
  <c r="D42" i="197"/>
  <c r="L42" i="197"/>
  <c r="T42" i="197"/>
  <c r="H43" i="197"/>
  <c r="P43" i="197"/>
  <c r="D44" i="197"/>
  <c r="L44" i="197"/>
  <c r="T44" i="197"/>
  <c r="H45" i="197"/>
  <c r="P45" i="197"/>
  <c r="H53" i="197"/>
  <c r="P53" i="197"/>
  <c r="D54" i="197"/>
  <c r="L54" i="197"/>
  <c r="T54" i="197"/>
  <c r="H55" i="197"/>
  <c r="P55" i="197"/>
  <c r="D56" i="197"/>
  <c r="L56" i="197"/>
  <c r="T56" i="197"/>
  <c r="H57" i="197"/>
  <c r="P57" i="197"/>
  <c r="D58" i="197"/>
  <c r="L58" i="197"/>
  <c r="T58" i="197"/>
  <c r="H59" i="197"/>
  <c r="P59" i="197"/>
  <c r="D60" i="197"/>
  <c r="L60" i="197"/>
  <c r="T60" i="197"/>
  <c r="H61" i="197"/>
  <c r="P61" i="197"/>
  <c r="L63" i="197"/>
  <c r="H64" i="197"/>
  <c r="D65" i="197"/>
  <c r="T65" i="197"/>
  <c r="P66" i="197"/>
  <c r="L67" i="197"/>
  <c r="H68" i="197"/>
  <c r="D69" i="197"/>
  <c r="T69" i="197"/>
  <c r="P70" i="197"/>
  <c r="L71" i="197"/>
  <c r="H72" i="197"/>
  <c r="D73" i="197"/>
  <c r="T73" i="197"/>
  <c r="P74" i="197"/>
  <c r="L75" i="197"/>
  <c r="H76" i="197"/>
  <c r="D77" i="197"/>
  <c r="T77" i="197"/>
  <c r="P78" i="197"/>
  <c r="L79" i="197"/>
  <c r="H80" i="197"/>
  <c r="D81" i="197"/>
  <c r="T81" i="197"/>
  <c r="D84" i="197"/>
  <c r="P86" i="197"/>
  <c r="H88" i="197"/>
  <c r="T89" i="197"/>
  <c r="L91" i="197"/>
  <c r="H94" i="197"/>
  <c r="P100" i="197"/>
  <c r="T103" i="197"/>
  <c r="D111" i="197"/>
  <c r="L111" i="197"/>
  <c r="T111" i="197"/>
  <c r="H113" i="197"/>
  <c r="D28" i="197"/>
  <c r="H28" i="197"/>
  <c r="L28" i="197"/>
  <c r="P28" i="197"/>
  <c r="T28" i="197"/>
  <c r="D82" i="197"/>
  <c r="D83" i="197"/>
  <c r="T86" i="197"/>
  <c r="L88" i="197"/>
  <c r="D90" i="197"/>
  <c r="P91" i="197"/>
  <c r="P94" i="197"/>
  <c r="D101" i="197"/>
  <c r="H104" i="197"/>
  <c r="T114" i="197"/>
  <c r="D53" i="197"/>
  <c r="L53" i="197"/>
  <c r="T53" i="197"/>
  <c r="H54" i="197"/>
  <c r="P54" i="197"/>
  <c r="D55" i="197"/>
  <c r="L55" i="197"/>
  <c r="T55" i="197"/>
  <c r="H56" i="197"/>
  <c r="P56" i="197"/>
  <c r="D57" i="197"/>
  <c r="L57" i="197"/>
  <c r="T57" i="197"/>
  <c r="H58" i="197"/>
  <c r="P58" i="197"/>
  <c r="D59" i="197"/>
  <c r="L59" i="197"/>
  <c r="T59" i="197"/>
  <c r="H60" i="197"/>
  <c r="P60" i="197"/>
  <c r="D61" i="197"/>
  <c r="L61" i="197"/>
  <c r="T61" i="197"/>
  <c r="D63" i="197"/>
  <c r="T63" i="197"/>
  <c r="P64" i="197"/>
  <c r="L65" i="197"/>
  <c r="H66" i="197"/>
  <c r="D67" i="197"/>
  <c r="T67" i="197"/>
  <c r="P68" i="197"/>
  <c r="L69" i="197"/>
  <c r="H70" i="197"/>
  <c r="D71" i="197"/>
  <c r="T71" i="197"/>
  <c r="P72" i="197"/>
  <c r="L73" i="197"/>
  <c r="H74" i="197"/>
  <c r="D75" i="197"/>
  <c r="T75" i="197"/>
  <c r="P76" i="197"/>
  <c r="L77" i="197"/>
  <c r="H78" i="197"/>
  <c r="D79" i="197"/>
  <c r="T79" i="197"/>
  <c r="P80" i="197"/>
  <c r="L81" i="197"/>
  <c r="L82" i="197"/>
  <c r="L83" i="197"/>
  <c r="L87" i="197"/>
  <c r="D89" i="197"/>
  <c r="P90" i="197"/>
  <c r="P92" i="197"/>
  <c r="D99" i="197"/>
  <c r="F111" i="197"/>
  <c r="N111" i="197"/>
  <c r="V111" i="197"/>
  <c r="H111" i="197"/>
  <c r="P111" i="197"/>
  <c r="R111" i="197"/>
  <c r="D115" i="195"/>
  <c r="D113" i="195"/>
  <c r="D97" i="195"/>
  <c r="D72" i="195"/>
  <c r="D31" i="195"/>
  <c r="D36" i="195"/>
  <c r="D38" i="195"/>
  <c r="D40" i="195"/>
  <c r="D42" i="195"/>
  <c r="D44" i="195"/>
  <c r="D59" i="195"/>
  <c r="D91" i="195"/>
  <c r="D28" i="195"/>
  <c r="D114" i="195"/>
  <c r="V21" i="194"/>
  <c r="L111" i="194"/>
  <c r="L113" i="194"/>
  <c r="L43" i="194"/>
  <c r="L42" i="194"/>
  <c r="L25" i="194"/>
  <c r="L24" i="194"/>
  <c r="L41" i="194"/>
  <c r="L45" i="194"/>
  <c r="L44" i="194"/>
  <c r="L37" i="194"/>
  <c r="L36" i="194"/>
  <c r="L27" i="194"/>
  <c r="L26" i="194"/>
  <c r="L115" i="194"/>
  <c r="L114" i="194"/>
  <c r="L39" i="194"/>
  <c r="L38" i="194"/>
  <c r="L28" i="194"/>
  <c r="L20" i="194"/>
  <c r="L19" i="194"/>
  <c r="L40" i="194"/>
  <c r="V115" i="194"/>
  <c r="V113" i="194"/>
  <c r="V96" i="194"/>
  <c r="V94" i="194"/>
  <c r="V82" i="194"/>
  <c r="V80" i="194"/>
  <c r="V74" i="194"/>
  <c r="V72" i="194"/>
  <c r="V62" i="194"/>
  <c r="V60" i="194"/>
  <c r="V58" i="194"/>
  <c r="V95" i="194"/>
  <c r="V87" i="194"/>
  <c r="V79" i="194"/>
  <c r="V71" i="194"/>
  <c r="V45" i="194"/>
  <c r="V43" i="194"/>
  <c r="V41" i="194"/>
  <c r="V39" i="194"/>
  <c r="V37" i="194"/>
  <c r="V32" i="194"/>
  <c r="V28" i="194"/>
  <c r="V27" i="194"/>
  <c r="V25" i="194"/>
  <c r="V23" i="194"/>
  <c r="V20" i="194"/>
  <c r="V97" i="194"/>
  <c r="V89" i="194"/>
  <c r="V73" i="194"/>
  <c r="V114" i="194"/>
  <c r="V91" i="194"/>
  <c r="V53" i="194"/>
  <c r="V42" i="194"/>
  <c r="V24" i="194"/>
  <c r="V61" i="194"/>
  <c r="V46" i="194"/>
  <c r="V40" i="194"/>
  <c r="V93" i="194"/>
  <c r="V57" i="194"/>
  <c r="V44" i="194"/>
  <c r="V36" i="194"/>
  <c r="V26" i="194"/>
  <c r="V38" i="194"/>
  <c r="V19" i="194"/>
  <c r="V69" i="194"/>
  <c r="L21" i="194"/>
  <c r="F115" i="194"/>
  <c r="F113" i="194"/>
  <c r="F114" i="194"/>
  <c r="F45" i="194"/>
  <c r="F43" i="194"/>
  <c r="F41" i="194"/>
  <c r="F39" i="194"/>
  <c r="F37" i="194"/>
  <c r="F32" i="194"/>
  <c r="F28" i="194"/>
  <c r="F27" i="194"/>
  <c r="F25" i="194"/>
  <c r="F23" i="194"/>
  <c r="F20" i="194"/>
  <c r="F38" i="194"/>
  <c r="F19" i="194"/>
  <c r="F40" i="194"/>
  <c r="F21" i="194"/>
  <c r="F42" i="194"/>
  <c r="F24" i="194"/>
  <c r="F44" i="194"/>
  <c r="F36" i="194"/>
  <c r="H112" i="194"/>
  <c r="H111" i="194"/>
  <c r="H115" i="194"/>
  <c r="R114" i="194"/>
  <c r="R115" i="194"/>
  <c r="R44" i="194"/>
  <c r="R42" i="194"/>
  <c r="R40" i="194"/>
  <c r="R38" i="194"/>
  <c r="R36" i="194"/>
  <c r="R28" i="194"/>
  <c r="R26" i="194"/>
  <c r="R24" i="194"/>
  <c r="R21" i="194"/>
  <c r="R19" i="194"/>
  <c r="H36" i="194"/>
  <c r="H43" i="194"/>
  <c r="R43" i="194"/>
  <c r="H44" i="194"/>
  <c r="R111" i="194"/>
  <c r="F112" i="194"/>
  <c r="P20" i="194"/>
  <c r="P21" i="194"/>
  <c r="H23" i="194"/>
  <c r="R23" i="194"/>
  <c r="H24" i="194"/>
  <c r="J25" i="194"/>
  <c r="D112" i="194"/>
  <c r="D111" i="194"/>
  <c r="D113" i="194"/>
  <c r="D115" i="194"/>
  <c r="D114" i="194"/>
  <c r="H28" i="194"/>
  <c r="N115" i="194"/>
  <c r="N113" i="194"/>
  <c r="N45" i="194"/>
  <c r="N43" i="194"/>
  <c r="N41" i="194"/>
  <c r="N39" i="194"/>
  <c r="N37" i="194"/>
  <c r="N32" i="194"/>
  <c r="N28" i="194"/>
  <c r="N27" i="194"/>
  <c r="N25" i="194"/>
  <c r="N23" i="194"/>
  <c r="N20" i="194"/>
  <c r="N114" i="194"/>
  <c r="T112" i="194"/>
  <c r="T111" i="194"/>
  <c r="H32" i="194"/>
  <c r="R32" i="194"/>
  <c r="D38" i="194"/>
  <c r="N38" i="194"/>
  <c r="D39" i="194"/>
  <c r="P39" i="194"/>
  <c r="P40" i="194"/>
  <c r="H41" i="194"/>
  <c r="R41" i="194"/>
  <c r="H42" i="194"/>
  <c r="T42" i="194"/>
  <c r="J43" i="194"/>
  <c r="T43" i="194"/>
  <c r="N46" i="194"/>
  <c r="R113" i="194"/>
  <c r="T114" i="194"/>
  <c r="T115" i="194"/>
  <c r="F46" i="194"/>
  <c r="H20" i="194"/>
  <c r="R20" i="194"/>
  <c r="H21" i="194"/>
  <c r="J114" i="194"/>
  <c r="J44" i="194"/>
  <c r="J42" i="194"/>
  <c r="J40" i="194"/>
  <c r="J38" i="194"/>
  <c r="J36" i="194"/>
  <c r="J28" i="194"/>
  <c r="J26" i="194"/>
  <c r="J24" i="194"/>
  <c r="J21" i="194"/>
  <c r="J19" i="194"/>
  <c r="P111" i="194"/>
  <c r="P114" i="194"/>
  <c r="P113" i="194"/>
  <c r="P115" i="194"/>
  <c r="J32" i="194"/>
  <c r="P37" i="194"/>
  <c r="P38" i="194"/>
  <c r="H39" i="194"/>
  <c r="R39" i="194"/>
  <c r="H40" i="194"/>
  <c r="J41" i="194"/>
  <c r="P45" i="194"/>
  <c r="J46" i="194"/>
  <c r="P46" i="194"/>
  <c r="J111" i="194"/>
  <c r="T113" i="194"/>
  <c r="T46" i="194"/>
  <c r="F111" i="194"/>
  <c r="V111" i="194"/>
  <c r="D115" i="193"/>
  <c r="D113" i="193"/>
  <c r="D114" i="193"/>
  <c r="L115" i="193"/>
  <c r="L113" i="193"/>
  <c r="L114" i="193"/>
  <c r="T115" i="193"/>
  <c r="T113" i="193"/>
  <c r="D36" i="193"/>
  <c r="T36" i="193"/>
  <c r="P37" i="193"/>
  <c r="L38" i="193"/>
  <c r="H39" i="193"/>
  <c r="D40" i="193"/>
  <c r="T40" i="193"/>
  <c r="P41" i="193"/>
  <c r="L42" i="193"/>
  <c r="H43" i="193"/>
  <c r="L44" i="193"/>
  <c r="H45" i="193"/>
  <c r="P45" i="193"/>
  <c r="D28" i="193"/>
  <c r="H28" i="193"/>
  <c r="L28" i="193"/>
  <c r="P28" i="193"/>
  <c r="T28" i="193"/>
  <c r="D111" i="193"/>
  <c r="L111" i="193"/>
  <c r="T111" i="193"/>
  <c r="H114" i="193"/>
  <c r="H115" i="193"/>
  <c r="P114" i="193"/>
  <c r="P115" i="193"/>
  <c r="P113" i="193"/>
  <c r="H32" i="193"/>
  <c r="P32" i="193"/>
  <c r="L36" i="193"/>
  <c r="H37" i="193"/>
  <c r="D38" i="193"/>
  <c r="T38" i="193"/>
  <c r="P39" i="193"/>
  <c r="L40" i="193"/>
  <c r="H41" i="193"/>
  <c r="D42" i="193"/>
  <c r="T42" i="193"/>
  <c r="P43" i="193"/>
  <c r="D44" i="193"/>
  <c r="T44" i="193"/>
  <c r="H19" i="193"/>
  <c r="P19" i="193"/>
  <c r="D20" i="193"/>
  <c r="L20" i="193"/>
  <c r="T20" i="193"/>
  <c r="H21" i="193"/>
  <c r="P21" i="193"/>
  <c r="D23" i="193"/>
  <c r="L23" i="193"/>
  <c r="T23" i="193"/>
  <c r="H24" i="193"/>
  <c r="P24" i="193"/>
  <c r="D25" i="193"/>
  <c r="L25" i="193"/>
  <c r="T25" i="193"/>
  <c r="H26" i="193"/>
  <c r="P26" i="193"/>
  <c r="D27" i="193"/>
  <c r="L27" i="193"/>
  <c r="T27" i="193"/>
  <c r="F115" i="193"/>
  <c r="F113" i="193"/>
  <c r="F114" i="193"/>
  <c r="J114" i="193"/>
  <c r="J115" i="193"/>
  <c r="J113" i="193"/>
  <c r="N115" i="193"/>
  <c r="N113" i="193"/>
  <c r="N114" i="193"/>
  <c r="R114" i="193"/>
  <c r="R115" i="193"/>
  <c r="R113" i="193"/>
  <c r="V115" i="193"/>
  <c r="V113" i="193"/>
  <c r="V96" i="193"/>
  <c r="V94" i="193"/>
  <c r="V114" i="193"/>
  <c r="V97" i="193"/>
  <c r="V95" i="193"/>
  <c r="V93" i="193"/>
  <c r="V87" i="193"/>
  <c r="V81" i="193"/>
  <c r="V79" i="193"/>
  <c r="V71" i="193"/>
  <c r="D32" i="193"/>
  <c r="L32" i="193"/>
  <c r="T32" i="193"/>
  <c r="H36" i="193"/>
  <c r="P36" i="193"/>
  <c r="D37" i="193"/>
  <c r="L37" i="193"/>
  <c r="T37" i="193"/>
  <c r="H38" i="193"/>
  <c r="P38" i="193"/>
  <c r="D39" i="193"/>
  <c r="L39" i="193"/>
  <c r="T39" i="193"/>
  <c r="H40" i="193"/>
  <c r="P40" i="193"/>
  <c r="D41" i="193"/>
  <c r="L41" i="193"/>
  <c r="T41" i="193"/>
  <c r="H42" i="193"/>
  <c r="P42" i="193"/>
  <c r="D43" i="193"/>
  <c r="L43" i="193"/>
  <c r="T43" i="193"/>
  <c r="H44" i="193"/>
  <c r="P44" i="193"/>
  <c r="D45" i="193"/>
  <c r="L45" i="193"/>
  <c r="T45" i="193"/>
  <c r="T114" i="193"/>
  <c r="F27" i="193"/>
  <c r="N27" i="193"/>
  <c r="V27" i="193"/>
  <c r="F28" i="193"/>
  <c r="J28" i="193"/>
  <c r="N28" i="193"/>
  <c r="R28" i="193"/>
  <c r="V28" i="193"/>
  <c r="F32" i="193"/>
  <c r="N32" i="193"/>
  <c r="V32" i="193"/>
  <c r="J36" i="193"/>
  <c r="R36" i="193"/>
  <c r="F37" i="193"/>
  <c r="N37" i="193"/>
  <c r="V37" i="193"/>
  <c r="J38" i="193"/>
  <c r="R38" i="193"/>
  <c r="F39" i="193"/>
  <c r="N39" i="193"/>
  <c r="V39" i="193"/>
  <c r="J40" i="193"/>
  <c r="R40" i="193"/>
  <c r="F41" i="193"/>
  <c r="N41" i="193"/>
  <c r="V41" i="193"/>
  <c r="J42" i="193"/>
  <c r="R42" i="193"/>
  <c r="F43" i="193"/>
  <c r="N43" i="193"/>
  <c r="V43" i="193"/>
  <c r="J44" i="193"/>
  <c r="R44" i="193"/>
  <c r="F45" i="193"/>
  <c r="N45" i="193"/>
  <c r="V45" i="193"/>
  <c r="V61" i="193"/>
  <c r="F111" i="193"/>
  <c r="N111" i="193"/>
  <c r="V111" i="193"/>
  <c r="H111" i="193"/>
  <c r="P111" i="193"/>
  <c r="J111" i="193"/>
  <c r="R111" i="193"/>
  <c r="D114" i="175"/>
  <c r="D113" i="175"/>
  <c r="D45" i="175"/>
  <c r="D43" i="175"/>
  <c r="D41" i="175"/>
  <c r="D39" i="175"/>
  <c r="D37" i="175"/>
  <c r="D115" i="175"/>
  <c r="H115" i="175"/>
  <c r="H113" i="175"/>
  <c r="H44" i="175"/>
  <c r="H42" i="175"/>
  <c r="H40" i="175"/>
  <c r="H38" i="175"/>
  <c r="H36" i="175"/>
  <c r="H114" i="175"/>
  <c r="L114" i="175"/>
  <c r="L115" i="175"/>
  <c r="L45" i="175"/>
  <c r="L43" i="175"/>
  <c r="L41" i="175"/>
  <c r="L39" i="175"/>
  <c r="L37" i="175"/>
  <c r="L113" i="175"/>
  <c r="P115" i="175"/>
  <c r="P113" i="175"/>
  <c r="P114" i="175"/>
  <c r="P44" i="175"/>
  <c r="P42" i="175"/>
  <c r="P40" i="175"/>
  <c r="P38" i="175"/>
  <c r="P36" i="175"/>
  <c r="T114" i="175"/>
  <c r="T113" i="175"/>
  <c r="T45" i="175"/>
  <c r="T43" i="175"/>
  <c r="T41" i="175"/>
  <c r="T39" i="175"/>
  <c r="T37" i="175"/>
  <c r="T115" i="175"/>
  <c r="D31" i="175"/>
  <c r="L31" i="175"/>
  <c r="T31" i="175"/>
  <c r="H32" i="175"/>
  <c r="P32" i="175"/>
  <c r="H33" i="175"/>
  <c r="D36" i="175"/>
  <c r="T36" i="175"/>
  <c r="P37" i="175"/>
  <c r="L38" i="175"/>
  <c r="H39" i="175"/>
  <c r="D40" i="175"/>
  <c r="T40" i="175"/>
  <c r="P41" i="175"/>
  <c r="L42" i="175"/>
  <c r="H43" i="175"/>
  <c r="D44" i="175"/>
  <c r="T44" i="175"/>
  <c r="P45" i="175"/>
  <c r="F46" i="175"/>
  <c r="L46" i="175"/>
  <c r="V46" i="175"/>
  <c r="F114" i="175"/>
  <c r="F115" i="175"/>
  <c r="F44" i="175"/>
  <c r="F42" i="175"/>
  <c r="F40" i="175"/>
  <c r="F38" i="175"/>
  <c r="F36" i="175"/>
  <c r="J115" i="175"/>
  <c r="J113" i="175"/>
  <c r="J114" i="175"/>
  <c r="J45" i="175"/>
  <c r="J43" i="175"/>
  <c r="J41" i="175"/>
  <c r="J39" i="175"/>
  <c r="J37" i="175"/>
  <c r="N114" i="175"/>
  <c r="N113" i="175"/>
  <c r="N44" i="175"/>
  <c r="N42" i="175"/>
  <c r="N40" i="175"/>
  <c r="N38" i="175"/>
  <c r="N36" i="175"/>
  <c r="R115" i="175"/>
  <c r="R113" i="175"/>
  <c r="R45" i="175"/>
  <c r="R43" i="175"/>
  <c r="R41" i="175"/>
  <c r="R39" i="175"/>
  <c r="R37" i="175"/>
  <c r="V114" i="175"/>
  <c r="V115" i="175"/>
  <c r="V44" i="175"/>
  <c r="V42" i="175"/>
  <c r="V40" i="175"/>
  <c r="V38" i="175"/>
  <c r="V36" i="175"/>
  <c r="L36" i="175"/>
  <c r="H37" i="175"/>
  <c r="D38" i="175"/>
  <c r="T38" i="175"/>
  <c r="P39" i="175"/>
  <c r="L40" i="175"/>
  <c r="H41" i="175"/>
  <c r="D42" i="175"/>
  <c r="T42" i="175"/>
  <c r="P43" i="175"/>
  <c r="L44" i="175"/>
  <c r="H45" i="175"/>
  <c r="D46" i="175"/>
  <c r="N46" i="175"/>
  <c r="T46" i="175"/>
  <c r="N115" i="175"/>
  <c r="D28" i="174"/>
  <c r="H28" i="174"/>
  <c r="L28" i="174"/>
  <c r="P28" i="174"/>
  <c r="T28" i="174"/>
  <c r="P37" i="174"/>
  <c r="L38" i="174"/>
  <c r="H39" i="174"/>
  <c r="D40" i="174"/>
  <c r="T40" i="174"/>
  <c r="P41" i="174"/>
  <c r="L42" i="174"/>
  <c r="H43" i="174"/>
  <c r="L44" i="174"/>
  <c r="D46" i="174"/>
  <c r="L46" i="174"/>
  <c r="T46" i="174"/>
  <c r="D115" i="174"/>
  <c r="D113" i="174"/>
  <c r="D114" i="174"/>
  <c r="D45" i="174"/>
  <c r="D43" i="174"/>
  <c r="D41" i="174"/>
  <c r="D39" i="174"/>
  <c r="D37" i="174"/>
  <c r="L115" i="174"/>
  <c r="L113" i="174"/>
  <c r="L114" i="174"/>
  <c r="L45" i="174"/>
  <c r="L43" i="174"/>
  <c r="L41" i="174"/>
  <c r="L39" i="174"/>
  <c r="L37" i="174"/>
  <c r="T115" i="174"/>
  <c r="T113" i="174"/>
  <c r="T114" i="174"/>
  <c r="T45" i="174"/>
  <c r="T43" i="174"/>
  <c r="T41" i="174"/>
  <c r="T39" i="174"/>
  <c r="T37" i="174"/>
  <c r="L31" i="174"/>
  <c r="H32" i="174"/>
  <c r="L36" i="174"/>
  <c r="D44" i="174"/>
  <c r="H19" i="174"/>
  <c r="P19" i="174"/>
  <c r="D20" i="174"/>
  <c r="L20" i="174"/>
  <c r="T20" i="174"/>
  <c r="H21" i="174"/>
  <c r="P21" i="174"/>
  <c r="D25" i="174"/>
  <c r="L25" i="174"/>
  <c r="T25" i="174"/>
  <c r="H26" i="174"/>
  <c r="P26" i="174"/>
  <c r="D27" i="174"/>
  <c r="L27" i="174"/>
  <c r="T27" i="174"/>
  <c r="F115" i="174"/>
  <c r="F113" i="174"/>
  <c r="F114" i="174"/>
  <c r="F46" i="174"/>
  <c r="F45" i="174"/>
  <c r="F44" i="174"/>
  <c r="F42" i="174"/>
  <c r="F40" i="174"/>
  <c r="F38" i="174"/>
  <c r="J114" i="174"/>
  <c r="J115" i="174"/>
  <c r="J113" i="174"/>
  <c r="J46" i="174"/>
  <c r="J44" i="174"/>
  <c r="J45" i="174"/>
  <c r="J43" i="174"/>
  <c r="J41" i="174"/>
  <c r="J39" i="174"/>
  <c r="J37" i="174"/>
  <c r="N115" i="174"/>
  <c r="N113" i="174"/>
  <c r="N114" i="174"/>
  <c r="N46" i="174"/>
  <c r="N45" i="174"/>
  <c r="N44" i="174"/>
  <c r="N42" i="174"/>
  <c r="N40" i="174"/>
  <c r="N38" i="174"/>
  <c r="R114" i="174"/>
  <c r="R115" i="174"/>
  <c r="R113" i="174"/>
  <c r="R46" i="174"/>
  <c r="R44" i="174"/>
  <c r="R45" i="174"/>
  <c r="R43" i="174"/>
  <c r="R41" i="174"/>
  <c r="R39" i="174"/>
  <c r="R37" i="174"/>
  <c r="V115" i="174"/>
  <c r="V113" i="174"/>
  <c r="V94" i="174"/>
  <c r="V114" i="174"/>
  <c r="V89" i="174"/>
  <c r="V46" i="174"/>
  <c r="V45" i="174"/>
  <c r="V43" i="174"/>
  <c r="V60" i="174"/>
  <c r="V44" i="174"/>
  <c r="V42" i="174"/>
  <c r="V40" i="174"/>
  <c r="V38" i="174"/>
  <c r="H31" i="174"/>
  <c r="P31" i="174"/>
  <c r="D32" i="174"/>
  <c r="L32" i="174"/>
  <c r="T32" i="174"/>
  <c r="H36" i="174"/>
  <c r="P36" i="174"/>
  <c r="F37" i="174"/>
  <c r="V37" i="174"/>
  <c r="R38" i="174"/>
  <c r="N39" i="174"/>
  <c r="J40" i="174"/>
  <c r="F41" i="174"/>
  <c r="V41" i="174"/>
  <c r="R42" i="174"/>
  <c r="N43" i="174"/>
  <c r="T44" i="174"/>
  <c r="H114" i="174"/>
  <c r="H115" i="174"/>
  <c r="H44" i="174"/>
  <c r="H42" i="174"/>
  <c r="H40" i="174"/>
  <c r="H38" i="174"/>
  <c r="H113" i="174"/>
  <c r="P114" i="174"/>
  <c r="P115" i="174"/>
  <c r="P113" i="174"/>
  <c r="P44" i="174"/>
  <c r="P42" i="174"/>
  <c r="P40" i="174"/>
  <c r="P38" i="174"/>
  <c r="D31" i="174"/>
  <c r="T31" i="174"/>
  <c r="P32" i="174"/>
  <c r="D36" i="174"/>
  <c r="T36" i="174"/>
  <c r="P45" i="174"/>
  <c r="J36" i="174"/>
  <c r="R36" i="174"/>
  <c r="H37" i="174"/>
  <c r="D38" i="174"/>
  <c r="T38" i="174"/>
  <c r="P39" i="174"/>
  <c r="L40" i="174"/>
  <c r="H41" i="174"/>
  <c r="D42" i="174"/>
  <c r="T42" i="174"/>
  <c r="P43" i="174"/>
  <c r="H45" i="174"/>
  <c r="H46" i="174"/>
  <c r="P46" i="174"/>
  <c r="R21" i="173"/>
  <c r="N27" i="173"/>
  <c r="J114" i="173"/>
  <c r="J115" i="173"/>
  <c r="J45" i="173"/>
  <c r="J43" i="173"/>
  <c r="J41" i="173"/>
  <c r="J39" i="173"/>
  <c r="J37" i="173"/>
  <c r="J32" i="173"/>
  <c r="J27" i="173"/>
  <c r="J25" i="173"/>
  <c r="J20" i="173"/>
  <c r="J113" i="173"/>
  <c r="N28" i="173"/>
  <c r="J31" i="173"/>
  <c r="V52" i="173"/>
  <c r="R114" i="173"/>
  <c r="R113" i="173"/>
  <c r="R45" i="173"/>
  <c r="R43" i="173"/>
  <c r="R41" i="173"/>
  <c r="R39" i="173"/>
  <c r="R37" i="173"/>
  <c r="R32" i="173"/>
  <c r="R27" i="173"/>
  <c r="R25" i="173"/>
  <c r="R20" i="173"/>
  <c r="R31" i="173"/>
  <c r="N115" i="173"/>
  <c r="N113" i="173"/>
  <c r="N114" i="173"/>
  <c r="N44" i="173"/>
  <c r="N42" i="173"/>
  <c r="N40" i="173"/>
  <c r="N38" i="173"/>
  <c r="N36" i="173"/>
  <c r="N31" i="173"/>
  <c r="N26" i="173"/>
  <c r="N21" i="173"/>
  <c r="N19" i="173"/>
  <c r="R28" i="173"/>
  <c r="R36" i="173"/>
  <c r="N37" i="173"/>
  <c r="R40" i="173"/>
  <c r="N41" i="173"/>
  <c r="R44" i="173"/>
  <c r="N45" i="173"/>
  <c r="R19" i="173"/>
  <c r="J21" i="173"/>
  <c r="N25" i="173"/>
  <c r="F115" i="173"/>
  <c r="F113" i="173"/>
  <c r="F44" i="173"/>
  <c r="F42" i="173"/>
  <c r="F40" i="173"/>
  <c r="F38" i="173"/>
  <c r="F36" i="173"/>
  <c r="F31" i="173"/>
  <c r="F26" i="173"/>
  <c r="F21" i="173"/>
  <c r="F19" i="173"/>
  <c r="J28" i="173"/>
  <c r="V115" i="173"/>
  <c r="V113" i="173"/>
  <c r="V89" i="173"/>
  <c r="V44" i="173"/>
  <c r="V42" i="173"/>
  <c r="V40" i="173"/>
  <c r="V38" i="173"/>
  <c r="V36" i="173"/>
  <c r="V31" i="173"/>
  <c r="V26" i="173"/>
  <c r="V21" i="173"/>
  <c r="V19" i="173"/>
  <c r="V114" i="173"/>
  <c r="V95" i="173"/>
  <c r="V57" i="173"/>
  <c r="V73" i="173"/>
  <c r="V60" i="173"/>
  <c r="J36" i="173"/>
  <c r="F37" i="173"/>
  <c r="V37" i="173"/>
  <c r="R38" i="173"/>
  <c r="N39" i="173"/>
  <c r="J40" i="173"/>
  <c r="F41" i="173"/>
  <c r="V41" i="173"/>
  <c r="R42" i="173"/>
  <c r="N43" i="173"/>
  <c r="J44" i="173"/>
  <c r="F45" i="173"/>
  <c r="V45" i="173"/>
  <c r="D115" i="173"/>
  <c r="D113" i="173"/>
  <c r="H114" i="173"/>
  <c r="H115" i="173"/>
  <c r="L115" i="173"/>
  <c r="L113" i="173"/>
  <c r="L114" i="173"/>
  <c r="P114" i="173"/>
  <c r="P113" i="173"/>
  <c r="T115" i="173"/>
  <c r="T113" i="173"/>
  <c r="L31" i="173"/>
  <c r="T31" i="173"/>
  <c r="H32" i="173"/>
  <c r="P32" i="173"/>
  <c r="D36" i="173"/>
  <c r="L36" i="173"/>
  <c r="T36" i="173"/>
  <c r="H37" i="173"/>
  <c r="P37" i="173"/>
  <c r="D38" i="173"/>
  <c r="L38" i="173"/>
  <c r="T38" i="173"/>
  <c r="H39" i="173"/>
  <c r="P39" i="173"/>
  <c r="D40" i="173"/>
  <c r="L40" i="173"/>
  <c r="T40" i="173"/>
  <c r="H41" i="173"/>
  <c r="P41" i="173"/>
  <c r="D42" i="173"/>
  <c r="L42" i="173"/>
  <c r="T42" i="173"/>
  <c r="H43" i="173"/>
  <c r="P43" i="173"/>
  <c r="D44" i="173"/>
  <c r="L44" i="173"/>
  <c r="T44" i="173"/>
  <c r="H45" i="173"/>
  <c r="P45" i="173"/>
  <c r="D28" i="173"/>
  <c r="H28" i="173"/>
  <c r="L28" i="173"/>
  <c r="P28" i="173"/>
  <c r="T28" i="173"/>
  <c r="D114" i="173"/>
  <c r="P115" i="173"/>
  <c r="N115" i="172"/>
  <c r="N113" i="172"/>
  <c r="N114" i="172"/>
  <c r="J114" i="172"/>
  <c r="J115" i="172"/>
  <c r="J113" i="172"/>
  <c r="V115" i="172"/>
  <c r="V113" i="172"/>
  <c r="V94" i="172"/>
  <c r="V114" i="172"/>
  <c r="V93" i="172"/>
  <c r="V82" i="172"/>
  <c r="J19" i="172"/>
  <c r="R19" i="172"/>
  <c r="F20" i="172"/>
  <c r="N20" i="172"/>
  <c r="V20" i="172"/>
  <c r="J21" i="172"/>
  <c r="R21" i="172"/>
  <c r="F25" i="172"/>
  <c r="N25" i="172"/>
  <c r="V25" i="172"/>
  <c r="J26" i="172"/>
  <c r="R26" i="172"/>
  <c r="F27" i="172"/>
  <c r="N27" i="172"/>
  <c r="V27" i="172"/>
  <c r="F28" i="172"/>
  <c r="J28" i="172"/>
  <c r="N28" i="172"/>
  <c r="R28" i="172"/>
  <c r="V28" i="172"/>
  <c r="J31" i="172"/>
  <c r="R31" i="172"/>
  <c r="F32" i="172"/>
  <c r="N32" i="172"/>
  <c r="V32" i="172"/>
  <c r="J36" i="172"/>
  <c r="R36" i="172"/>
  <c r="F37" i="172"/>
  <c r="N37" i="172"/>
  <c r="V37" i="172"/>
  <c r="J38" i="172"/>
  <c r="R38" i="172"/>
  <c r="F39" i="172"/>
  <c r="N39" i="172"/>
  <c r="V39" i="172"/>
  <c r="J40" i="172"/>
  <c r="R40" i="172"/>
  <c r="F41" i="172"/>
  <c r="N41" i="172"/>
  <c r="V41" i="172"/>
  <c r="J42" i="172"/>
  <c r="R42" i="172"/>
  <c r="F43" i="172"/>
  <c r="N43" i="172"/>
  <c r="V43" i="172"/>
  <c r="J44" i="172"/>
  <c r="R44" i="172"/>
  <c r="F45" i="172"/>
  <c r="N45" i="172"/>
  <c r="V45" i="172"/>
  <c r="V61" i="172"/>
  <c r="F115" i="172"/>
  <c r="F113" i="172"/>
  <c r="F114" i="172"/>
  <c r="R114" i="172"/>
  <c r="R115" i="172"/>
  <c r="R113" i="172"/>
  <c r="D115" i="172"/>
  <c r="D113" i="172"/>
  <c r="D114" i="172"/>
  <c r="H114" i="172"/>
  <c r="L115" i="172"/>
  <c r="L113" i="172"/>
  <c r="L114" i="172"/>
  <c r="P114" i="172"/>
  <c r="P115" i="172"/>
  <c r="T115" i="172"/>
  <c r="T113" i="172"/>
  <c r="D31" i="172"/>
  <c r="L31" i="172"/>
  <c r="T31" i="172"/>
  <c r="H32" i="172"/>
  <c r="P32" i="172"/>
  <c r="D36" i="172"/>
  <c r="L36" i="172"/>
  <c r="T36" i="172"/>
  <c r="H37" i="172"/>
  <c r="P37" i="172"/>
  <c r="D38" i="172"/>
  <c r="L38" i="172"/>
  <c r="T38" i="172"/>
  <c r="H39" i="172"/>
  <c r="P39" i="172"/>
  <c r="D40" i="172"/>
  <c r="L40" i="172"/>
  <c r="T40" i="172"/>
  <c r="H41" i="172"/>
  <c r="P41" i="172"/>
  <c r="D42" i="172"/>
  <c r="L42" i="172"/>
  <c r="T42" i="172"/>
  <c r="H43" i="172"/>
  <c r="P43" i="172"/>
  <c r="D44" i="172"/>
  <c r="L44" i="172"/>
  <c r="T44" i="172"/>
  <c r="H45" i="172"/>
  <c r="P45" i="172"/>
  <c r="H115" i="172"/>
  <c r="L114" i="170"/>
  <c r="L113" i="170"/>
  <c r="L45" i="170"/>
  <c r="L43" i="170"/>
  <c r="L41" i="170"/>
  <c r="L39" i="170"/>
  <c r="L37" i="170"/>
  <c r="L32" i="170"/>
  <c r="L27" i="170"/>
  <c r="L25" i="170"/>
  <c r="L20" i="170"/>
  <c r="L115" i="170"/>
  <c r="L28" i="170"/>
  <c r="L38" i="170"/>
  <c r="L31" i="170"/>
  <c r="L21" i="170"/>
  <c r="L44" i="170"/>
  <c r="L36" i="170"/>
  <c r="L42" i="170"/>
  <c r="T115" i="170"/>
  <c r="T114" i="170"/>
  <c r="T113" i="170"/>
  <c r="T45" i="170"/>
  <c r="T43" i="170"/>
  <c r="T41" i="170"/>
  <c r="T39" i="170"/>
  <c r="T37" i="170"/>
  <c r="T32" i="170"/>
  <c r="T27" i="170"/>
  <c r="T25" i="170"/>
  <c r="T20" i="170"/>
  <c r="T28" i="170"/>
  <c r="T44" i="170"/>
  <c r="T36" i="170"/>
  <c r="T19" i="170"/>
  <c r="T42" i="170"/>
  <c r="T26" i="170"/>
  <c r="T21" i="170"/>
  <c r="T40" i="170"/>
  <c r="D42" i="170"/>
  <c r="D115" i="169"/>
  <c r="D113" i="169"/>
  <c r="D114" i="169"/>
  <c r="D45" i="169"/>
  <c r="D43" i="169"/>
  <c r="D41" i="169"/>
  <c r="D39" i="169"/>
  <c r="D44" i="169"/>
  <c r="D42" i="169"/>
  <c r="D40" i="169"/>
  <c r="D38" i="169"/>
  <c r="H114" i="169"/>
  <c r="H44" i="169"/>
  <c r="H42" i="169"/>
  <c r="H40" i="169"/>
  <c r="H38" i="169"/>
  <c r="H115" i="169"/>
  <c r="H113" i="169"/>
  <c r="H45" i="169"/>
  <c r="H43" i="169"/>
  <c r="H41" i="169"/>
  <c r="H39" i="169"/>
  <c r="H37" i="169"/>
  <c r="L115" i="169"/>
  <c r="L113" i="169"/>
  <c r="L45" i="169"/>
  <c r="L43" i="169"/>
  <c r="L41" i="169"/>
  <c r="L39" i="169"/>
  <c r="L44" i="169"/>
  <c r="L42" i="169"/>
  <c r="L40" i="169"/>
  <c r="L38" i="169"/>
  <c r="P114" i="169"/>
  <c r="P115" i="169"/>
  <c r="P44" i="169"/>
  <c r="P42" i="169"/>
  <c r="P40" i="169"/>
  <c r="P38" i="169"/>
  <c r="P113" i="169"/>
  <c r="P45" i="169"/>
  <c r="P43" i="169"/>
  <c r="P41" i="169"/>
  <c r="P39" i="169"/>
  <c r="P37" i="169"/>
  <c r="T115" i="169"/>
  <c r="T113" i="169"/>
  <c r="T45" i="169"/>
  <c r="T43" i="169"/>
  <c r="T41" i="169"/>
  <c r="T39" i="169"/>
  <c r="T114" i="169"/>
  <c r="T44" i="169"/>
  <c r="T42" i="169"/>
  <c r="T40" i="169"/>
  <c r="T38" i="169"/>
  <c r="D31" i="169"/>
  <c r="L31" i="169"/>
  <c r="T31" i="169"/>
  <c r="H32" i="169"/>
  <c r="P32" i="169"/>
  <c r="D36" i="169"/>
  <c r="L36" i="169"/>
  <c r="T36" i="169"/>
  <c r="L37" i="169"/>
  <c r="N41" i="169"/>
  <c r="F43" i="169"/>
  <c r="R44" i="169"/>
  <c r="D46" i="169"/>
  <c r="N46" i="169"/>
  <c r="T46" i="169"/>
  <c r="D21" i="170"/>
  <c r="L26" i="170"/>
  <c r="F26" i="169"/>
  <c r="N26" i="169"/>
  <c r="J27" i="169"/>
  <c r="R27" i="169"/>
  <c r="D28" i="169"/>
  <c r="H28" i="169"/>
  <c r="L28" i="169"/>
  <c r="P28" i="169"/>
  <c r="T28" i="169"/>
  <c r="F31" i="169"/>
  <c r="N31" i="169"/>
  <c r="V31" i="169"/>
  <c r="J32" i="169"/>
  <c r="R32" i="169"/>
  <c r="F36" i="169"/>
  <c r="N36" i="169"/>
  <c r="V36" i="169"/>
  <c r="N37" i="169"/>
  <c r="R38" i="169"/>
  <c r="J40" i="169"/>
  <c r="V41" i="169"/>
  <c r="N43" i="169"/>
  <c r="F45" i="169"/>
  <c r="J46" i="169"/>
  <c r="P46" i="169"/>
  <c r="L114" i="169"/>
  <c r="L19" i="170"/>
  <c r="T31" i="170"/>
  <c r="T38" i="170"/>
  <c r="D115" i="170"/>
  <c r="D114" i="170"/>
  <c r="D113" i="170"/>
  <c r="D45" i="170"/>
  <c r="D43" i="170"/>
  <c r="D41" i="170"/>
  <c r="D39" i="170"/>
  <c r="D37" i="170"/>
  <c r="D32" i="170"/>
  <c r="D27" i="170"/>
  <c r="D25" i="170"/>
  <c r="D20" i="170"/>
  <c r="D28" i="170"/>
  <c r="D40" i="170"/>
  <c r="D38" i="170"/>
  <c r="D31" i="170"/>
  <c r="D26" i="170"/>
  <c r="D44" i="170"/>
  <c r="D36" i="170"/>
  <c r="D19" i="170"/>
  <c r="H19" i="169"/>
  <c r="D20" i="169"/>
  <c r="L20" i="169"/>
  <c r="T20" i="169"/>
  <c r="H21" i="169"/>
  <c r="P21" i="169"/>
  <c r="D25" i="169"/>
  <c r="L25" i="169"/>
  <c r="T25" i="169"/>
  <c r="H26" i="169"/>
  <c r="P26" i="169"/>
  <c r="D27" i="169"/>
  <c r="L27" i="169"/>
  <c r="T27" i="169"/>
  <c r="F115" i="169"/>
  <c r="F113" i="169"/>
  <c r="F114" i="169"/>
  <c r="F44" i="169"/>
  <c r="F42" i="169"/>
  <c r="F40" i="169"/>
  <c r="F38" i="169"/>
  <c r="J114" i="169"/>
  <c r="J115" i="169"/>
  <c r="J113" i="169"/>
  <c r="J45" i="169"/>
  <c r="J43" i="169"/>
  <c r="J41" i="169"/>
  <c r="J39" i="169"/>
  <c r="J37" i="169"/>
  <c r="N115" i="169"/>
  <c r="N113" i="169"/>
  <c r="N114" i="169"/>
  <c r="N44" i="169"/>
  <c r="N42" i="169"/>
  <c r="N40" i="169"/>
  <c r="N38" i="169"/>
  <c r="R114" i="169"/>
  <c r="R115" i="169"/>
  <c r="R113" i="169"/>
  <c r="R45" i="169"/>
  <c r="R43" i="169"/>
  <c r="R41" i="169"/>
  <c r="R39" i="169"/>
  <c r="R37" i="169"/>
  <c r="V115" i="169"/>
  <c r="V113" i="169"/>
  <c r="V114" i="169"/>
  <c r="V72" i="169"/>
  <c r="V44" i="169"/>
  <c r="V42" i="169"/>
  <c r="V40" i="169"/>
  <c r="V38" i="169"/>
  <c r="H31" i="169"/>
  <c r="P31" i="169"/>
  <c r="D32" i="169"/>
  <c r="L32" i="169"/>
  <c r="T32" i="169"/>
  <c r="H36" i="169"/>
  <c r="P36" i="169"/>
  <c r="D37" i="169"/>
  <c r="T37" i="169"/>
  <c r="F39" i="169"/>
  <c r="R40" i="169"/>
  <c r="J42" i="169"/>
  <c r="V43" i="169"/>
  <c r="N45" i="169"/>
  <c r="F46" i="169"/>
  <c r="L46" i="169"/>
  <c r="V46" i="169"/>
  <c r="L40" i="170"/>
  <c r="H32" i="170"/>
  <c r="H33" i="170"/>
  <c r="P33" i="170"/>
  <c r="P37" i="170"/>
  <c r="H39" i="170"/>
  <c r="P45" i="170"/>
  <c r="H115" i="170"/>
  <c r="H114" i="170"/>
  <c r="H113" i="170"/>
  <c r="H44" i="170"/>
  <c r="H42" i="170"/>
  <c r="H40" i="170"/>
  <c r="H38" i="170"/>
  <c r="H36" i="170"/>
  <c r="H31" i="170"/>
  <c r="H26" i="170"/>
  <c r="H21" i="170"/>
  <c r="H19" i="170"/>
  <c r="H28" i="170"/>
  <c r="P113" i="170"/>
  <c r="P115" i="170"/>
  <c r="P44" i="170"/>
  <c r="P42" i="170"/>
  <c r="P40" i="170"/>
  <c r="P38" i="170"/>
  <c r="P36" i="170"/>
  <c r="P31" i="170"/>
  <c r="P26" i="170"/>
  <c r="P21" i="170"/>
  <c r="P19" i="170"/>
  <c r="P28" i="170"/>
  <c r="P32" i="170"/>
  <c r="P39" i="170"/>
  <c r="H41" i="170"/>
  <c r="D46" i="170"/>
  <c r="L46" i="170"/>
  <c r="T46" i="170"/>
  <c r="D33" i="170"/>
  <c r="L33" i="170"/>
  <c r="T33" i="170"/>
  <c r="P41" i="170"/>
  <c r="H43" i="170"/>
  <c r="F31" i="170"/>
  <c r="N31" i="170"/>
  <c r="V31" i="170"/>
  <c r="J32" i="170"/>
  <c r="R32" i="170"/>
  <c r="F36" i="170"/>
  <c r="N36" i="170"/>
  <c r="V36" i="170"/>
  <c r="J37" i="170"/>
  <c r="R37" i="170"/>
  <c r="F38" i="170"/>
  <c r="N38" i="170"/>
  <c r="V38" i="170"/>
  <c r="J39" i="170"/>
  <c r="R39" i="170"/>
  <c r="F40" i="170"/>
  <c r="N40" i="170"/>
  <c r="V40" i="170"/>
  <c r="J41" i="170"/>
  <c r="R41" i="170"/>
  <c r="F42" i="170"/>
  <c r="N42" i="170"/>
  <c r="V42" i="170"/>
  <c r="J43" i="170"/>
  <c r="R43" i="170"/>
  <c r="R45" i="170"/>
  <c r="F115" i="170"/>
  <c r="F113" i="170"/>
  <c r="F114" i="170"/>
  <c r="J114" i="170"/>
  <c r="J115" i="170"/>
  <c r="J113" i="170"/>
  <c r="N115" i="170"/>
  <c r="N113" i="170"/>
  <c r="N114" i="170"/>
  <c r="R114" i="170"/>
  <c r="R115" i="170"/>
  <c r="R113" i="170"/>
  <c r="V115" i="170"/>
  <c r="V113" i="170"/>
  <c r="V114" i="170"/>
  <c r="V97" i="170"/>
  <c r="V87" i="170"/>
  <c r="V80" i="170"/>
  <c r="V72" i="170"/>
  <c r="V52" i="170"/>
  <c r="V81" i="170"/>
  <c r="V71" i="170"/>
  <c r="L111" i="170"/>
  <c r="F25" i="170"/>
  <c r="N25" i="170"/>
  <c r="V25" i="170"/>
  <c r="J26" i="170"/>
  <c r="R26" i="170"/>
  <c r="F27" i="170"/>
  <c r="N27" i="170"/>
  <c r="V27" i="170"/>
  <c r="F28" i="170"/>
  <c r="J28" i="170"/>
  <c r="N28" i="170"/>
  <c r="R28" i="170"/>
  <c r="V28" i="170"/>
  <c r="J31" i="170"/>
  <c r="R31" i="170"/>
  <c r="F32" i="170"/>
  <c r="N32" i="170"/>
  <c r="V32" i="170"/>
  <c r="J36" i="170"/>
  <c r="R36" i="170"/>
  <c r="F37" i="170"/>
  <c r="N37" i="170"/>
  <c r="V37" i="170"/>
  <c r="J38" i="170"/>
  <c r="R38" i="170"/>
  <c r="F39" i="170"/>
  <c r="N39" i="170"/>
  <c r="V39" i="170"/>
  <c r="J40" i="170"/>
  <c r="R40" i="170"/>
  <c r="F41" i="170"/>
  <c r="N41" i="170"/>
  <c r="V41" i="170"/>
  <c r="J42" i="170"/>
  <c r="R42" i="170"/>
  <c r="F43" i="170"/>
  <c r="N43" i="170"/>
  <c r="V43" i="170"/>
  <c r="J44" i="170"/>
  <c r="R44" i="170"/>
  <c r="F45" i="170"/>
  <c r="N45" i="170"/>
  <c r="V45" i="170"/>
  <c r="J27" i="167"/>
  <c r="R27" i="167"/>
  <c r="D28" i="167"/>
  <c r="H28" i="167"/>
  <c r="L28" i="167"/>
  <c r="P28" i="167"/>
  <c r="T28" i="167"/>
  <c r="F31" i="167"/>
  <c r="N31" i="167"/>
  <c r="V31" i="167"/>
  <c r="J32" i="167"/>
  <c r="R32" i="167"/>
  <c r="F36" i="167"/>
  <c r="N36" i="167"/>
  <c r="V36" i="167"/>
  <c r="J37" i="167"/>
  <c r="R37" i="167"/>
  <c r="F38" i="167"/>
  <c r="N38" i="167"/>
  <c r="V38" i="167"/>
  <c r="J39" i="167"/>
  <c r="R39" i="167"/>
  <c r="F40" i="167"/>
  <c r="N40" i="167"/>
  <c r="V40" i="167"/>
  <c r="J41" i="167"/>
  <c r="R41" i="167"/>
  <c r="F42" i="167"/>
  <c r="N42" i="167"/>
  <c r="V42" i="167"/>
  <c r="J43" i="167"/>
  <c r="R43" i="167"/>
  <c r="F44" i="167"/>
  <c r="N44" i="167"/>
  <c r="V44" i="167"/>
  <c r="J45" i="167"/>
  <c r="R45" i="167"/>
  <c r="F114" i="167"/>
  <c r="F115" i="167"/>
  <c r="F113" i="167"/>
  <c r="J115" i="167"/>
  <c r="J113" i="167"/>
  <c r="J114" i="167"/>
  <c r="N114" i="167"/>
  <c r="N115" i="167"/>
  <c r="N113" i="167"/>
  <c r="R115" i="167"/>
  <c r="R113" i="167"/>
  <c r="R114" i="167"/>
  <c r="V114" i="167"/>
  <c r="V93" i="167"/>
  <c r="V87" i="167"/>
  <c r="V71" i="167"/>
  <c r="V61" i="167"/>
  <c r="V115" i="167"/>
  <c r="V113" i="167"/>
  <c r="V80" i="167"/>
  <c r="V72" i="167"/>
  <c r="H31" i="167"/>
  <c r="P31" i="167"/>
  <c r="D32" i="167"/>
  <c r="L32" i="167"/>
  <c r="T32" i="167"/>
  <c r="H36" i="167"/>
  <c r="P36" i="167"/>
  <c r="D37" i="167"/>
  <c r="L37" i="167"/>
  <c r="T37" i="167"/>
  <c r="H38" i="167"/>
  <c r="P38" i="167"/>
  <c r="D39" i="167"/>
  <c r="L39" i="167"/>
  <c r="T39" i="167"/>
  <c r="H40" i="167"/>
  <c r="P40" i="167"/>
  <c r="D41" i="167"/>
  <c r="L41" i="167"/>
  <c r="T41" i="167"/>
  <c r="H42" i="167"/>
  <c r="P42" i="167"/>
  <c r="D43" i="167"/>
  <c r="L43" i="167"/>
  <c r="T43" i="167"/>
  <c r="H44" i="167"/>
  <c r="P44" i="167"/>
  <c r="D45" i="167"/>
  <c r="L45" i="167"/>
  <c r="T45" i="167"/>
  <c r="F28" i="167"/>
  <c r="J28" i="167"/>
  <c r="N28" i="167"/>
  <c r="R28" i="167"/>
  <c r="V28" i="167"/>
  <c r="J31" i="167"/>
  <c r="R31" i="167"/>
  <c r="F32" i="167"/>
  <c r="N32" i="167"/>
  <c r="V32" i="167"/>
  <c r="J36" i="167"/>
  <c r="R36" i="167"/>
  <c r="F37" i="167"/>
  <c r="N37" i="167"/>
  <c r="V37" i="167"/>
  <c r="J38" i="167"/>
  <c r="R38" i="167"/>
  <c r="F39" i="167"/>
  <c r="N39" i="167"/>
  <c r="V39" i="167"/>
  <c r="J40" i="167"/>
  <c r="R40" i="167"/>
  <c r="F41" i="167"/>
  <c r="N41" i="167"/>
  <c r="V41" i="167"/>
  <c r="J42" i="167"/>
  <c r="R42" i="167"/>
  <c r="F43" i="167"/>
  <c r="N43" i="167"/>
  <c r="V43" i="167"/>
  <c r="J44" i="167"/>
  <c r="R44" i="167"/>
  <c r="F45" i="167"/>
  <c r="N45" i="167"/>
  <c r="V45" i="167"/>
  <c r="D114" i="167"/>
  <c r="D115" i="167"/>
  <c r="D113" i="167"/>
  <c r="H115" i="167"/>
  <c r="H113" i="167"/>
  <c r="H114" i="167"/>
  <c r="L114" i="167"/>
  <c r="L115" i="167"/>
  <c r="L113" i="167"/>
  <c r="P115" i="167"/>
  <c r="P113" i="167"/>
  <c r="P114" i="167"/>
  <c r="T114" i="167"/>
  <c r="T115" i="167"/>
  <c r="T113" i="167"/>
  <c r="D31" i="167"/>
  <c r="L31" i="167"/>
  <c r="T31" i="167"/>
  <c r="H32" i="167"/>
  <c r="P32" i="167"/>
  <c r="D36" i="167"/>
  <c r="L36" i="167"/>
  <c r="T36" i="167"/>
  <c r="H37" i="167"/>
  <c r="P37" i="167"/>
  <c r="D38" i="167"/>
  <c r="L38" i="167"/>
  <c r="T38" i="167"/>
  <c r="H39" i="167"/>
  <c r="P39" i="167"/>
  <c r="D40" i="167"/>
  <c r="L40" i="167"/>
  <c r="T40" i="167"/>
  <c r="H41" i="167"/>
  <c r="P41" i="167"/>
  <c r="D42" i="167"/>
  <c r="L42" i="167"/>
  <c r="T42" i="167"/>
  <c r="H43" i="167"/>
  <c r="P43" i="167"/>
  <c r="D44" i="167"/>
  <c r="L44" i="167"/>
  <c r="T44" i="167"/>
  <c r="H45" i="167"/>
  <c r="P45" i="167"/>
  <c r="N112" i="167"/>
  <c r="F115" i="168"/>
  <c r="F113" i="168"/>
  <c r="F114" i="168"/>
  <c r="F44" i="168"/>
  <c r="F42" i="168"/>
  <c r="F40" i="168"/>
  <c r="F38" i="168"/>
  <c r="F36" i="168"/>
  <c r="F31" i="168"/>
  <c r="F45" i="168"/>
  <c r="F43" i="168"/>
  <c r="F41" i="168"/>
  <c r="F39" i="168"/>
  <c r="F37" i="168"/>
  <c r="F32" i="168"/>
  <c r="P114" i="168"/>
  <c r="P115" i="168"/>
  <c r="P113" i="168"/>
  <c r="P44" i="168"/>
  <c r="P42" i="168"/>
  <c r="P40" i="168"/>
  <c r="P38" i="168"/>
  <c r="P36" i="168"/>
  <c r="P28" i="168"/>
  <c r="P45" i="168"/>
  <c r="P43" i="168"/>
  <c r="P41" i="168"/>
  <c r="P39" i="168"/>
  <c r="P37" i="168"/>
  <c r="P32" i="168"/>
  <c r="D31" i="168"/>
  <c r="T31" i="168"/>
  <c r="J33" i="168"/>
  <c r="R33" i="168"/>
  <c r="F46" i="168"/>
  <c r="N46" i="168"/>
  <c r="V46" i="168"/>
  <c r="F28" i="168"/>
  <c r="L115" i="168"/>
  <c r="L113" i="168"/>
  <c r="L114" i="168"/>
  <c r="L45" i="168"/>
  <c r="L43" i="168"/>
  <c r="L41" i="168"/>
  <c r="L39" i="168"/>
  <c r="L37" i="168"/>
  <c r="L28" i="168"/>
  <c r="L44" i="168"/>
  <c r="L42" i="168"/>
  <c r="L40" i="168"/>
  <c r="L38" i="168"/>
  <c r="L36" i="168"/>
  <c r="R114" i="168"/>
  <c r="R115" i="168"/>
  <c r="R113" i="168"/>
  <c r="R45" i="168"/>
  <c r="R43" i="168"/>
  <c r="R41" i="168"/>
  <c r="R39" i="168"/>
  <c r="R37" i="168"/>
  <c r="R32" i="168"/>
  <c r="R44" i="168"/>
  <c r="R42" i="168"/>
  <c r="R40" i="168"/>
  <c r="R38" i="168"/>
  <c r="R36" i="168"/>
  <c r="R31" i="168"/>
  <c r="R28" i="168"/>
  <c r="D33" i="168"/>
  <c r="L33" i="168"/>
  <c r="T33" i="168"/>
  <c r="H46" i="168"/>
  <c r="P46" i="168"/>
  <c r="D115" i="168"/>
  <c r="D113" i="168"/>
  <c r="D114" i="168"/>
  <c r="D45" i="168"/>
  <c r="D43" i="168"/>
  <c r="D41" i="168"/>
  <c r="D39" i="168"/>
  <c r="D37" i="168"/>
  <c r="D44" i="168"/>
  <c r="D42" i="168"/>
  <c r="D40" i="168"/>
  <c r="D38" i="168"/>
  <c r="D36" i="168"/>
  <c r="H114" i="168"/>
  <c r="H115" i="168"/>
  <c r="H113" i="168"/>
  <c r="H44" i="168"/>
  <c r="H42" i="168"/>
  <c r="H40" i="168"/>
  <c r="H38" i="168"/>
  <c r="H36" i="168"/>
  <c r="H28" i="168"/>
  <c r="H45" i="168"/>
  <c r="H43" i="168"/>
  <c r="H41" i="168"/>
  <c r="H39" i="168"/>
  <c r="H37" i="168"/>
  <c r="N115" i="168"/>
  <c r="N113" i="168"/>
  <c r="N114" i="168"/>
  <c r="N44" i="168"/>
  <c r="N42" i="168"/>
  <c r="N40" i="168"/>
  <c r="N38" i="168"/>
  <c r="N36" i="168"/>
  <c r="N31" i="168"/>
  <c r="N45" i="168"/>
  <c r="N43" i="168"/>
  <c r="N41" i="168"/>
  <c r="N39" i="168"/>
  <c r="N37" i="168"/>
  <c r="N32" i="168"/>
  <c r="T115" i="168"/>
  <c r="T113" i="168"/>
  <c r="T114" i="168"/>
  <c r="T45" i="168"/>
  <c r="T43" i="168"/>
  <c r="T41" i="168"/>
  <c r="T39" i="168"/>
  <c r="T37" i="168"/>
  <c r="T28" i="168"/>
  <c r="T44" i="168"/>
  <c r="T42" i="168"/>
  <c r="T40" i="168"/>
  <c r="T38" i="168"/>
  <c r="T36" i="168"/>
  <c r="L31" i="168"/>
  <c r="H32" i="168"/>
  <c r="F33" i="168"/>
  <c r="N33" i="168"/>
  <c r="V33" i="168"/>
  <c r="J46" i="168"/>
  <c r="R46" i="168"/>
  <c r="J114" i="168"/>
  <c r="J115" i="168"/>
  <c r="J113" i="168"/>
  <c r="J45" i="168"/>
  <c r="J43" i="168"/>
  <c r="J41" i="168"/>
  <c r="J39" i="168"/>
  <c r="J37" i="168"/>
  <c r="J32" i="168"/>
  <c r="J44" i="168"/>
  <c r="J42" i="168"/>
  <c r="J40" i="168"/>
  <c r="J38" i="168"/>
  <c r="J36" i="168"/>
  <c r="J31" i="168"/>
  <c r="V115" i="168"/>
  <c r="V113" i="168"/>
  <c r="V114" i="168"/>
  <c r="V73" i="168"/>
  <c r="V44" i="168"/>
  <c r="V42" i="168"/>
  <c r="V40" i="168"/>
  <c r="V38" i="168"/>
  <c r="V36" i="168"/>
  <c r="V31" i="168"/>
  <c r="V57" i="168"/>
  <c r="V45" i="168"/>
  <c r="V43" i="168"/>
  <c r="V41" i="168"/>
  <c r="V39" i="168"/>
  <c r="V37" i="168"/>
  <c r="V32" i="168"/>
  <c r="V28" i="168"/>
  <c r="P31" i="168"/>
  <c r="L32" i="168"/>
  <c r="H33" i="168"/>
  <c r="P33" i="168"/>
  <c r="D46" i="168"/>
  <c r="L46" i="168"/>
  <c r="T46" i="168"/>
  <c r="J27" i="164"/>
  <c r="R27" i="164"/>
  <c r="D28" i="164"/>
  <c r="H28" i="164"/>
  <c r="L28" i="164"/>
  <c r="P28" i="164"/>
  <c r="T28" i="164"/>
  <c r="F31" i="164"/>
  <c r="N31" i="164"/>
  <c r="V31" i="164"/>
  <c r="J32" i="164"/>
  <c r="R32" i="164"/>
  <c r="F36" i="164"/>
  <c r="N36" i="164"/>
  <c r="V36" i="164"/>
  <c r="J37" i="164"/>
  <c r="R37" i="164"/>
  <c r="F38" i="164"/>
  <c r="N38" i="164"/>
  <c r="V38" i="164"/>
  <c r="J39" i="164"/>
  <c r="R39" i="164"/>
  <c r="F40" i="164"/>
  <c r="N40" i="164"/>
  <c r="V40" i="164"/>
  <c r="J41" i="164"/>
  <c r="R41" i="164"/>
  <c r="F42" i="164"/>
  <c r="N42" i="164"/>
  <c r="V42" i="164"/>
  <c r="J43" i="164"/>
  <c r="R43" i="164"/>
  <c r="F44" i="164"/>
  <c r="N44" i="164"/>
  <c r="V44" i="164"/>
  <c r="J45" i="164"/>
  <c r="R45" i="164"/>
  <c r="N46" i="164"/>
  <c r="V80" i="164"/>
  <c r="V84" i="164"/>
  <c r="L112" i="164"/>
  <c r="D113" i="164"/>
  <c r="T113" i="164"/>
  <c r="P114" i="164"/>
  <c r="L115" i="164"/>
  <c r="H19" i="164"/>
  <c r="P19" i="164"/>
  <c r="D20" i="164"/>
  <c r="L20" i="164"/>
  <c r="T20" i="164"/>
  <c r="H21" i="164"/>
  <c r="P21" i="164"/>
  <c r="D25" i="164"/>
  <c r="L25" i="164"/>
  <c r="T25" i="164"/>
  <c r="H26" i="164"/>
  <c r="P26" i="164"/>
  <c r="D27" i="164"/>
  <c r="L27" i="164"/>
  <c r="T27" i="164"/>
  <c r="F114" i="164"/>
  <c r="J115" i="164"/>
  <c r="J113" i="164"/>
  <c r="N114" i="164"/>
  <c r="R115" i="164"/>
  <c r="R113" i="164"/>
  <c r="V114" i="164"/>
  <c r="V97" i="164"/>
  <c r="V95" i="164"/>
  <c r="V87" i="164"/>
  <c r="V83" i="164"/>
  <c r="V81" i="164"/>
  <c r="V71" i="164"/>
  <c r="H31" i="164"/>
  <c r="P31" i="164"/>
  <c r="D32" i="164"/>
  <c r="L32" i="164"/>
  <c r="T32" i="164"/>
  <c r="H36" i="164"/>
  <c r="P36" i="164"/>
  <c r="D37" i="164"/>
  <c r="L37" i="164"/>
  <c r="T37" i="164"/>
  <c r="H38" i="164"/>
  <c r="P38" i="164"/>
  <c r="D39" i="164"/>
  <c r="L39" i="164"/>
  <c r="T39" i="164"/>
  <c r="H40" i="164"/>
  <c r="P40" i="164"/>
  <c r="D41" i="164"/>
  <c r="L41" i="164"/>
  <c r="T41" i="164"/>
  <c r="H42" i="164"/>
  <c r="P42" i="164"/>
  <c r="D43" i="164"/>
  <c r="L43" i="164"/>
  <c r="T43" i="164"/>
  <c r="H44" i="164"/>
  <c r="P44" i="164"/>
  <c r="D45" i="164"/>
  <c r="L45" i="164"/>
  <c r="T45" i="164"/>
  <c r="J46" i="164"/>
  <c r="T46" i="164"/>
  <c r="F113" i="164"/>
  <c r="V113" i="164"/>
  <c r="R114" i="164"/>
  <c r="N115" i="164"/>
  <c r="D114" i="164"/>
  <c r="H115" i="164"/>
  <c r="H113" i="164"/>
  <c r="L114" i="164"/>
  <c r="P115" i="164"/>
  <c r="P113" i="164"/>
  <c r="T114" i="164"/>
  <c r="D31" i="164"/>
  <c r="L31" i="164"/>
  <c r="T31" i="164"/>
  <c r="H32" i="164"/>
  <c r="P32" i="164"/>
  <c r="D36" i="164"/>
  <c r="L36" i="164"/>
  <c r="T36" i="164"/>
  <c r="H37" i="164"/>
  <c r="P37" i="164"/>
  <c r="D38" i="164"/>
  <c r="L38" i="164"/>
  <c r="T38" i="164"/>
  <c r="H39" i="164"/>
  <c r="P39" i="164"/>
  <c r="D40" i="164"/>
  <c r="L40" i="164"/>
  <c r="T40" i="164"/>
  <c r="H41" i="164"/>
  <c r="P41" i="164"/>
  <c r="D42" i="164"/>
  <c r="L42" i="164"/>
  <c r="T42" i="164"/>
  <c r="H43" i="164"/>
  <c r="P43" i="164"/>
  <c r="D44" i="164"/>
  <c r="L44" i="164"/>
  <c r="T44" i="164"/>
  <c r="H45" i="164"/>
  <c r="P45" i="164"/>
  <c r="D115" i="165"/>
  <c r="D113" i="165"/>
  <c r="D114" i="165"/>
  <c r="H114" i="165"/>
  <c r="H115" i="165"/>
  <c r="H113" i="165"/>
  <c r="L115" i="165"/>
  <c r="L113" i="165"/>
  <c r="L114" i="165"/>
  <c r="P114" i="165"/>
  <c r="P115" i="165"/>
  <c r="P113" i="165"/>
  <c r="T115" i="165"/>
  <c r="T113" i="165"/>
  <c r="T114" i="165"/>
  <c r="D31" i="165"/>
  <c r="L31" i="165"/>
  <c r="T31" i="165"/>
  <c r="H32" i="165"/>
  <c r="P32" i="165"/>
  <c r="D36" i="165"/>
  <c r="L36" i="165"/>
  <c r="T36" i="165"/>
  <c r="H37" i="165"/>
  <c r="P37" i="165"/>
  <c r="D38" i="165"/>
  <c r="L38" i="165"/>
  <c r="T38" i="165"/>
  <c r="H39" i="165"/>
  <c r="P39" i="165"/>
  <c r="D40" i="165"/>
  <c r="L40" i="165"/>
  <c r="T40" i="165"/>
  <c r="H41" i="165"/>
  <c r="P41" i="165"/>
  <c r="D42" i="165"/>
  <c r="L42" i="165"/>
  <c r="T42" i="165"/>
  <c r="H43" i="165"/>
  <c r="P43" i="165"/>
  <c r="D44" i="165"/>
  <c r="L44" i="165"/>
  <c r="T44" i="165"/>
  <c r="H45" i="165"/>
  <c r="P45" i="165"/>
  <c r="J27" i="165"/>
  <c r="R27" i="165"/>
  <c r="D28" i="165"/>
  <c r="H28" i="165"/>
  <c r="L28" i="165"/>
  <c r="P28" i="165"/>
  <c r="T28" i="165"/>
  <c r="F31" i="165"/>
  <c r="N31" i="165"/>
  <c r="V31" i="165"/>
  <c r="J32" i="165"/>
  <c r="R32" i="165"/>
  <c r="F36" i="165"/>
  <c r="N36" i="165"/>
  <c r="V36" i="165"/>
  <c r="J37" i="165"/>
  <c r="R37" i="165"/>
  <c r="F38" i="165"/>
  <c r="N38" i="165"/>
  <c r="V38" i="165"/>
  <c r="J39" i="165"/>
  <c r="R39" i="165"/>
  <c r="F40" i="165"/>
  <c r="N40" i="165"/>
  <c r="V40" i="165"/>
  <c r="J41" i="165"/>
  <c r="R41" i="165"/>
  <c r="F42" i="165"/>
  <c r="N42" i="165"/>
  <c r="V42" i="165"/>
  <c r="J43" i="165"/>
  <c r="R43" i="165"/>
  <c r="F44" i="165"/>
  <c r="N44" i="165"/>
  <c r="V44" i="165"/>
  <c r="J45" i="165"/>
  <c r="R45" i="165"/>
  <c r="F115" i="165"/>
  <c r="F113" i="165"/>
  <c r="F114" i="165"/>
  <c r="J114" i="165"/>
  <c r="J115" i="165"/>
  <c r="J113" i="165"/>
  <c r="N115" i="165"/>
  <c r="N113" i="165"/>
  <c r="N114" i="165"/>
  <c r="R114" i="165"/>
  <c r="R115" i="165"/>
  <c r="R113" i="165"/>
  <c r="V115" i="165"/>
  <c r="V113" i="165"/>
  <c r="V114" i="165"/>
  <c r="V85" i="165"/>
  <c r="V73" i="165"/>
  <c r="H31" i="165"/>
  <c r="P31" i="165"/>
  <c r="D32" i="165"/>
  <c r="L32" i="165"/>
  <c r="T32" i="165"/>
  <c r="H36" i="165"/>
  <c r="P36" i="165"/>
  <c r="D37" i="165"/>
  <c r="L37" i="165"/>
  <c r="T37" i="165"/>
  <c r="H38" i="165"/>
  <c r="P38" i="165"/>
  <c r="D39" i="165"/>
  <c r="L39" i="165"/>
  <c r="T39" i="165"/>
  <c r="H40" i="165"/>
  <c r="P40" i="165"/>
  <c r="D41" i="165"/>
  <c r="L41" i="165"/>
  <c r="T41" i="165"/>
  <c r="H42" i="165"/>
  <c r="P42" i="165"/>
  <c r="D43" i="165"/>
  <c r="L43" i="165"/>
  <c r="T43" i="165"/>
  <c r="H44" i="165"/>
  <c r="P44" i="165"/>
  <c r="D45" i="165"/>
  <c r="L45" i="165"/>
  <c r="T45" i="165"/>
  <c r="F28" i="165"/>
  <c r="J28" i="165"/>
  <c r="N28" i="165"/>
  <c r="R28" i="165"/>
  <c r="V28" i="165"/>
  <c r="J31" i="165"/>
  <c r="R31" i="165"/>
  <c r="F32" i="165"/>
  <c r="N32" i="165"/>
  <c r="V32" i="165"/>
  <c r="J36" i="165"/>
  <c r="R36" i="165"/>
  <c r="F37" i="165"/>
  <c r="N37" i="165"/>
  <c r="V37" i="165"/>
  <c r="J38" i="165"/>
  <c r="R38" i="165"/>
  <c r="F39" i="165"/>
  <c r="N39" i="165"/>
  <c r="V39" i="165"/>
  <c r="J40" i="165"/>
  <c r="R40" i="165"/>
  <c r="F41" i="165"/>
  <c r="N41" i="165"/>
  <c r="V41" i="165"/>
  <c r="J42" i="165"/>
  <c r="R42" i="165"/>
  <c r="F43" i="165"/>
  <c r="N43" i="165"/>
  <c r="V43" i="165"/>
  <c r="J44" i="165"/>
  <c r="R44" i="165"/>
  <c r="F45" i="165"/>
  <c r="N45" i="165"/>
  <c r="V45" i="165"/>
  <c r="H19" i="163"/>
  <c r="P19" i="163"/>
  <c r="D20" i="163"/>
  <c r="L20" i="163"/>
  <c r="T20" i="163"/>
  <c r="H21" i="163"/>
  <c r="P21" i="163"/>
  <c r="D25" i="163"/>
  <c r="L25" i="163"/>
  <c r="T25" i="163"/>
  <c r="H26" i="163"/>
  <c r="P26" i="163"/>
  <c r="D27" i="163"/>
  <c r="L27" i="163"/>
  <c r="T27" i="163"/>
  <c r="F115" i="163"/>
  <c r="F113" i="163"/>
  <c r="F114" i="163"/>
  <c r="J114" i="163"/>
  <c r="J93" i="163"/>
  <c r="J85" i="163"/>
  <c r="J115" i="163"/>
  <c r="J113" i="163"/>
  <c r="J96" i="163"/>
  <c r="J82" i="163"/>
  <c r="J74" i="163"/>
  <c r="J62" i="163"/>
  <c r="J83" i="163"/>
  <c r="J71" i="163"/>
  <c r="J69" i="163"/>
  <c r="N115" i="163"/>
  <c r="N113" i="163"/>
  <c r="N114" i="163"/>
  <c r="N91" i="163"/>
  <c r="N89" i="163"/>
  <c r="N87" i="163"/>
  <c r="N72" i="163"/>
  <c r="N62" i="163"/>
  <c r="N58" i="163"/>
  <c r="R114" i="163"/>
  <c r="R89" i="163"/>
  <c r="R87" i="163"/>
  <c r="R115" i="163"/>
  <c r="R113" i="163"/>
  <c r="R84" i="163"/>
  <c r="R80" i="163"/>
  <c r="R74" i="163"/>
  <c r="R72" i="163"/>
  <c r="R83" i="163"/>
  <c r="R73" i="163"/>
  <c r="R61" i="163"/>
  <c r="R57" i="163"/>
  <c r="V115" i="163"/>
  <c r="V113" i="163"/>
  <c r="V114" i="163"/>
  <c r="V97" i="163"/>
  <c r="V95" i="163"/>
  <c r="V87" i="163"/>
  <c r="V81" i="163"/>
  <c r="V73" i="163"/>
  <c r="V71" i="163"/>
  <c r="V60" i="163"/>
  <c r="H31" i="163"/>
  <c r="P31" i="163"/>
  <c r="D32" i="163"/>
  <c r="L32" i="163"/>
  <c r="T32" i="163"/>
  <c r="H36" i="163"/>
  <c r="P36" i="163"/>
  <c r="D37" i="163"/>
  <c r="L37" i="163"/>
  <c r="T37" i="163"/>
  <c r="H38" i="163"/>
  <c r="P38" i="163"/>
  <c r="D39" i="163"/>
  <c r="L39" i="163"/>
  <c r="T39" i="163"/>
  <c r="H40" i="163"/>
  <c r="P40" i="163"/>
  <c r="D41" i="163"/>
  <c r="L41" i="163"/>
  <c r="T41" i="163"/>
  <c r="H42" i="163"/>
  <c r="P42" i="163"/>
  <c r="D43" i="163"/>
  <c r="L43" i="163"/>
  <c r="T43" i="163"/>
  <c r="H44" i="163"/>
  <c r="P44" i="163"/>
  <c r="D45" i="163"/>
  <c r="L45" i="163"/>
  <c r="T45" i="163"/>
  <c r="P52" i="163"/>
  <c r="R55" i="163"/>
  <c r="F28" i="163"/>
  <c r="J28" i="163"/>
  <c r="N28" i="163"/>
  <c r="R28" i="163"/>
  <c r="V28" i="163"/>
  <c r="J31" i="163"/>
  <c r="R31" i="163"/>
  <c r="F32" i="163"/>
  <c r="N32" i="163"/>
  <c r="V32" i="163"/>
  <c r="J36" i="163"/>
  <c r="R36" i="163"/>
  <c r="F37" i="163"/>
  <c r="N37" i="163"/>
  <c r="V37" i="163"/>
  <c r="J38" i="163"/>
  <c r="R38" i="163"/>
  <c r="F39" i="163"/>
  <c r="N39" i="163"/>
  <c r="V39" i="163"/>
  <c r="J40" i="163"/>
  <c r="R40" i="163"/>
  <c r="F41" i="163"/>
  <c r="N41" i="163"/>
  <c r="V41" i="163"/>
  <c r="J42" i="163"/>
  <c r="R42" i="163"/>
  <c r="F43" i="163"/>
  <c r="N43" i="163"/>
  <c r="V43" i="163"/>
  <c r="J44" i="163"/>
  <c r="R44" i="163"/>
  <c r="F45" i="163"/>
  <c r="N45" i="163"/>
  <c r="V45" i="163"/>
  <c r="V46" i="163"/>
  <c r="D115" i="163"/>
  <c r="D113" i="163"/>
  <c r="D114" i="163"/>
  <c r="H114" i="163"/>
  <c r="H85" i="163"/>
  <c r="H115" i="163"/>
  <c r="H113" i="163"/>
  <c r="H79" i="163"/>
  <c r="L115" i="163"/>
  <c r="L113" i="163"/>
  <c r="L96" i="163"/>
  <c r="L94" i="163"/>
  <c r="L114" i="163"/>
  <c r="L93" i="163"/>
  <c r="L89" i="163"/>
  <c r="L80" i="163"/>
  <c r="L58" i="163"/>
  <c r="L81" i="163"/>
  <c r="L79" i="163"/>
  <c r="L73" i="163"/>
  <c r="L71" i="163"/>
  <c r="L69" i="163"/>
  <c r="L61" i="163"/>
  <c r="L57" i="163"/>
  <c r="L55" i="163"/>
  <c r="L91" i="163"/>
  <c r="P114" i="163"/>
  <c r="P93" i="163"/>
  <c r="P91" i="163"/>
  <c r="P115" i="163"/>
  <c r="P113" i="163"/>
  <c r="P96" i="163"/>
  <c r="P94" i="163"/>
  <c r="P83" i="163"/>
  <c r="P81" i="163"/>
  <c r="P73" i="163"/>
  <c r="P71" i="163"/>
  <c r="P69" i="163"/>
  <c r="P61" i="163"/>
  <c r="P55" i="163"/>
  <c r="P84" i="163"/>
  <c r="P82" i="163"/>
  <c r="P80" i="163"/>
  <c r="P72" i="163"/>
  <c r="P62" i="163"/>
  <c r="P60" i="163"/>
  <c r="T115" i="163"/>
  <c r="T113" i="163"/>
  <c r="T114" i="163"/>
  <c r="T93" i="163"/>
  <c r="T87" i="163"/>
  <c r="T84" i="163"/>
  <c r="T82" i="163"/>
  <c r="T80" i="163"/>
  <c r="T72" i="163"/>
  <c r="T62" i="163"/>
  <c r="T85" i="163"/>
  <c r="T91" i="163"/>
  <c r="T73" i="163"/>
  <c r="T57" i="163"/>
  <c r="T55" i="163"/>
  <c r="L31" i="163"/>
  <c r="T31" i="163"/>
  <c r="H32" i="163"/>
  <c r="P32" i="163"/>
  <c r="D36" i="163"/>
  <c r="L36" i="163"/>
  <c r="T36" i="163"/>
  <c r="H37" i="163"/>
  <c r="P37" i="163"/>
  <c r="D38" i="163"/>
  <c r="L38" i="163"/>
  <c r="T38" i="163"/>
  <c r="H39" i="163"/>
  <c r="P39" i="163"/>
  <c r="D40" i="163"/>
  <c r="L40" i="163"/>
  <c r="T40" i="163"/>
  <c r="H41" i="163"/>
  <c r="P41" i="163"/>
  <c r="D42" i="163"/>
  <c r="L42" i="163"/>
  <c r="T42" i="163"/>
  <c r="H43" i="163"/>
  <c r="P43" i="163"/>
  <c r="D44" i="163"/>
  <c r="L44" i="163"/>
  <c r="T44" i="163"/>
  <c r="H45" i="163"/>
  <c r="P45" i="163"/>
  <c r="T52" i="163"/>
  <c r="J112" i="163"/>
  <c r="N112" i="163"/>
  <c r="D114" i="161"/>
  <c r="D115" i="161"/>
  <c r="D113" i="161"/>
  <c r="D44" i="161"/>
  <c r="H115" i="161"/>
  <c r="H113" i="161"/>
  <c r="H69" i="161"/>
  <c r="H45" i="161"/>
  <c r="H43" i="161"/>
  <c r="H114" i="161"/>
  <c r="L114" i="161"/>
  <c r="L113" i="161"/>
  <c r="L94" i="161"/>
  <c r="L80" i="161"/>
  <c r="L44" i="161"/>
  <c r="L42" i="161"/>
  <c r="P115" i="161"/>
  <c r="P113" i="161"/>
  <c r="P114" i="161"/>
  <c r="P79" i="161"/>
  <c r="P45" i="161"/>
  <c r="P43" i="161"/>
  <c r="T114" i="161"/>
  <c r="T94" i="161"/>
  <c r="T72" i="161"/>
  <c r="T60" i="161"/>
  <c r="T58" i="161"/>
  <c r="T44" i="161"/>
  <c r="T42" i="161"/>
  <c r="T115" i="161"/>
  <c r="D31" i="161"/>
  <c r="L31" i="161"/>
  <c r="T31" i="161"/>
  <c r="H32" i="161"/>
  <c r="P32" i="161"/>
  <c r="D36" i="161"/>
  <c r="L36" i="161"/>
  <c r="T36" i="161"/>
  <c r="H37" i="161"/>
  <c r="P37" i="161"/>
  <c r="D38" i="161"/>
  <c r="L38" i="161"/>
  <c r="T38" i="161"/>
  <c r="H39" i="161"/>
  <c r="P39" i="161"/>
  <c r="P40" i="161"/>
  <c r="H41" i="161"/>
  <c r="H42" i="161"/>
  <c r="D43" i="161"/>
  <c r="T43" i="161"/>
  <c r="P44" i="161"/>
  <c r="L45" i="161"/>
  <c r="D46" i="161"/>
  <c r="J46" i="161"/>
  <c r="T46" i="161"/>
  <c r="N52" i="161"/>
  <c r="L79" i="161"/>
  <c r="L115" i="161"/>
  <c r="D28" i="161"/>
  <c r="H28" i="161"/>
  <c r="L28" i="161"/>
  <c r="P28" i="161"/>
  <c r="T28" i="161"/>
  <c r="F31" i="161"/>
  <c r="N31" i="161"/>
  <c r="V31" i="161"/>
  <c r="J32" i="161"/>
  <c r="R32" i="161"/>
  <c r="F36" i="161"/>
  <c r="N36" i="161"/>
  <c r="V36" i="161"/>
  <c r="J37" i="161"/>
  <c r="R37" i="161"/>
  <c r="F38" i="161"/>
  <c r="N38" i="161"/>
  <c r="V38" i="161"/>
  <c r="J39" i="161"/>
  <c r="R39" i="161"/>
  <c r="H40" i="161"/>
  <c r="T40" i="161"/>
  <c r="J41" i="161"/>
  <c r="T41" i="161"/>
  <c r="F44" i="161"/>
  <c r="F46" i="161"/>
  <c r="P46" i="161"/>
  <c r="V46" i="161"/>
  <c r="L53" i="161"/>
  <c r="H58" i="161"/>
  <c r="T79" i="161"/>
  <c r="P84" i="161"/>
  <c r="H19" i="161"/>
  <c r="P19" i="161"/>
  <c r="D20" i="161"/>
  <c r="L20" i="161"/>
  <c r="T20" i="161"/>
  <c r="H21" i="161"/>
  <c r="P21" i="161"/>
  <c r="D25" i="161"/>
  <c r="L25" i="161"/>
  <c r="T25" i="161"/>
  <c r="H26" i="161"/>
  <c r="P26" i="161"/>
  <c r="D27" i="161"/>
  <c r="L27" i="161"/>
  <c r="T27" i="161"/>
  <c r="F114" i="161"/>
  <c r="F115" i="161"/>
  <c r="F113" i="161"/>
  <c r="F45" i="161"/>
  <c r="F43" i="161"/>
  <c r="F41" i="161"/>
  <c r="J115" i="161"/>
  <c r="J113" i="161"/>
  <c r="J114" i="161"/>
  <c r="J83" i="161"/>
  <c r="J81" i="161"/>
  <c r="J96" i="161"/>
  <c r="J60" i="161"/>
  <c r="J44" i="161"/>
  <c r="J42" i="161"/>
  <c r="J40" i="161"/>
  <c r="N114" i="161"/>
  <c r="N115" i="161"/>
  <c r="N113" i="161"/>
  <c r="N96" i="161"/>
  <c r="N84" i="161"/>
  <c r="N93" i="161"/>
  <c r="N87" i="161"/>
  <c r="N73" i="161"/>
  <c r="N71" i="161"/>
  <c r="N69" i="161"/>
  <c r="N53" i="161"/>
  <c r="N45" i="161"/>
  <c r="N43" i="161"/>
  <c r="N41" i="161"/>
  <c r="R115" i="161"/>
  <c r="R113" i="161"/>
  <c r="R114" i="161"/>
  <c r="R83" i="161"/>
  <c r="R60" i="161"/>
  <c r="R44" i="161"/>
  <c r="R42" i="161"/>
  <c r="R40" i="161"/>
  <c r="V114" i="161"/>
  <c r="V115" i="161"/>
  <c r="V113" i="161"/>
  <c r="V73" i="161"/>
  <c r="V45" i="161"/>
  <c r="V43" i="161"/>
  <c r="V41" i="161"/>
  <c r="V39" i="161"/>
  <c r="H31" i="161"/>
  <c r="P31" i="161"/>
  <c r="D32" i="161"/>
  <c r="L32" i="161"/>
  <c r="T32" i="161"/>
  <c r="H36" i="161"/>
  <c r="P36" i="161"/>
  <c r="D37" i="161"/>
  <c r="L37" i="161"/>
  <c r="T37" i="161"/>
  <c r="H38" i="161"/>
  <c r="P38" i="161"/>
  <c r="D39" i="161"/>
  <c r="L39" i="161"/>
  <c r="T39" i="161"/>
  <c r="L40" i="161"/>
  <c r="V40" i="161"/>
  <c r="L41" i="161"/>
  <c r="D42" i="161"/>
  <c r="P42" i="161"/>
  <c r="L43" i="161"/>
  <c r="H44" i="161"/>
  <c r="D45" i="161"/>
  <c r="T45" i="161"/>
  <c r="L46" i="161"/>
  <c r="R46" i="161"/>
  <c r="R57" i="161"/>
  <c r="N58" i="161"/>
  <c r="T73" i="161"/>
  <c r="T89" i="161"/>
  <c r="L91" i="161"/>
  <c r="P94" i="161"/>
  <c r="D27" i="160"/>
  <c r="D32" i="160"/>
  <c r="D115" i="160"/>
  <c r="D113" i="160"/>
  <c r="D114" i="160"/>
  <c r="D44" i="160"/>
  <c r="D42" i="160"/>
  <c r="D40" i="160"/>
  <c r="D38" i="160"/>
  <c r="D36" i="160"/>
  <c r="D45" i="160"/>
  <c r="D43" i="160"/>
  <c r="D41" i="160"/>
  <c r="D39" i="160"/>
  <c r="D37" i="160"/>
  <c r="D31" i="160"/>
  <c r="L112" i="159"/>
  <c r="L95" i="159"/>
  <c r="L113" i="159"/>
  <c r="L74" i="159"/>
  <c r="L58" i="159"/>
  <c r="L57" i="159"/>
  <c r="L45" i="159"/>
  <c r="L43" i="159"/>
  <c r="L41" i="159"/>
  <c r="L39" i="159"/>
  <c r="L37" i="159"/>
  <c r="L32" i="159"/>
  <c r="L27" i="159"/>
  <c r="L25" i="159"/>
  <c r="L36" i="159"/>
  <c r="L40" i="159"/>
  <c r="L44" i="159"/>
  <c r="L62" i="159"/>
  <c r="L19" i="159"/>
  <c r="L20" i="159"/>
  <c r="H115" i="159"/>
  <c r="H44" i="159"/>
  <c r="H42" i="159"/>
  <c r="H40" i="159"/>
  <c r="H38" i="159"/>
  <c r="H36" i="159"/>
  <c r="H31" i="159"/>
  <c r="H26" i="159"/>
  <c r="L28" i="159"/>
  <c r="V46" i="159"/>
  <c r="L114" i="159"/>
  <c r="L115" i="159"/>
  <c r="L26" i="159"/>
  <c r="H27" i="159"/>
  <c r="D113" i="159"/>
  <c r="D115" i="159"/>
  <c r="D114" i="159"/>
  <c r="D45" i="159"/>
  <c r="D43" i="159"/>
  <c r="D41" i="159"/>
  <c r="D39" i="159"/>
  <c r="D37" i="159"/>
  <c r="D32" i="159"/>
  <c r="D27" i="159"/>
  <c r="D25" i="159"/>
  <c r="H28" i="159"/>
  <c r="T94" i="159"/>
  <c r="T85" i="159"/>
  <c r="T69" i="159"/>
  <c r="T53" i="159"/>
  <c r="T96" i="159"/>
  <c r="T71" i="159"/>
  <c r="T55" i="159"/>
  <c r="T45" i="159"/>
  <c r="T43" i="159"/>
  <c r="T41" i="159"/>
  <c r="T39" i="159"/>
  <c r="T37" i="159"/>
  <c r="T32" i="159"/>
  <c r="T27" i="159"/>
  <c r="T25" i="159"/>
  <c r="D36" i="159"/>
  <c r="T36" i="159"/>
  <c r="L38" i="159"/>
  <c r="H39" i="159"/>
  <c r="D40" i="159"/>
  <c r="T40" i="159"/>
  <c r="L42" i="159"/>
  <c r="H43" i="159"/>
  <c r="D44" i="159"/>
  <c r="T44" i="159"/>
  <c r="L53" i="159"/>
  <c r="H82" i="159"/>
  <c r="T91" i="159"/>
  <c r="T114" i="159"/>
  <c r="T115" i="159"/>
  <c r="H20" i="159"/>
  <c r="H21" i="159"/>
  <c r="T21" i="159"/>
  <c r="D28" i="159"/>
  <c r="P114" i="159"/>
  <c r="P113" i="159"/>
  <c r="P115" i="159"/>
  <c r="P84" i="159"/>
  <c r="P61" i="159"/>
  <c r="P44" i="159"/>
  <c r="P42" i="159"/>
  <c r="P40" i="159"/>
  <c r="P38" i="159"/>
  <c r="P36" i="159"/>
  <c r="P31" i="159"/>
  <c r="P26" i="159"/>
  <c r="T28" i="159"/>
  <c r="L31" i="159"/>
  <c r="H32" i="159"/>
  <c r="T57" i="159"/>
  <c r="T58" i="159"/>
  <c r="T73" i="159"/>
  <c r="P87" i="159"/>
  <c r="T89" i="159"/>
  <c r="T113" i="159"/>
  <c r="F115" i="159"/>
  <c r="F113" i="159"/>
  <c r="J114" i="159"/>
  <c r="J95" i="159"/>
  <c r="J91" i="159"/>
  <c r="J87" i="159"/>
  <c r="J83" i="159"/>
  <c r="J79" i="159"/>
  <c r="J73" i="159"/>
  <c r="J61" i="159"/>
  <c r="N115" i="159"/>
  <c r="N113" i="159"/>
  <c r="N80" i="159"/>
  <c r="N74" i="159"/>
  <c r="N60" i="159"/>
  <c r="N58" i="159"/>
  <c r="N52" i="159"/>
  <c r="R114" i="159"/>
  <c r="R73" i="159"/>
  <c r="V115" i="159"/>
  <c r="V113" i="159"/>
  <c r="V96" i="159"/>
  <c r="V84" i="159"/>
  <c r="V60" i="159"/>
  <c r="V52" i="159"/>
  <c r="J80" i="159"/>
  <c r="V81" i="159"/>
  <c r="N83" i="159"/>
  <c r="N91" i="159"/>
  <c r="N114" i="159"/>
  <c r="J19" i="159"/>
  <c r="R19" i="159"/>
  <c r="F20" i="159"/>
  <c r="N20" i="159"/>
  <c r="V20" i="159"/>
  <c r="J21" i="159"/>
  <c r="R21" i="159"/>
  <c r="F25" i="159"/>
  <c r="N25" i="159"/>
  <c r="V25" i="159"/>
  <c r="J26" i="159"/>
  <c r="R26" i="159"/>
  <c r="F27" i="159"/>
  <c r="N27" i="159"/>
  <c r="V27" i="159"/>
  <c r="F28" i="159"/>
  <c r="J28" i="159"/>
  <c r="N28" i="159"/>
  <c r="R28" i="159"/>
  <c r="V28" i="159"/>
  <c r="J31" i="159"/>
  <c r="R31" i="159"/>
  <c r="F32" i="159"/>
  <c r="N32" i="159"/>
  <c r="V32" i="159"/>
  <c r="J36" i="159"/>
  <c r="R36" i="159"/>
  <c r="F37" i="159"/>
  <c r="N37" i="159"/>
  <c r="V37" i="159"/>
  <c r="J38" i="159"/>
  <c r="R38" i="159"/>
  <c r="F39" i="159"/>
  <c r="N39" i="159"/>
  <c r="V39" i="159"/>
  <c r="J40" i="159"/>
  <c r="R40" i="159"/>
  <c r="F41" i="159"/>
  <c r="N41" i="159"/>
  <c r="V41" i="159"/>
  <c r="J42" i="159"/>
  <c r="R42" i="159"/>
  <c r="F43" i="159"/>
  <c r="N43" i="159"/>
  <c r="V43" i="159"/>
  <c r="J44" i="159"/>
  <c r="R44" i="159"/>
  <c r="F45" i="159"/>
  <c r="N45" i="159"/>
  <c r="V45" i="159"/>
  <c r="T46" i="159"/>
  <c r="V55" i="159"/>
  <c r="J62" i="159"/>
  <c r="V71" i="159"/>
  <c r="R84" i="159"/>
  <c r="V87" i="159"/>
  <c r="N89" i="159"/>
  <c r="F114" i="159"/>
  <c r="R115" i="159"/>
  <c r="D115" i="158"/>
  <c r="D113" i="158"/>
  <c r="D114" i="158"/>
  <c r="D91" i="158"/>
  <c r="D44" i="158"/>
  <c r="D46" i="158"/>
  <c r="D43" i="158"/>
  <c r="D41" i="158"/>
  <c r="D39" i="158"/>
  <c r="D37" i="158"/>
  <c r="D32" i="158"/>
  <c r="D45" i="158"/>
  <c r="D28" i="158"/>
  <c r="D42" i="158"/>
  <c r="D40" i="158"/>
  <c r="D38" i="158"/>
  <c r="T115" i="158"/>
  <c r="T113" i="158"/>
  <c r="T87" i="158"/>
  <c r="T84" i="158"/>
  <c r="T82" i="158"/>
  <c r="T80" i="158"/>
  <c r="T74" i="158"/>
  <c r="T81" i="158"/>
  <c r="T62" i="158"/>
  <c r="T58" i="158"/>
  <c r="T44" i="158"/>
  <c r="T61" i="158"/>
  <c r="T53" i="158"/>
  <c r="T46" i="158"/>
  <c r="T41" i="158"/>
  <c r="T39" i="158"/>
  <c r="T37" i="158"/>
  <c r="T32" i="158"/>
  <c r="T94" i="158"/>
  <c r="T28" i="158"/>
  <c r="T114" i="158"/>
  <c r="T43" i="158"/>
  <c r="T42" i="158"/>
  <c r="T40" i="158"/>
  <c r="T38" i="158"/>
  <c r="T36" i="158"/>
  <c r="D36" i="158"/>
  <c r="T93" i="158"/>
  <c r="T20" i="158"/>
  <c r="T21" i="158"/>
  <c r="D25" i="158"/>
  <c r="D26" i="158"/>
  <c r="P114" i="158"/>
  <c r="P115" i="158"/>
  <c r="P81" i="158"/>
  <c r="P79" i="158"/>
  <c r="P94" i="158"/>
  <c r="P57" i="158"/>
  <c r="P45" i="158"/>
  <c r="P43" i="158"/>
  <c r="P46" i="158"/>
  <c r="P44" i="158"/>
  <c r="P42" i="158"/>
  <c r="P40" i="158"/>
  <c r="P38" i="158"/>
  <c r="P36" i="158"/>
  <c r="P31" i="158"/>
  <c r="P84" i="158"/>
  <c r="P28" i="158"/>
  <c r="P87" i="158"/>
  <c r="P41" i="158"/>
  <c r="P39" i="158"/>
  <c r="P37" i="158"/>
  <c r="T33" i="158"/>
  <c r="T79" i="158"/>
  <c r="T19" i="158"/>
  <c r="P25" i="158"/>
  <c r="T27" i="158"/>
  <c r="L115" i="158"/>
  <c r="L113" i="158"/>
  <c r="L114" i="158"/>
  <c r="L84" i="158"/>
  <c r="L82" i="158"/>
  <c r="L80" i="158"/>
  <c r="L74" i="158"/>
  <c r="L91" i="158"/>
  <c r="L79" i="158"/>
  <c r="L62" i="158"/>
  <c r="L58" i="158"/>
  <c r="L44" i="158"/>
  <c r="L95" i="158"/>
  <c r="L46" i="158"/>
  <c r="L41" i="158"/>
  <c r="L39" i="158"/>
  <c r="L37" i="158"/>
  <c r="L32" i="158"/>
  <c r="L81" i="158"/>
  <c r="L57" i="158"/>
  <c r="L43" i="158"/>
  <c r="L28" i="158"/>
  <c r="L96" i="158"/>
  <c r="L45" i="158"/>
  <c r="L42" i="158"/>
  <c r="L40" i="158"/>
  <c r="L38" i="158"/>
  <c r="L36" i="158"/>
  <c r="P33" i="158"/>
  <c r="T45" i="158"/>
  <c r="P113" i="158"/>
  <c r="L19" i="158"/>
  <c r="D20" i="158"/>
  <c r="D21" i="158"/>
  <c r="P21" i="158"/>
  <c r="T25" i="158"/>
  <c r="T26" i="158"/>
  <c r="L27" i="158"/>
  <c r="H114" i="158"/>
  <c r="H83" i="158"/>
  <c r="H113" i="158"/>
  <c r="H61" i="158"/>
  <c r="H45" i="158"/>
  <c r="H43" i="158"/>
  <c r="H46" i="158"/>
  <c r="H42" i="158"/>
  <c r="H40" i="158"/>
  <c r="H38" i="158"/>
  <c r="H36" i="158"/>
  <c r="H31" i="158"/>
  <c r="H115" i="158"/>
  <c r="H28" i="158"/>
  <c r="H41" i="158"/>
  <c r="H39" i="158"/>
  <c r="H37" i="158"/>
  <c r="T31" i="158"/>
  <c r="P32" i="158"/>
  <c r="L33" i="158"/>
  <c r="F19" i="158"/>
  <c r="N19" i="158"/>
  <c r="V19" i="158"/>
  <c r="J20" i="158"/>
  <c r="R20" i="158"/>
  <c r="F21" i="158"/>
  <c r="N21" i="158"/>
  <c r="V21" i="158"/>
  <c r="J25" i="158"/>
  <c r="R25" i="158"/>
  <c r="F26" i="158"/>
  <c r="N26" i="158"/>
  <c r="V26" i="158"/>
  <c r="J27" i="158"/>
  <c r="R27" i="158"/>
  <c r="F31" i="158"/>
  <c r="N31" i="158"/>
  <c r="V31" i="158"/>
  <c r="J32" i="158"/>
  <c r="R32" i="158"/>
  <c r="F36" i="158"/>
  <c r="N36" i="158"/>
  <c r="V36" i="158"/>
  <c r="J37" i="158"/>
  <c r="R37" i="158"/>
  <c r="F38" i="158"/>
  <c r="N38" i="158"/>
  <c r="V38" i="158"/>
  <c r="J39" i="158"/>
  <c r="R39" i="158"/>
  <c r="F40" i="158"/>
  <c r="N40" i="158"/>
  <c r="V40" i="158"/>
  <c r="J41" i="158"/>
  <c r="R41" i="158"/>
  <c r="F42" i="158"/>
  <c r="N42" i="158"/>
  <c r="V42" i="158"/>
  <c r="V43" i="158"/>
  <c r="N44" i="158"/>
  <c r="N45" i="158"/>
  <c r="R53" i="158"/>
  <c r="V57" i="158"/>
  <c r="R62" i="158"/>
  <c r="N69" i="158"/>
  <c r="V73" i="158"/>
  <c r="J80" i="158"/>
  <c r="F115" i="158"/>
  <c r="F113" i="158"/>
  <c r="F114" i="158"/>
  <c r="J114" i="158"/>
  <c r="J93" i="158"/>
  <c r="J89" i="158"/>
  <c r="J115" i="158"/>
  <c r="J113" i="158"/>
  <c r="J96" i="158"/>
  <c r="J94" i="158"/>
  <c r="J83" i="158"/>
  <c r="J73" i="158"/>
  <c r="N115" i="158"/>
  <c r="N113" i="158"/>
  <c r="N114" i="158"/>
  <c r="N95" i="158"/>
  <c r="N87" i="158"/>
  <c r="N84" i="158"/>
  <c r="N74" i="158"/>
  <c r="R114" i="158"/>
  <c r="R95" i="158"/>
  <c r="R89" i="158"/>
  <c r="R85" i="158"/>
  <c r="R115" i="158"/>
  <c r="R113" i="158"/>
  <c r="R79" i="158"/>
  <c r="R71" i="158"/>
  <c r="R69" i="158"/>
  <c r="V115" i="158"/>
  <c r="V113" i="158"/>
  <c r="V114" i="158"/>
  <c r="V91" i="158"/>
  <c r="N43" i="158"/>
  <c r="F44" i="158"/>
  <c r="F45" i="158"/>
  <c r="R45" i="158"/>
  <c r="J61" i="158"/>
  <c r="J62" i="158"/>
  <c r="V69" i="158"/>
  <c r="H112" i="158"/>
  <c r="V112" i="194"/>
  <c r="S116" i="165"/>
  <c r="T116" i="165"/>
  <c r="J93" i="195"/>
  <c r="U46" i="198"/>
  <c r="M46" i="198"/>
  <c r="Q46" i="198"/>
  <c r="I46" i="198"/>
  <c r="T57" i="195"/>
  <c r="T83" i="195"/>
  <c r="T61" i="195"/>
  <c r="T46" i="195"/>
  <c r="N37" i="195"/>
  <c r="T40" i="195"/>
  <c r="N96" i="195"/>
  <c r="N85" i="195"/>
  <c r="N74" i="195"/>
  <c r="R113" i="195"/>
  <c r="R114" i="195"/>
  <c r="R79" i="195"/>
  <c r="R19" i="195"/>
  <c r="R20" i="195"/>
  <c r="R39" i="195"/>
  <c r="R44" i="195"/>
  <c r="R111" i="195"/>
  <c r="R24" i="195"/>
  <c r="R23" i="195"/>
  <c r="R58" i="195"/>
  <c r="R26" i="195"/>
  <c r="T28" i="195"/>
  <c r="R87" i="195"/>
  <c r="R60" i="195"/>
  <c r="T96" i="195"/>
  <c r="T45" i="195"/>
  <c r="N114" i="195"/>
  <c r="R115" i="195"/>
  <c r="T113" i="195"/>
  <c r="T71" i="195"/>
  <c r="J24" i="195"/>
  <c r="R27" i="195"/>
  <c r="R45" i="195"/>
  <c r="J23" i="195"/>
  <c r="J39" i="195"/>
  <c r="J91" i="195"/>
  <c r="J96" i="195"/>
  <c r="J58" i="195"/>
  <c r="L43" i="195"/>
  <c r="T39" i="195"/>
  <c r="J46" i="195"/>
  <c r="J26" i="195"/>
  <c r="J21" i="195"/>
  <c r="N91" i="195"/>
  <c r="T19" i="195"/>
  <c r="T32" i="195"/>
  <c r="T84" i="195"/>
  <c r="L28" i="195"/>
  <c r="R85" i="195"/>
  <c r="R57" i="195"/>
  <c r="R84" i="195"/>
  <c r="J89" i="195"/>
  <c r="J73" i="195"/>
  <c r="J79" i="195"/>
  <c r="T95" i="195"/>
  <c r="T81" i="195"/>
  <c r="T37" i="195"/>
  <c r="R43" i="195"/>
  <c r="R46" i="195"/>
  <c r="R21" i="195"/>
  <c r="T42" i="195"/>
  <c r="R74" i="195"/>
  <c r="R96" i="195"/>
  <c r="T82" i="195"/>
  <c r="T85" i="195"/>
  <c r="J115" i="195"/>
  <c r="L82" i="195"/>
  <c r="J36" i="195"/>
  <c r="R59" i="195"/>
  <c r="R42" i="195"/>
  <c r="R38" i="195"/>
  <c r="R28" i="195"/>
  <c r="R37" i="195"/>
  <c r="R93" i="195"/>
  <c r="J25" i="195"/>
  <c r="J41" i="195"/>
  <c r="V37" i="195"/>
  <c r="T59" i="195"/>
  <c r="T21" i="195"/>
  <c r="T38" i="195"/>
  <c r="T94" i="195"/>
  <c r="L40" i="195"/>
  <c r="T111" i="195"/>
  <c r="R89" i="195"/>
  <c r="R69" i="195"/>
  <c r="R95" i="195"/>
  <c r="R71" i="195"/>
  <c r="R80" i="195"/>
  <c r="J57" i="195"/>
  <c r="T25" i="195"/>
  <c r="T27" i="195"/>
  <c r="V45" i="195"/>
  <c r="N115" i="195"/>
  <c r="N60" i="195"/>
  <c r="N59" i="195"/>
  <c r="V38" i="195"/>
  <c r="N28" i="195"/>
  <c r="N39" i="195"/>
  <c r="T115" i="195"/>
  <c r="T69" i="195"/>
  <c r="R36" i="195"/>
  <c r="R25" i="195"/>
  <c r="R41" i="195"/>
  <c r="R97" i="195"/>
  <c r="T43" i="195"/>
  <c r="R40" i="195"/>
  <c r="V20" i="195"/>
  <c r="N23" i="195"/>
  <c r="N45" i="195"/>
  <c r="T24" i="195"/>
  <c r="T36" i="195"/>
  <c r="T44" i="195"/>
  <c r="T97" i="195"/>
  <c r="R53" i="195"/>
  <c r="R82" i="195"/>
  <c r="R91" i="195"/>
  <c r="R72" i="195"/>
  <c r="T20" i="195"/>
  <c r="T79" i="195"/>
  <c r="T53" i="195"/>
  <c r="T80" i="195"/>
  <c r="F79" i="195"/>
  <c r="V58" i="195"/>
  <c r="V94" i="195"/>
  <c r="V115" i="195"/>
  <c r="V114" i="195"/>
  <c r="L113" i="195"/>
  <c r="V36" i="195"/>
  <c r="L39" i="195"/>
  <c r="V28" i="195"/>
  <c r="V27" i="195"/>
  <c r="V43" i="195"/>
  <c r="F39" i="195"/>
  <c r="L26" i="195"/>
  <c r="L38" i="195"/>
  <c r="L84" i="195"/>
  <c r="F58" i="195"/>
  <c r="L20" i="195"/>
  <c r="L53" i="195"/>
  <c r="L91" i="195"/>
  <c r="L72" i="195"/>
  <c r="L85" i="195"/>
  <c r="L61" i="195"/>
  <c r="V91" i="195"/>
  <c r="V71" i="195"/>
  <c r="V89" i="195"/>
  <c r="V53" i="195"/>
  <c r="V40" i="195"/>
  <c r="L46" i="195"/>
  <c r="L41" i="195"/>
  <c r="F81" i="195"/>
  <c r="V60" i="195"/>
  <c r="F114" i="195"/>
  <c r="V113" i="195"/>
  <c r="F19" i="195"/>
  <c r="V59" i="195"/>
  <c r="V42" i="195"/>
  <c r="V24" i="195"/>
  <c r="V23" i="195"/>
  <c r="V39" i="195"/>
  <c r="V93" i="195"/>
  <c r="L59" i="195"/>
  <c r="L21" i="195"/>
  <c r="L32" i="195"/>
  <c r="L42" i="195"/>
  <c r="L97" i="195"/>
  <c r="L25" i="195"/>
  <c r="L71" i="195"/>
  <c r="L58" i="195"/>
  <c r="L73" i="195"/>
  <c r="V72" i="195"/>
  <c r="V95" i="195"/>
  <c r="V74" i="195"/>
  <c r="N84" i="195"/>
  <c r="L45" i="195"/>
  <c r="L37" i="195"/>
  <c r="V85" i="195"/>
  <c r="L115" i="195"/>
  <c r="V73" i="195"/>
  <c r="V19" i="195"/>
  <c r="F24" i="195"/>
  <c r="V25" i="195"/>
  <c r="V41" i="195"/>
  <c r="V97" i="195"/>
  <c r="F25" i="195"/>
  <c r="L24" i="195"/>
  <c r="L36" i="195"/>
  <c r="L44" i="195"/>
  <c r="F91" i="195"/>
  <c r="F95" i="195"/>
  <c r="L95" i="195"/>
  <c r="L79" i="195"/>
  <c r="L89" i="195"/>
  <c r="L69" i="195"/>
  <c r="V80" i="195"/>
  <c r="V87" i="195"/>
  <c r="V69" i="195"/>
  <c r="V57" i="195"/>
  <c r="N95" i="195"/>
  <c r="N69" i="195"/>
  <c r="T111" i="165"/>
  <c r="M116" i="167"/>
  <c r="N116" i="167"/>
  <c r="O116" i="159"/>
  <c r="P116" i="159"/>
  <c r="I116" i="170"/>
  <c r="J116" i="170"/>
  <c r="M116" i="194"/>
  <c r="N116" i="194"/>
  <c r="R112" i="194"/>
  <c r="M116" i="173"/>
  <c r="N116" i="173"/>
  <c r="Q116" i="173"/>
  <c r="R116" i="173"/>
  <c r="K116" i="167"/>
  <c r="L116" i="167"/>
  <c r="I116" i="167"/>
  <c r="J116" i="167"/>
  <c r="K116" i="165"/>
  <c r="L116" i="165"/>
  <c r="Q116" i="165"/>
  <c r="R116" i="165"/>
  <c r="C46" i="198"/>
  <c r="O46" i="198"/>
  <c r="E46" i="198"/>
  <c r="O116" i="163"/>
  <c r="P116" i="163"/>
  <c r="S46" i="198"/>
  <c r="P111" i="159"/>
  <c r="T62" i="159"/>
  <c r="D42" i="171"/>
  <c r="D19" i="171"/>
  <c r="D27" i="171"/>
  <c r="D58" i="171"/>
  <c r="D98" i="171"/>
  <c r="F31" i="194"/>
  <c r="G31" i="194"/>
  <c r="E31" i="195"/>
  <c r="E33" i="195"/>
  <c r="F33" i="195"/>
  <c r="E33" i="193"/>
  <c r="F33" i="193"/>
  <c r="F31" i="193"/>
  <c r="G31" i="193"/>
  <c r="H31" i="193"/>
  <c r="I31" i="193"/>
  <c r="J31" i="193"/>
  <c r="K31" i="193"/>
  <c r="L31" i="193"/>
  <c r="M31" i="193"/>
  <c r="Q94" i="195"/>
  <c r="R94" i="195"/>
  <c r="Q73" i="195"/>
  <c r="R73" i="195"/>
  <c r="I94" i="195"/>
  <c r="J94" i="195"/>
  <c r="I87" i="195"/>
  <c r="J87" i="195"/>
  <c r="I71" i="195"/>
  <c r="J71" i="195"/>
  <c r="I80" i="195"/>
  <c r="J80" i="195"/>
  <c r="N46" i="195"/>
  <c r="N97" i="195"/>
  <c r="N41" i="195"/>
  <c r="N27" i="195"/>
  <c r="N19" i="195"/>
  <c r="N36" i="195"/>
  <c r="N21" i="195"/>
  <c r="N26" i="195"/>
  <c r="N43" i="195"/>
  <c r="N20" i="195"/>
  <c r="N24" i="195"/>
  <c r="N38" i="195"/>
  <c r="N42" i="195"/>
  <c r="N83" i="195"/>
  <c r="N113" i="195"/>
  <c r="N32" i="195"/>
  <c r="U83" i="195"/>
  <c r="V83" i="195"/>
  <c r="U84" i="195"/>
  <c r="V84" i="195"/>
  <c r="N58" i="195"/>
  <c r="N71" i="195"/>
  <c r="N89" i="195"/>
  <c r="N73" i="195"/>
  <c r="N57" i="195"/>
  <c r="O112" i="194"/>
  <c r="I112" i="194"/>
  <c r="V52" i="194"/>
  <c r="Q81" i="195"/>
  <c r="R81" i="195"/>
  <c r="I69" i="195"/>
  <c r="J69" i="195"/>
  <c r="I74" i="195"/>
  <c r="J74" i="195"/>
  <c r="I84" i="195"/>
  <c r="J84" i="195"/>
  <c r="S74" i="195"/>
  <c r="T74" i="195"/>
  <c r="S91" i="195"/>
  <c r="T91" i="195"/>
  <c r="S58" i="195"/>
  <c r="T58" i="195"/>
  <c r="S72" i="195"/>
  <c r="T72" i="195"/>
  <c r="S89" i="195"/>
  <c r="T89" i="195"/>
  <c r="S73" i="195"/>
  <c r="T73" i="195"/>
  <c r="K87" i="195"/>
  <c r="L87" i="195"/>
  <c r="K74" i="195"/>
  <c r="L74" i="195"/>
  <c r="K94" i="195"/>
  <c r="L94" i="195"/>
  <c r="K57" i="195"/>
  <c r="L57" i="195"/>
  <c r="K96" i="195"/>
  <c r="L96" i="195"/>
  <c r="K80" i="195"/>
  <c r="L80" i="195"/>
  <c r="U96" i="195"/>
  <c r="V96" i="195"/>
  <c r="N72" i="195"/>
  <c r="M80" i="195"/>
  <c r="N80" i="195"/>
  <c r="N79" i="195"/>
  <c r="M93" i="195"/>
  <c r="N93" i="195"/>
  <c r="M61" i="195"/>
  <c r="N61" i="195"/>
  <c r="N94" i="195"/>
  <c r="O85" i="195"/>
  <c r="P85" i="195"/>
  <c r="O94" i="195"/>
  <c r="P94" i="195"/>
  <c r="O83" i="195"/>
  <c r="P83" i="195"/>
  <c r="G71" i="195"/>
  <c r="H71" i="195"/>
  <c r="G58" i="195"/>
  <c r="H58" i="195"/>
  <c r="G74" i="195"/>
  <c r="H74" i="195"/>
  <c r="G81" i="195"/>
  <c r="H81" i="195"/>
  <c r="Q61" i="195"/>
  <c r="R61" i="195"/>
  <c r="Q83" i="195"/>
  <c r="R83" i="195"/>
  <c r="I72" i="195"/>
  <c r="J72" i="195"/>
  <c r="S87" i="195"/>
  <c r="T87" i="195"/>
  <c r="S60" i="195"/>
  <c r="T60" i="195"/>
  <c r="U79" i="195"/>
  <c r="V79" i="195"/>
  <c r="U81" i="195"/>
  <c r="V81" i="195"/>
  <c r="M87" i="195"/>
  <c r="N87" i="195"/>
  <c r="M81" i="195"/>
  <c r="N81" i="195"/>
  <c r="M82" i="195"/>
  <c r="N82" i="195"/>
  <c r="V26" i="195"/>
  <c r="V21" i="195"/>
  <c r="O73" i="195"/>
  <c r="P73" i="195"/>
  <c r="O93" i="195"/>
  <c r="P93" i="195"/>
  <c r="O87" i="195"/>
  <c r="P87" i="195"/>
  <c r="O71" i="195"/>
  <c r="P71" i="195"/>
  <c r="E85" i="195"/>
  <c r="F85" i="195"/>
  <c r="E69" i="195"/>
  <c r="F69" i="195"/>
  <c r="E72" i="195"/>
  <c r="F72" i="195"/>
  <c r="F83" i="195"/>
  <c r="E82" i="195"/>
  <c r="F82" i="195"/>
  <c r="E71" i="195"/>
  <c r="F71" i="195"/>
  <c r="E93" i="195"/>
  <c r="F93" i="195"/>
  <c r="E61" i="195"/>
  <c r="F61" i="195"/>
  <c r="E87" i="195"/>
  <c r="F87" i="195"/>
  <c r="E96" i="195"/>
  <c r="F96" i="195"/>
  <c r="E80" i="195"/>
  <c r="F80" i="195"/>
  <c r="C79" i="195"/>
  <c r="D79" i="195"/>
  <c r="C85" i="195"/>
  <c r="D85" i="195"/>
  <c r="C69" i="195"/>
  <c r="D69" i="195"/>
  <c r="C82" i="195"/>
  <c r="D82" i="195"/>
  <c r="C84" i="195"/>
  <c r="D84" i="195"/>
  <c r="C93" i="195"/>
  <c r="D93" i="195"/>
  <c r="C61" i="195"/>
  <c r="D61" i="195"/>
  <c r="C87" i="195"/>
  <c r="D87" i="195"/>
  <c r="C60" i="195"/>
  <c r="D60" i="195"/>
  <c r="V72" i="193"/>
  <c r="V53" i="193"/>
  <c r="V69" i="193"/>
  <c r="V85" i="193"/>
  <c r="I52" i="195"/>
  <c r="V32" i="195"/>
  <c r="V61" i="195"/>
  <c r="U112" i="193"/>
  <c r="U62" i="195"/>
  <c r="V62" i="195"/>
  <c r="V62" i="193"/>
  <c r="N44" i="195"/>
  <c r="G52" i="195"/>
  <c r="Q62" i="195"/>
  <c r="R62" i="195"/>
  <c r="Q112" i="193"/>
  <c r="Q52" i="195"/>
  <c r="I83" i="195"/>
  <c r="J83" i="195"/>
  <c r="S52" i="195"/>
  <c r="M112" i="193"/>
  <c r="M62" i="195"/>
  <c r="N62" i="195"/>
  <c r="V73" i="193"/>
  <c r="V89" i="193"/>
  <c r="V84" i="193"/>
  <c r="K112" i="193"/>
  <c r="K62" i="195"/>
  <c r="L62" i="195"/>
  <c r="M52" i="195"/>
  <c r="O62" i="195"/>
  <c r="P62" i="195"/>
  <c r="O112" i="193"/>
  <c r="V80" i="193"/>
  <c r="V57" i="193"/>
  <c r="V83" i="193"/>
  <c r="V91" i="193"/>
  <c r="V74" i="193"/>
  <c r="I62" i="195"/>
  <c r="J62" i="195"/>
  <c r="I112" i="193"/>
  <c r="S112" i="193"/>
  <c r="S62" i="195"/>
  <c r="T62" i="195"/>
  <c r="K52" i="195"/>
  <c r="V52" i="193"/>
  <c r="U52" i="195"/>
  <c r="U82" i="195"/>
  <c r="V82" i="195"/>
  <c r="V82" i="193"/>
  <c r="N53" i="195"/>
  <c r="V44" i="195"/>
  <c r="O52" i="195"/>
  <c r="G62" i="195"/>
  <c r="H62" i="195"/>
  <c r="G112" i="193"/>
  <c r="F46" i="195"/>
  <c r="F53" i="195"/>
  <c r="F74" i="195"/>
  <c r="F42" i="195"/>
  <c r="F28" i="195"/>
  <c r="F27" i="195"/>
  <c r="E52" i="195"/>
  <c r="F115" i="195"/>
  <c r="F38" i="195"/>
  <c r="F20" i="195"/>
  <c r="F43" i="195"/>
  <c r="F73" i="195"/>
  <c r="F44" i="195"/>
  <c r="F21" i="195"/>
  <c r="F84" i="195"/>
  <c r="F41" i="195"/>
  <c r="F94" i="195"/>
  <c r="F26" i="195"/>
  <c r="F113" i="195"/>
  <c r="F36" i="195"/>
  <c r="F59" i="195"/>
  <c r="F23" i="195"/>
  <c r="F37" i="195"/>
  <c r="F45" i="195"/>
  <c r="F89" i="195"/>
  <c r="F97" i="195"/>
  <c r="F40" i="195"/>
  <c r="F57" i="195"/>
  <c r="E112" i="193"/>
  <c r="E62" i="195"/>
  <c r="F62" i="195"/>
  <c r="F60" i="195"/>
  <c r="C62" i="195"/>
  <c r="D62" i="195"/>
  <c r="C112" i="193"/>
  <c r="C52" i="195"/>
  <c r="D31" i="171"/>
  <c r="D81" i="171"/>
  <c r="D78" i="171"/>
  <c r="D77" i="171"/>
  <c r="D111" i="171"/>
  <c r="D45" i="171"/>
  <c r="D115" i="171"/>
  <c r="D96" i="171"/>
  <c r="D52" i="171"/>
  <c r="D56" i="171"/>
  <c r="D37" i="171"/>
  <c r="D86" i="171"/>
  <c r="D69" i="171"/>
  <c r="D91" i="171"/>
  <c r="D43" i="171"/>
  <c r="D24" i="171"/>
  <c r="D68" i="171"/>
  <c r="D100" i="171"/>
  <c r="D90" i="171"/>
  <c r="D93" i="171"/>
  <c r="D103" i="171"/>
  <c r="D71" i="171"/>
  <c r="D41" i="171"/>
  <c r="D28" i="171"/>
  <c r="D38" i="171"/>
  <c r="D114" i="171"/>
  <c r="D26" i="171"/>
  <c r="D25" i="171"/>
  <c r="D89" i="171"/>
  <c r="D102" i="171"/>
  <c r="D101" i="171"/>
  <c r="D73" i="171"/>
  <c r="D92" i="171"/>
  <c r="D64" i="171"/>
  <c r="D84" i="171"/>
  <c r="D54" i="171"/>
  <c r="D88" i="171"/>
  <c r="D66" i="171"/>
  <c r="D99" i="171"/>
  <c r="D83" i="171"/>
  <c r="D97" i="171"/>
  <c r="D59" i="171"/>
  <c r="D32" i="171"/>
  <c r="D40" i="171"/>
  <c r="D46" i="171"/>
  <c r="D20" i="171"/>
  <c r="D53" i="171"/>
  <c r="D80" i="171"/>
  <c r="D70" i="171"/>
  <c r="C112" i="171"/>
  <c r="D112" i="171"/>
  <c r="D72" i="171"/>
  <c r="D87" i="171"/>
  <c r="D55" i="171"/>
  <c r="D39" i="171"/>
  <c r="D44" i="171"/>
  <c r="D36" i="171"/>
  <c r="D113" i="171"/>
  <c r="D21" i="171"/>
  <c r="D23" i="171"/>
  <c r="D60" i="171"/>
  <c r="D74" i="171"/>
  <c r="D94" i="171"/>
  <c r="D65" i="171"/>
  <c r="D85" i="171"/>
  <c r="D57" i="171"/>
  <c r="D76" i="171"/>
  <c r="D104" i="171"/>
  <c r="D82" i="171"/>
  <c r="D61" i="171"/>
  <c r="D95" i="171"/>
  <c r="D79" i="171"/>
  <c r="D63" i="171"/>
  <c r="D61" i="160"/>
  <c r="D97" i="160"/>
  <c r="D59" i="160"/>
  <c r="N111" i="195"/>
  <c r="V111" i="195"/>
  <c r="F111" i="195"/>
  <c r="R111" i="173"/>
  <c r="K112" i="163"/>
  <c r="L62" i="163"/>
  <c r="J112" i="165"/>
  <c r="I116" i="165"/>
  <c r="J116" i="165"/>
  <c r="M112" i="175"/>
  <c r="N112" i="175"/>
  <c r="Q112" i="172"/>
  <c r="R112" i="172"/>
  <c r="Q112" i="159"/>
  <c r="R112" i="159"/>
  <c r="R62" i="159"/>
  <c r="S112" i="169"/>
  <c r="T112" i="169"/>
  <c r="O116" i="170"/>
  <c r="P116" i="170"/>
  <c r="P111" i="170"/>
  <c r="K116" i="170"/>
  <c r="L116" i="170"/>
  <c r="Q116" i="167"/>
  <c r="R116" i="167"/>
  <c r="L111" i="167"/>
  <c r="P111" i="163"/>
  <c r="S116" i="158"/>
  <c r="T116" i="158"/>
  <c r="J111" i="170"/>
  <c r="I116" i="169"/>
  <c r="J116" i="169"/>
  <c r="E28" i="171"/>
  <c r="C33" i="171"/>
  <c r="D33" i="171"/>
  <c r="C33" i="160"/>
  <c r="D33" i="160"/>
  <c r="D54" i="160"/>
  <c r="D70" i="160"/>
  <c r="D86" i="160"/>
  <c r="D102" i="160"/>
  <c r="D72" i="160"/>
  <c r="D93" i="160"/>
  <c r="D65" i="160"/>
  <c r="D95" i="160"/>
  <c r="D75" i="160"/>
  <c r="D57" i="160"/>
  <c r="D96" i="160"/>
  <c r="D89" i="160"/>
  <c r="D71" i="160"/>
  <c r="D91" i="160"/>
  <c r="D26" i="160"/>
  <c r="D58" i="160"/>
  <c r="D74" i="160"/>
  <c r="D90" i="160"/>
  <c r="D56" i="160"/>
  <c r="D77" i="160"/>
  <c r="D99" i="160"/>
  <c r="D73" i="160"/>
  <c r="D101" i="160"/>
  <c r="D84" i="160"/>
  <c r="D68" i="160"/>
  <c r="D60" i="160"/>
  <c r="D81" i="160"/>
  <c r="D66" i="160"/>
  <c r="D82" i="160"/>
  <c r="D98" i="160"/>
  <c r="D67" i="160"/>
  <c r="D88" i="160"/>
  <c r="C111" i="160"/>
  <c r="D111" i="160"/>
  <c r="D87" i="160"/>
  <c r="D64" i="160"/>
  <c r="D103" i="160"/>
  <c r="D85" i="160"/>
  <c r="D79" i="160"/>
  <c r="D100" i="160"/>
  <c r="D53" i="160"/>
  <c r="D78" i="160"/>
  <c r="D104" i="160"/>
  <c r="D76" i="160"/>
  <c r="D94" i="160"/>
  <c r="D80" i="160"/>
  <c r="D69" i="160"/>
  <c r="C112" i="160"/>
  <c r="D112" i="160"/>
  <c r="D83" i="160"/>
  <c r="D92" i="160"/>
  <c r="D52" i="160"/>
  <c r="D23" i="160"/>
  <c r="D24" i="160"/>
  <c r="D55" i="160"/>
  <c r="E28" i="162"/>
  <c r="C28" i="162"/>
  <c r="D19" i="162"/>
  <c r="V62" i="168"/>
  <c r="R111" i="165"/>
  <c r="N62" i="161"/>
  <c r="H62" i="161"/>
  <c r="I116" i="159"/>
  <c r="J116" i="159"/>
  <c r="O111" i="175"/>
  <c r="P111" i="175"/>
  <c r="Q112" i="174"/>
  <c r="R112" i="174"/>
  <c r="S111" i="174"/>
  <c r="T111" i="174"/>
  <c r="V62" i="163"/>
  <c r="V62" i="164"/>
  <c r="G116" i="158"/>
  <c r="H116" i="158"/>
  <c r="I116" i="158"/>
  <c r="J116" i="158"/>
  <c r="I116" i="174"/>
  <c r="J116" i="174"/>
  <c r="M116" i="168"/>
  <c r="N116" i="168"/>
  <c r="N111" i="173"/>
  <c r="N62" i="158"/>
  <c r="L112" i="170"/>
  <c r="L62" i="161"/>
  <c r="J111" i="167"/>
  <c r="G112" i="167"/>
  <c r="H112" i="167"/>
  <c r="G111" i="170"/>
  <c r="H111" i="170"/>
  <c r="G112" i="173"/>
  <c r="H112" i="173"/>
  <c r="G111" i="161"/>
  <c r="H111" i="161"/>
  <c r="O116" i="173"/>
  <c r="P116" i="173"/>
  <c r="O116" i="165"/>
  <c r="P116" i="165"/>
  <c r="Q111" i="174"/>
  <c r="Q111" i="169"/>
  <c r="Q112" i="169"/>
  <c r="R112" i="169"/>
  <c r="Q116" i="168"/>
  <c r="R116" i="168"/>
  <c r="S112" i="174"/>
  <c r="T112" i="174"/>
  <c r="S112" i="167"/>
  <c r="T112" i="167"/>
  <c r="S112" i="170"/>
  <c r="S111" i="169"/>
  <c r="S111" i="175"/>
  <c r="T111" i="175"/>
  <c r="U111" i="175"/>
  <c r="V111" i="175"/>
  <c r="U112" i="172"/>
  <c r="V112" i="172"/>
  <c r="V62" i="172"/>
  <c r="U111" i="168"/>
  <c r="V111" i="168"/>
  <c r="U112" i="174"/>
  <c r="V112" i="174"/>
  <c r="V62" i="174"/>
  <c r="U112" i="161"/>
  <c r="V112" i="161"/>
  <c r="V62" i="161"/>
  <c r="U116" i="159"/>
  <c r="V116" i="159"/>
  <c r="U112" i="175"/>
  <c r="V112" i="175"/>
  <c r="V62" i="175"/>
  <c r="V111" i="159"/>
  <c r="S111" i="173"/>
  <c r="S116" i="173"/>
  <c r="T116" i="173"/>
  <c r="S111" i="172"/>
  <c r="S111" i="168"/>
  <c r="T111" i="168"/>
  <c r="S112" i="168"/>
  <c r="T112" i="168"/>
  <c r="T112" i="158"/>
  <c r="S112" i="161"/>
  <c r="T112" i="161"/>
  <c r="T62" i="161"/>
  <c r="S112" i="172"/>
  <c r="T112" i="172"/>
  <c r="S111" i="161"/>
  <c r="T111" i="161"/>
  <c r="Q112" i="164"/>
  <c r="R112" i="164"/>
  <c r="R111" i="170"/>
  <c r="Q112" i="170"/>
  <c r="R112" i="170"/>
  <c r="Q112" i="163"/>
  <c r="R112" i="163"/>
  <c r="R62" i="163"/>
  <c r="O111" i="174"/>
  <c r="P111" i="174"/>
  <c r="O112" i="161"/>
  <c r="P112" i="161"/>
  <c r="P62" i="161"/>
  <c r="M111" i="172"/>
  <c r="N111" i="172"/>
  <c r="M112" i="165"/>
  <c r="K111" i="172"/>
  <c r="K116" i="174"/>
  <c r="L116" i="174"/>
  <c r="K116" i="159"/>
  <c r="L116" i="159"/>
  <c r="J111" i="158"/>
  <c r="J62" i="161"/>
  <c r="I116" i="168"/>
  <c r="J116" i="168"/>
  <c r="J112" i="174"/>
  <c r="G111" i="159"/>
  <c r="G116" i="159"/>
  <c r="H116" i="159"/>
  <c r="G111" i="168"/>
  <c r="H111" i="168"/>
  <c r="H62" i="159"/>
  <c r="G111" i="163"/>
  <c r="H111" i="163"/>
  <c r="H62" i="158"/>
  <c r="Q116" i="158"/>
  <c r="R116" i="158"/>
  <c r="K116" i="173"/>
  <c r="L116" i="173"/>
  <c r="L111" i="173"/>
  <c r="U111" i="158"/>
  <c r="V111" i="158"/>
  <c r="I116" i="163"/>
  <c r="J116" i="163"/>
  <c r="O116" i="168"/>
  <c r="P116" i="168"/>
  <c r="U116" i="165"/>
  <c r="V116" i="165"/>
  <c r="O116" i="167"/>
  <c r="P116" i="167"/>
  <c r="I116" i="173"/>
  <c r="J116" i="173"/>
  <c r="K116" i="161"/>
  <c r="L116" i="161"/>
  <c r="V62" i="173"/>
  <c r="G112" i="169"/>
  <c r="H112" i="169"/>
  <c r="H111" i="158"/>
  <c r="G111" i="173"/>
  <c r="H111" i="173"/>
  <c r="G111" i="172"/>
  <c r="G111" i="164"/>
  <c r="H111" i="164"/>
  <c r="G111" i="174"/>
  <c r="H111" i="174"/>
  <c r="D31" i="163"/>
  <c r="D31" i="173"/>
  <c r="D31" i="158"/>
  <c r="D31" i="162"/>
  <c r="E116" i="174"/>
  <c r="F116" i="174"/>
  <c r="C112" i="172"/>
  <c r="D112" i="172"/>
  <c r="D111" i="158"/>
  <c r="D62" i="159"/>
  <c r="D62" i="158"/>
  <c r="C111" i="173"/>
  <c r="C112" i="170"/>
  <c r="D112" i="170"/>
  <c r="C111" i="170"/>
  <c r="C112" i="161"/>
  <c r="D112" i="161"/>
  <c r="D62" i="161"/>
  <c r="C112" i="168"/>
  <c r="D112" i="168"/>
  <c r="C112" i="163"/>
  <c r="D112" i="163"/>
  <c r="D62" i="163"/>
  <c r="C111" i="164"/>
  <c r="C116" i="164"/>
  <c r="D116" i="164"/>
  <c r="C112" i="169"/>
  <c r="D112" i="169"/>
  <c r="C111" i="168"/>
  <c r="C112" i="165"/>
  <c r="C116" i="159"/>
  <c r="D116" i="159"/>
  <c r="C116" i="175"/>
  <c r="D116" i="175"/>
  <c r="D111" i="175"/>
  <c r="C111" i="172"/>
  <c r="C116" i="167"/>
  <c r="D116" i="167"/>
  <c r="C116" i="174"/>
  <c r="D116" i="174"/>
  <c r="F62" i="163"/>
  <c r="E116" i="163"/>
  <c r="F116" i="163"/>
  <c r="U111" i="163"/>
  <c r="U112" i="170"/>
  <c r="V62" i="170"/>
  <c r="V52" i="161"/>
  <c r="V52" i="175"/>
  <c r="U111" i="174"/>
  <c r="U112" i="167"/>
  <c r="V62" i="167"/>
  <c r="V111" i="173"/>
  <c r="U116" i="173"/>
  <c r="V116" i="173"/>
  <c r="U112" i="169"/>
  <c r="V62" i="169"/>
  <c r="U112" i="158"/>
  <c r="V62" i="158"/>
  <c r="V62" i="159"/>
  <c r="V62" i="165"/>
  <c r="U116" i="164"/>
  <c r="V116" i="164"/>
  <c r="S116" i="164"/>
  <c r="T116" i="164"/>
  <c r="T111" i="164"/>
  <c r="S116" i="159"/>
  <c r="T116" i="159"/>
  <c r="S116" i="163"/>
  <c r="T116" i="163"/>
  <c r="Q111" i="164"/>
  <c r="Q116" i="161"/>
  <c r="R116" i="161"/>
  <c r="R111" i="168"/>
  <c r="R111" i="161"/>
  <c r="R62" i="161"/>
  <c r="Q111" i="172"/>
  <c r="R111" i="159"/>
  <c r="Q112" i="175"/>
  <c r="R112" i="175"/>
  <c r="Q116" i="163"/>
  <c r="R116" i="163"/>
  <c r="P111" i="158"/>
  <c r="O112" i="158"/>
  <c r="P112" i="158"/>
  <c r="P62" i="158"/>
  <c r="P111" i="161"/>
  <c r="O111" i="172"/>
  <c r="P111" i="172"/>
  <c r="O111" i="164"/>
  <c r="P52" i="161"/>
  <c r="O112" i="172"/>
  <c r="O116" i="169"/>
  <c r="P116" i="169"/>
  <c r="M112" i="174"/>
  <c r="M116" i="170"/>
  <c r="N116" i="170"/>
  <c r="N111" i="170"/>
  <c r="M116" i="158"/>
  <c r="N116" i="158"/>
  <c r="M112" i="172"/>
  <c r="M111" i="169"/>
  <c r="M112" i="159"/>
  <c r="N62" i="159"/>
  <c r="M111" i="163"/>
  <c r="M112" i="164"/>
  <c r="N112" i="164"/>
  <c r="M116" i="161"/>
  <c r="N116" i="161"/>
  <c r="K116" i="175"/>
  <c r="L116" i="175"/>
  <c r="L111" i="159"/>
  <c r="K116" i="169"/>
  <c r="L116" i="169"/>
  <c r="K116" i="158"/>
  <c r="L116" i="158"/>
  <c r="K116" i="164"/>
  <c r="L116" i="164"/>
  <c r="K116" i="168"/>
  <c r="L116" i="168"/>
  <c r="J112" i="173"/>
  <c r="I116" i="164"/>
  <c r="J116" i="164"/>
  <c r="J111" i="164"/>
  <c r="I111" i="172"/>
  <c r="J52" i="159"/>
  <c r="J52" i="163"/>
  <c r="I116" i="175"/>
  <c r="J116" i="175"/>
  <c r="I116" i="161"/>
  <c r="J116" i="161"/>
  <c r="H62" i="163"/>
  <c r="H52" i="163"/>
  <c r="G116" i="167"/>
  <c r="H116" i="167"/>
  <c r="G116" i="175"/>
  <c r="H116" i="175"/>
  <c r="G116" i="165"/>
  <c r="H116" i="165"/>
  <c r="F62" i="158"/>
  <c r="E116" i="165"/>
  <c r="F116" i="165"/>
  <c r="E116" i="173"/>
  <c r="F116" i="173"/>
  <c r="E116" i="158"/>
  <c r="F116" i="158"/>
  <c r="F112" i="165"/>
  <c r="E116" i="159"/>
  <c r="F116" i="159"/>
  <c r="F112" i="159"/>
  <c r="E111" i="167"/>
  <c r="F111" i="167"/>
  <c r="F111" i="158"/>
  <c r="F62" i="159"/>
  <c r="E111" i="172"/>
  <c r="F111" i="163"/>
  <c r="F62" i="161"/>
  <c r="E116" i="170"/>
  <c r="F116" i="170"/>
  <c r="F111" i="170"/>
  <c r="E111" i="168"/>
  <c r="E112" i="168"/>
  <c r="F112" i="168"/>
  <c r="E116" i="175"/>
  <c r="F116" i="175"/>
  <c r="F111" i="169"/>
  <c r="E116" i="164"/>
  <c r="F116" i="164"/>
  <c r="E116" i="161"/>
  <c r="F116" i="161"/>
  <c r="B48" i="118"/>
  <c r="A48" i="118"/>
  <c r="U50" i="118"/>
  <c r="U110" i="118"/>
  <c r="S50" i="118"/>
  <c r="S110" i="118"/>
  <c r="Q50" i="118"/>
  <c r="Q110" i="118"/>
  <c r="O50" i="118"/>
  <c r="O110" i="118"/>
  <c r="M50" i="118"/>
  <c r="M110" i="118"/>
  <c r="K50" i="118"/>
  <c r="K110" i="118"/>
  <c r="I50" i="118"/>
  <c r="I110" i="118"/>
  <c r="G50" i="118"/>
  <c r="G110" i="118"/>
  <c r="E50" i="118"/>
  <c r="E110" i="118"/>
  <c r="U46" i="118"/>
  <c r="S46" i="118"/>
  <c r="Q46" i="118"/>
  <c r="O46" i="118"/>
  <c r="M46" i="118"/>
  <c r="K46" i="118"/>
  <c r="I46" i="118"/>
  <c r="G46" i="118"/>
  <c r="E46" i="118"/>
  <c r="G33" i="193"/>
  <c r="H33" i="193"/>
  <c r="F31" i="195"/>
  <c r="D62" i="160"/>
  <c r="G33" i="194"/>
  <c r="H33" i="194"/>
  <c r="H31" i="194"/>
  <c r="I31" i="194"/>
  <c r="I33" i="193"/>
  <c r="J33" i="193"/>
  <c r="K33" i="193"/>
  <c r="L33" i="193"/>
  <c r="G31" i="195"/>
  <c r="G33" i="195"/>
  <c r="H33" i="195"/>
  <c r="M33" i="193"/>
  <c r="N33" i="193"/>
  <c r="N31" i="193"/>
  <c r="O31" i="193"/>
  <c r="O116" i="194"/>
  <c r="P116" i="194"/>
  <c r="P112" i="194"/>
  <c r="I116" i="194"/>
  <c r="J116" i="194"/>
  <c r="J112" i="194"/>
  <c r="I116" i="193"/>
  <c r="J116" i="193"/>
  <c r="J112" i="193"/>
  <c r="I112" i="195"/>
  <c r="T52" i="195"/>
  <c r="Q112" i="195"/>
  <c r="R112" i="193"/>
  <c r="Q116" i="193"/>
  <c r="R116" i="193"/>
  <c r="J52" i="195"/>
  <c r="G112" i="195"/>
  <c r="G116" i="193"/>
  <c r="H116" i="193"/>
  <c r="H112" i="193"/>
  <c r="V52" i="195"/>
  <c r="K112" i="195"/>
  <c r="K116" i="193"/>
  <c r="L116" i="193"/>
  <c r="L112" i="193"/>
  <c r="H52" i="195"/>
  <c r="P52" i="195"/>
  <c r="T112" i="193"/>
  <c r="S116" i="193"/>
  <c r="T116" i="193"/>
  <c r="S112" i="195"/>
  <c r="L52" i="195"/>
  <c r="O112" i="195"/>
  <c r="O116" i="193"/>
  <c r="P116" i="193"/>
  <c r="P112" i="193"/>
  <c r="N52" i="195"/>
  <c r="M112" i="195"/>
  <c r="N112" i="193"/>
  <c r="M116" i="193"/>
  <c r="N116" i="193"/>
  <c r="R52" i="195"/>
  <c r="U112" i="195"/>
  <c r="V112" i="193"/>
  <c r="U116" i="193"/>
  <c r="V116" i="193"/>
  <c r="F112" i="193"/>
  <c r="E112" i="195"/>
  <c r="E116" i="193"/>
  <c r="F116" i="193"/>
  <c r="F52" i="195"/>
  <c r="C112" i="195"/>
  <c r="C116" i="193"/>
  <c r="D116" i="193"/>
  <c r="D112" i="193"/>
  <c r="D52" i="195"/>
  <c r="G116" i="168"/>
  <c r="H116" i="168"/>
  <c r="F97" i="171"/>
  <c r="F59" i="171"/>
  <c r="D62" i="171"/>
  <c r="C105" i="171"/>
  <c r="D105" i="171"/>
  <c r="F97" i="162"/>
  <c r="F59" i="162"/>
  <c r="F19" i="162"/>
  <c r="D97" i="162"/>
  <c r="D59" i="162"/>
  <c r="S116" i="174"/>
  <c r="T116" i="174"/>
  <c r="M116" i="175"/>
  <c r="N116" i="175"/>
  <c r="Q116" i="159"/>
  <c r="R116" i="159"/>
  <c r="K116" i="163"/>
  <c r="L116" i="163"/>
  <c r="L112" i="163"/>
  <c r="T111" i="173"/>
  <c r="G116" i="161"/>
  <c r="H116" i="161"/>
  <c r="H111" i="159"/>
  <c r="F25" i="171"/>
  <c r="F58" i="171"/>
  <c r="F74" i="171"/>
  <c r="F90" i="171"/>
  <c r="F55" i="171"/>
  <c r="F71" i="171"/>
  <c r="F87" i="171"/>
  <c r="F103" i="171"/>
  <c r="F84" i="171"/>
  <c r="F61" i="171"/>
  <c r="F93" i="171"/>
  <c r="F88" i="171"/>
  <c r="F73" i="171"/>
  <c r="F78" i="171"/>
  <c r="F94" i="171"/>
  <c r="F75" i="171"/>
  <c r="F91" i="171"/>
  <c r="F60" i="171"/>
  <c r="F92" i="171"/>
  <c r="F69" i="171"/>
  <c r="F101" i="171"/>
  <c r="F104" i="171"/>
  <c r="F89" i="171"/>
  <c r="F65" i="171"/>
  <c r="F26" i="171"/>
  <c r="F54" i="171"/>
  <c r="F70" i="171"/>
  <c r="F86" i="171"/>
  <c r="F102" i="171"/>
  <c r="F67" i="171"/>
  <c r="F83" i="171"/>
  <c r="F99" i="171"/>
  <c r="F76" i="171"/>
  <c r="F53" i="171"/>
  <c r="F85" i="171"/>
  <c r="F72" i="171"/>
  <c r="F57" i="171"/>
  <c r="F96" i="171"/>
  <c r="F20" i="171"/>
  <c r="F23" i="171"/>
  <c r="F24" i="171"/>
  <c r="F46" i="171"/>
  <c r="F19" i="171"/>
  <c r="F82" i="171"/>
  <c r="F95" i="171"/>
  <c r="F56" i="171"/>
  <c r="F27" i="171"/>
  <c r="F41" i="171"/>
  <c r="F40" i="171"/>
  <c r="F113" i="171"/>
  <c r="F98" i="171"/>
  <c r="F68" i="171"/>
  <c r="F80" i="171"/>
  <c r="F66" i="171"/>
  <c r="F79" i="171"/>
  <c r="F77" i="171"/>
  <c r="F81" i="171"/>
  <c r="F39" i="171"/>
  <c r="F38" i="171"/>
  <c r="F115" i="171"/>
  <c r="F64" i="171"/>
  <c r="F43" i="171"/>
  <c r="F42" i="171"/>
  <c r="F31" i="171"/>
  <c r="F37" i="171"/>
  <c r="F36" i="171"/>
  <c r="F63" i="171"/>
  <c r="F21" i="171"/>
  <c r="F32" i="171"/>
  <c r="F114" i="171"/>
  <c r="F100" i="171"/>
  <c r="F28" i="171"/>
  <c r="F45" i="171"/>
  <c r="F44" i="171"/>
  <c r="G28" i="171"/>
  <c r="F33" i="171"/>
  <c r="E28" i="177"/>
  <c r="C28" i="177"/>
  <c r="D19" i="177"/>
  <c r="C105" i="160"/>
  <c r="D105" i="160"/>
  <c r="E28" i="160"/>
  <c r="F19" i="160"/>
  <c r="C116" i="160"/>
  <c r="D116" i="160"/>
  <c r="F53" i="162"/>
  <c r="F69" i="162"/>
  <c r="F85" i="162"/>
  <c r="F101" i="162"/>
  <c r="F71" i="162"/>
  <c r="F92" i="162"/>
  <c r="F57" i="162"/>
  <c r="F73" i="162"/>
  <c r="F89" i="162"/>
  <c r="F55" i="162"/>
  <c r="F76" i="162"/>
  <c r="F98" i="162"/>
  <c r="F67" i="162"/>
  <c r="F65" i="162"/>
  <c r="F87" i="162"/>
  <c r="F78" i="162"/>
  <c r="F99" i="162"/>
  <c r="F84" i="162"/>
  <c r="F75" i="162"/>
  <c r="F79" i="162"/>
  <c r="F102" i="162"/>
  <c r="F91" i="162"/>
  <c r="F26" i="162"/>
  <c r="F36" i="162"/>
  <c r="F33" i="162"/>
  <c r="F27" i="162"/>
  <c r="F39" i="162"/>
  <c r="F77" i="162"/>
  <c r="F60" i="162"/>
  <c r="F103" i="162"/>
  <c r="F83" i="162"/>
  <c r="F104" i="162"/>
  <c r="F95" i="162"/>
  <c r="F86" i="162"/>
  <c r="F100" i="162"/>
  <c r="F68" i="162"/>
  <c r="F24" i="162"/>
  <c r="F38" i="162"/>
  <c r="F46" i="162"/>
  <c r="F115" i="162"/>
  <c r="F41" i="162"/>
  <c r="F93" i="162"/>
  <c r="F72" i="162"/>
  <c r="F74" i="162"/>
  <c r="F58" i="162"/>
  <c r="F70" i="162"/>
  <c r="F21" i="162"/>
  <c r="F42" i="162"/>
  <c r="F28" i="162"/>
  <c r="F45" i="162"/>
  <c r="F82" i="162"/>
  <c r="F64" i="162"/>
  <c r="F25" i="162"/>
  <c r="F81" i="162"/>
  <c r="F63" i="162"/>
  <c r="F90" i="162"/>
  <c r="F32" i="162"/>
  <c r="F20" i="162"/>
  <c r="F66" i="162"/>
  <c r="F88" i="162"/>
  <c r="F54" i="162"/>
  <c r="F23" i="162"/>
  <c r="F31" i="162"/>
  <c r="F113" i="162"/>
  <c r="F43" i="162"/>
  <c r="F61" i="162"/>
  <c r="F94" i="162"/>
  <c r="F80" i="162"/>
  <c r="F40" i="162"/>
  <c r="F114" i="162"/>
  <c r="F37" i="162"/>
  <c r="F56" i="162"/>
  <c r="F96" i="162"/>
  <c r="F44" i="162"/>
  <c r="G28" i="162"/>
  <c r="D23" i="162"/>
  <c r="D58" i="162"/>
  <c r="D74" i="162"/>
  <c r="D90" i="162"/>
  <c r="D53" i="162"/>
  <c r="D75" i="162"/>
  <c r="D96" i="162"/>
  <c r="D68" i="162"/>
  <c r="D73" i="162"/>
  <c r="D87" i="162"/>
  <c r="D79" i="162"/>
  <c r="D81" i="162"/>
  <c r="D66" i="162"/>
  <c r="D82" i="162"/>
  <c r="D98" i="162"/>
  <c r="D64" i="162"/>
  <c r="D85" i="162"/>
  <c r="D55" i="162"/>
  <c r="D83" i="162"/>
  <c r="D56" i="162"/>
  <c r="D93" i="162"/>
  <c r="D67" i="162"/>
  <c r="D60" i="162"/>
  <c r="D99" i="162"/>
  <c r="D63" i="162"/>
  <c r="D94" i="162"/>
  <c r="D80" i="162"/>
  <c r="D76" i="162"/>
  <c r="D84" i="162"/>
  <c r="D95" i="162"/>
  <c r="D92" i="162"/>
  <c r="D70" i="162"/>
  <c r="D102" i="162"/>
  <c r="D91" i="162"/>
  <c r="D89" i="162"/>
  <c r="D103" i="162"/>
  <c r="D71" i="162"/>
  <c r="D100" i="162"/>
  <c r="D78" i="162"/>
  <c r="D101" i="162"/>
  <c r="D57" i="162"/>
  <c r="D38" i="162"/>
  <c r="D115" i="162"/>
  <c r="D43" i="162"/>
  <c r="D32" i="162"/>
  <c r="D36" i="162"/>
  <c r="D40" i="162"/>
  <c r="D44" i="162"/>
  <c r="D104" i="162"/>
  <c r="D86" i="162"/>
  <c r="D61" i="162"/>
  <c r="D77" i="162"/>
  <c r="D21" i="162"/>
  <c r="D26" i="162"/>
  <c r="D42" i="162"/>
  <c r="D113" i="162"/>
  <c r="D41" i="162"/>
  <c r="D27" i="162"/>
  <c r="D88" i="162"/>
  <c r="D69" i="162"/>
  <c r="D24" i="162"/>
  <c r="D45" i="162"/>
  <c r="D20" i="162"/>
  <c r="D46" i="162"/>
  <c r="D114" i="162"/>
  <c r="D65" i="162"/>
  <c r="D39" i="162"/>
  <c r="D72" i="162"/>
  <c r="D37" i="162"/>
  <c r="D54" i="162"/>
  <c r="D25" i="162"/>
  <c r="D28" i="162"/>
  <c r="D33" i="162"/>
  <c r="O116" i="175"/>
  <c r="P116" i="175"/>
  <c r="Q116" i="175"/>
  <c r="R116" i="175"/>
  <c r="E28" i="178"/>
  <c r="O116" i="161"/>
  <c r="P116" i="161"/>
  <c r="U116" i="172"/>
  <c r="V116" i="172"/>
  <c r="G116" i="170"/>
  <c r="H116" i="170"/>
  <c r="R111" i="174"/>
  <c r="Q116" i="174"/>
  <c r="R116" i="174"/>
  <c r="Q116" i="169"/>
  <c r="R116" i="169"/>
  <c r="R111" i="169"/>
  <c r="S116" i="169"/>
  <c r="T116" i="169"/>
  <c r="T111" i="169"/>
  <c r="S116" i="167"/>
  <c r="T116" i="167"/>
  <c r="S116" i="175"/>
  <c r="T116" i="175"/>
  <c r="S116" i="170"/>
  <c r="T116" i="170"/>
  <c r="T112" i="170"/>
  <c r="U116" i="168"/>
  <c r="V116" i="168"/>
  <c r="U116" i="175"/>
  <c r="V116" i="175"/>
  <c r="U116" i="161"/>
  <c r="V116" i="161"/>
  <c r="S116" i="172"/>
  <c r="T116" i="172"/>
  <c r="T111" i="172"/>
  <c r="S116" i="161"/>
  <c r="T116" i="161"/>
  <c r="S116" i="168"/>
  <c r="T116" i="168"/>
  <c r="Q116" i="170"/>
  <c r="R116" i="170"/>
  <c r="O116" i="174"/>
  <c r="P116" i="174"/>
  <c r="M116" i="165"/>
  <c r="N116" i="165"/>
  <c r="N112" i="165"/>
  <c r="K116" i="172"/>
  <c r="L116" i="172"/>
  <c r="L111" i="172"/>
  <c r="G116" i="173"/>
  <c r="H116" i="173"/>
  <c r="G116" i="163"/>
  <c r="H116" i="163"/>
  <c r="O116" i="158"/>
  <c r="P116" i="158"/>
  <c r="G116" i="169"/>
  <c r="H116" i="169"/>
  <c r="G116" i="174"/>
  <c r="H116" i="174"/>
  <c r="G116" i="164"/>
  <c r="H116" i="164"/>
  <c r="G116" i="172"/>
  <c r="H116" i="172"/>
  <c r="H111" i="172"/>
  <c r="C116" i="169"/>
  <c r="D116" i="169"/>
  <c r="C116" i="161"/>
  <c r="D116" i="161"/>
  <c r="C116" i="170"/>
  <c r="D116" i="170"/>
  <c r="D111" i="170"/>
  <c r="C116" i="163"/>
  <c r="D116" i="163"/>
  <c r="C116" i="173"/>
  <c r="D116" i="173"/>
  <c r="D111" i="173"/>
  <c r="C116" i="168"/>
  <c r="D116" i="168"/>
  <c r="D111" i="168"/>
  <c r="C116" i="171"/>
  <c r="D116" i="171"/>
  <c r="D111" i="164"/>
  <c r="D112" i="165"/>
  <c r="C116" i="165"/>
  <c r="D116" i="165"/>
  <c r="C116" i="172"/>
  <c r="D116" i="172"/>
  <c r="D111" i="172"/>
  <c r="V112" i="158"/>
  <c r="U116" i="158"/>
  <c r="V116" i="158"/>
  <c r="U116" i="167"/>
  <c r="V116" i="167"/>
  <c r="V112" i="167"/>
  <c r="V112" i="169"/>
  <c r="U116" i="169"/>
  <c r="V116" i="169"/>
  <c r="U116" i="174"/>
  <c r="V116" i="174"/>
  <c r="V111" i="174"/>
  <c r="V112" i="170"/>
  <c r="U116" i="170"/>
  <c r="V116" i="170"/>
  <c r="U116" i="163"/>
  <c r="V116" i="163"/>
  <c r="V111" i="163"/>
  <c r="Q116" i="172"/>
  <c r="R116" i="172"/>
  <c r="R111" i="172"/>
  <c r="R111" i="164"/>
  <c r="Q116" i="164"/>
  <c r="R116" i="164"/>
  <c r="O116" i="172"/>
  <c r="P116" i="172"/>
  <c r="P112" i="172"/>
  <c r="O116" i="164"/>
  <c r="P116" i="164"/>
  <c r="P111" i="164"/>
  <c r="N111" i="169"/>
  <c r="M116" i="169"/>
  <c r="N116" i="169"/>
  <c r="M116" i="163"/>
  <c r="N116" i="163"/>
  <c r="N111" i="163"/>
  <c r="M116" i="159"/>
  <c r="N116" i="159"/>
  <c r="N112" i="159"/>
  <c r="M116" i="164"/>
  <c r="N116" i="164"/>
  <c r="M116" i="174"/>
  <c r="N116" i="174"/>
  <c r="N112" i="174"/>
  <c r="M116" i="172"/>
  <c r="N116" i="172"/>
  <c r="N112" i="172"/>
  <c r="I116" i="172"/>
  <c r="J116" i="172"/>
  <c r="J111" i="172"/>
  <c r="E116" i="167"/>
  <c r="F116" i="167"/>
  <c r="E116" i="172"/>
  <c r="F116" i="172"/>
  <c r="F111" i="172"/>
  <c r="E116" i="168"/>
  <c r="F116" i="168"/>
  <c r="F111" i="168"/>
  <c r="F55" i="178"/>
  <c r="F97" i="178"/>
  <c r="F94" i="178"/>
  <c r="F87" i="178"/>
  <c r="F82" i="178"/>
  <c r="F74" i="178"/>
  <c r="F69" i="178"/>
  <c r="F57" i="178"/>
  <c r="F53" i="178"/>
  <c r="F93" i="178"/>
  <c r="F85" i="178"/>
  <c r="F96" i="178"/>
  <c r="F91" i="178"/>
  <c r="F84" i="178"/>
  <c r="F80" i="178"/>
  <c r="F72" i="178"/>
  <c r="F61" i="178"/>
  <c r="F95" i="178"/>
  <c r="F89" i="178"/>
  <c r="F83" i="178"/>
  <c r="F81" i="178"/>
  <c r="F73" i="178"/>
  <c r="F62" i="178"/>
  <c r="F52" i="178"/>
  <c r="F79" i="178"/>
  <c r="F71" i="178"/>
  <c r="F60" i="178"/>
  <c r="F58" i="178"/>
  <c r="F59" i="178"/>
  <c r="C107" i="171"/>
  <c r="D107" i="171"/>
  <c r="H31" i="195"/>
  <c r="I33" i="194"/>
  <c r="J31" i="194"/>
  <c r="K31" i="194"/>
  <c r="I31" i="195"/>
  <c r="O33" i="193"/>
  <c r="P31" i="193"/>
  <c r="Q31" i="193"/>
  <c r="T112" i="195"/>
  <c r="S116" i="195"/>
  <c r="T116" i="195"/>
  <c r="J112" i="195"/>
  <c r="I116" i="195"/>
  <c r="J116" i="195"/>
  <c r="V112" i="195"/>
  <c r="U116" i="195"/>
  <c r="V116" i="195"/>
  <c r="R112" i="195"/>
  <c r="Q116" i="195"/>
  <c r="R116" i="195"/>
  <c r="N112" i="195"/>
  <c r="M116" i="195"/>
  <c r="N116" i="195"/>
  <c r="P112" i="195"/>
  <c r="O116" i="195"/>
  <c r="P116" i="195"/>
  <c r="K116" i="195"/>
  <c r="L116" i="195"/>
  <c r="L112" i="195"/>
  <c r="H112" i="195"/>
  <c r="G116" i="195"/>
  <c r="H116" i="195"/>
  <c r="F112" i="195"/>
  <c r="E116" i="195"/>
  <c r="F116" i="195"/>
  <c r="C116" i="195"/>
  <c r="D116" i="195"/>
  <c r="D112" i="195"/>
  <c r="D97" i="177"/>
  <c r="D59" i="177"/>
  <c r="F97" i="177"/>
  <c r="F59" i="177"/>
  <c r="H97" i="171"/>
  <c r="H59" i="171"/>
  <c r="H97" i="162"/>
  <c r="H59" i="162"/>
  <c r="F97" i="160"/>
  <c r="F59" i="160"/>
  <c r="C107" i="160"/>
  <c r="D107" i="160"/>
  <c r="H20" i="171"/>
  <c r="H21" i="171"/>
  <c r="H67" i="171"/>
  <c r="H83" i="171"/>
  <c r="H99" i="171"/>
  <c r="H66" i="171"/>
  <c r="H88" i="171"/>
  <c r="H54" i="171"/>
  <c r="H84" i="171"/>
  <c r="H57" i="171"/>
  <c r="H92" i="171"/>
  <c r="H74" i="171"/>
  <c r="H80" i="171"/>
  <c r="H94" i="171"/>
  <c r="H81" i="171"/>
  <c r="H26" i="171"/>
  <c r="H46" i="171"/>
  <c r="H55" i="171"/>
  <c r="H71" i="171"/>
  <c r="H87" i="171"/>
  <c r="H103" i="171"/>
  <c r="H72" i="171"/>
  <c r="H93" i="171"/>
  <c r="H90" i="171"/>
  <c r="H70" i="171"/>
  <c r="H100" i="171"/>
  <c r="H89" i="171"/>
  <c r="H96" i="171"/>
  <c r="H86" i="171"/>
  <c r="H65" i="171"/>
  <c r="H25" i="171"/>
  <c r="H27" i="171"/>
  <c r="H24" i="171"/>
  <c r="H23" i="171"/>
  <c r="H63" i="171"/>
  <c r="H79" i="171"/>
  <c r="H95" i="171"/>
  <c r="H61" i="171"/>
  <c r="H82" i="171"/>
  <c r="H104" i="171"/>
  <c r="H76" i="171"/>
  <c r="H85" i="171"/>
  <c r="H60" i="171"/>
  <c r="H58" i="171"/>
  <c r="H73" i="171"/>
  <c r="H68" i="171"/>
  <c r="H33" i="171"/>
  <c r="H91" i="171"/>
  <c r="H69" i="171"/>
  <c r="H102" i="171"/>
  <c r="H115" i="171"/>
  <c r="H41" i="171"/>
  <c r="H56" i="171"/>
  <c r="H53" i="171"/>
  <c r="H75" i="171"/>
  <c r="H98" i="171"/>
  <c r="H64" i="171"/>
  <c r="H114" i="171"/>
  <c r="H39" i="171"/>
  <c r="H78" i="171"/>
  <c r="H32" i="171"/>
  <c r="H37" i="171"/>
  <c r="H43" i="171"/>
  <c r="H45" i="171"/>
  <c r="H28" i="171"/>
  <c r="H40" i="171"/>
  <c r="H36" i="171"/>
  <c r="H44" i="171"/>
  <c r="H101" i="171"/>
  <c r="H31" i="171"/>
  <c r="H42" i="171"/>
  <c r="H113" i="171"/>
  <c r="H77" i="171"/>
  <c r="H38" i="171"/>
  <c r="I28" i="171"/>
  <c r="E112" i="171"/>
  <c r="F112" i="171"/>
  <c r="F62" i="171"/>
  <c r="E105" i="171"/>
  <c r="F52" i="171"/>
  <c r="E111" i="171"/>
  <c r="H19" i="171"/>
  <c r="F78" i="177"/>
  <c r="F94" i="177"/>
  <c r="F75" i="177"/>
  <c r="F24" i="177"/>
  <c r="F66" i="177"/>
  <c r="F82" i="177"/>
  <c r="F98" i="177"/>
  <c r="F63" i="177"/>
  <c r="F79" i="177"/>
  <c r="F95" i="177"/>
  <c r="F64" i="177"/>
  <c r="F74" i="177"/>
  <c r="F55" i="177"/>
  <c r="F87" i="177"/>
  <c r="F56" i="177"/>
  <c r="F96" i="177"/>
  <c r="F92" i="177"/>
  <c r="F81" i="177"/>
  <c r="F68" i="177"/>
  <c r="F85" i="177"/>
  <c r="F101" i="177"/>
  <c r="F42" i="177"/>
  <c r="F45" i="177"/>
  <c r="F36" i="177"/>
  <c r="F21" i="177"/>
  <c r="F115" i="177"/>
  <c r="F58" i="177"/>
  <c r="F71" i="177"/>
  <c r="F80" i="177"/>
  <c r="F65" i="177"/>
  <c r="F100" i="177"/>
  <c r="F23" i="177"/>
  <c r="F54" i="177"/>
  <c r="F86" i="177"/>
  <c r="F67" i="177"/>
  <c r="F91" i="177"/>
  <c r="F72" i="177"/>
  <c r="F104" i="177"/>
  <c r="F57" i="177"/>
  <c r="F89" i="177"/>
  <c r="F84" i="177"/>
  <c r="F61" i="177"/>
  <c r="F77" i="177"/>
  <c r="F43" i="177"/>
  <c r="F38" i="177"/>
  <c r="F41" i="177"/>
  <c r="F20" i="177"/>
  <c r="F40" i="177"/>
  <c r="F26" i="177"/>
  <c r="F44" i="177"/>
  <c r="F113" i="177"/>
  <c r="F90" i="177"/>
  <c r="F99" i="177"/>
  <c r="F60" i="177"/>
  <c r="F93" i="177"/>
  <c r="F83" i="177"/>
  <c r="F73" i="177"/>
  <c r="F33" i="177"/>
  <c r="F70" i="177"/>
  <c r="F88" i="177"/>
  <c r="F53" i="177"/>
  <c r="F46" i="177"/>
  <c r="F27" i="177"/>
  <c r="F32" i="177"/>
  <c r="F102" i="177"/>
  <c r="F76" i="177"/>
  <c r="F69" i="177"/>
  <c r="F39" i="177"/>
  <c r="F37" i="177"/>
  <c r="F25" i="177"/>
  <c r="F28" i="177"/>
  <c r="F114" i="177"/>
  <c r="F103" i="177"/>
  <c r="F31" i="177"/>
  <c r="G28" i="177"/>
  <c r="C33" i="177"/>
  <c r="D61" i="177"/>
  <c r="D77" i="177"/>
  <c r="D93" i="177"/>
  <c r="D60" i="177"/>
  <c r="D82" i="177"/>
  <c r="D103" i="177"/>
  <c r="D72" i="177"/>
  <c r="D94" i="177"/>
  <c r="D68" i="177"/>
  <c r="D102" i="177"/>
  <c r="D95" i="177"/>
  <c r="D75" i="177"/>
  <c r="D24" i="177"/>
  <c r="D65" i="177"/>
  <c r="D81" i="177"/>
  <c r="D66" i="177"/>
  <c r="D87" i="177"/>
  <c r="D56" i="177"/>
  <c r="D78" i="177"/>
  <c r="D99" i="177"/>
  <c r="D79" i="177"/>
  <c r="D70" i="177"/>
  <c r="D63" i="177"/>
  <c r="D86" i="177"/>
  <c r="D57" i="177"/>
  <c r="D89" i="177"/>
  <c r="D76" i="177"/>
  <c r="D67" i="177"/>
  <c r="D58" i="177"/>
  <c r="D91" i="177"/>
  <c r="D64" i="177"/>
  <c r="D69" i="177"/>
  <c r="D101" i="177"/>
  <c r="D92" i="177"/>
  <c r="D83" i="177"/>
  <c r="D90" i="177"/>
  <c r="D74" i="177"/>
  <c r="D96" i="177"/>
  <c r="D73" i="177"/>
  <c r="D98" i="177"/>
  <c r="D100" i="177"/>
  <c r="D21" i="177"/>
  <c r="D23" i="177"/>
  <c r="D46" i="177"/>
  <c r="D36" i="177"/>
  <c r="D44" i="177"/>
  <c r="D32" i="177"/>
  <c r="D43" i="177"/>
  <c r="D55" i="177"/>
  <c r="D85" i="177"/>
  <c r="D80" i="177"/>
  <c r="D25" i="177"/>
  <c r="D27" i="177"/>
  <c r="D38" i="177"/>
  <c r="D37" i="177"/>
  <c r="D45" i="177"/>
  <c r="D88" i="177"/>
  <c r="D84" i="177"/>
  <c r="D26" i="177"/>
  <c r="D71" i="177"/>
  <c r="D42" i="177"/>
  <c r="D104" i="177"/>
  <c r="D54" i="177"/>
  <c r="D114" i="177"/>
  <c r="D31" i="177"/>
  <c r="D41" i="177"/>
  <c r="D113" i="177"/>
  <c r="D53" i="177"/>
  <c r="D40" i="177"/>
  <c r="D28" i="177"/>
  <c r="D115" i="177"/>
  <c r="D39" i="177"/>
  <c r="D20" i="177"/>
  <c r="F19" i="177"/>
  <c r="G28" i="160"/>
  <c r="H19" i="160"/>
  <c r="F21" i="160"/>
  <c r="F57" i="160"/>
  <c r="F73" i="160"/>
  <c r="F89" i="160"/>
  <c r="F58" i="160"/>
  <c r="F79" i="160"/>
  <c r="F100" i="160"/>
  <c r="F70" i="160"/>
  <c r="F91" i="160"/>
  <c r="F71" i="160"/>
  <c r="F104" i="160"/>
  <c r="F56" i="160"/>
  <c r="F88" i="160"/>
  <c r="F23" i="160"/>
  <c r="F61" i="160"/>
  <c r="F77" i="160"/>
  <c r="F93" i="160"/>
  <c r="F63" i="160"/>
  <c r="F84" i="160"/>
  <c r="F54" i="160"/>
  <c r="F75" i="160"/>
  <c r="F96" i="160"/>
  <c r="F82" i="160"/>
  <c r="F72" i="160"/>
  <c r="F55" i="160"/>
  <c r="F78" i="160"/>
  <c r="F53" i="160"/>
  <c r="F69" i="160"/>
  <c r="F85" i="160"/>
  <c r="F101" i="160"/>
  <c r="F74" i="160"/>
  <c r="F95" i="160"/>
  <c r="F64" i="160"/>
  <c r="F86" i="160"/>
  <c r="F60" i="160"/>
  <c r="F103" i="160"/>
  <c r="F94" i="160"/>
  <c r="F98" i="160"/>
  <c r="F87" i="160"/>
  <c r="F67" i="160"/>
  <c r="F26" i="160"/>
  <c r="F68" i="160"/>
  <c r="F102" i="160"/>
  <c r="F99" i="160"/>
  <c r="F27" i="160"/>
  <c r="F37" i="160"/>
  <c r="F114" i="160"/>
  <c r="F41" i="160"/>
  <c r="F42" i="160"/>
  <c r="F81" i="160"/>
  <c r="F83" i="160"/>
  <c r="F33" i="160"/>
  <c r="F44" i="160"/>
  <c r="F31" i="160"/>
  <c r="F115" i="160"/>
  <c r="F45" i="160"/>
  <c r="F80" i="160"/>
  <c r="F76" i="160"/>
  <c r="F24" i="160"/>
  <c r="F25" i="160"/>
  <c r="F36" i="160"/>
  <c r="F28" i="160"/>
  <c r="F113" i="160"/>
  <c r="F43" i="160"/>
  <c r="F65" i="160"/>
  <c r="F20" i="160"/>
  <c r="F32" i="160"/>
  <c r="F46" i="160"/>
  <c r="F92" i="160"/>
  <c r="F90" i="160"/>
  <c r="F39" i="160"/>
  <c r="F66" i="160"/>
  <c r="F40" i="160"/>
  <c r="F38" i="160"/>
  <c r="H19" i="162"/>
  <c r="H58" i="162"/>
  <c r="H74" i="162"/>
  <c r="H90" i="162"/>
  <c r="H56" i="162"/>
  <c r="H77" i="162"/>
  <c r="H99" i="162"/>
  <c r="H73" i="162"/>
  <c r="H101" i="162"/>
  <c r="H81" i="162"/>
  <c r="H64" i="162"/>
  <c r="H92" i="162"/>
  <c r="H89" i="162"/>
  <c r="H78" i="162"/>
  <c r="H94" i="162"/>
  <c r="H61" i="162"/>
  <c r="H83" i="162"/>
  <c r="H104" i="162"/>
  <c r="H80" i="162"/>
  <c r="H53" i="162"/>
  <c r="H91" i="162"/>
  <c r="H55" i="162"/>
  <c r="H103" i="162"/>
  <c r="H57" i="162"/>
  <c r="H96" i="162"/>
  <c r="H54" i="162"/>
  <c r="H86" i="162"/>
  <c r="H72" i="162"/>
  <c r="H65" i="162"/>
  <c r="H71" i="162"/>
  <c r="H84" i="162"/>
  <c r="H76" i="162"/>
  <c r="H23" i="162"/>
  <c r="H45" i="162"/>
  <c r="H38" i="162"/>
  <c r="H21" i="162"/>
  <c r="H28" i="162"/>
  <c r="H66" i="162"/>
  <c r="H98" i="162"/>
  <c r="H88" i="162"/>
  <c r="H87" i="162"/>
  <c r="H100" i="162"/>
  <c r="H60" i="162"/>
  <c r="H68" i="162"/>
  <c r="H37" i="162"/>
  <c r="H41" i="162"/>
  <c r="H114" i="162"/>
  <c r="H44" i="162"/>
  <c r="H36" i="162"/>
  <c r="H115" i="162"/>
  <c r="H113" i="162"/>
  <c r="H32" i="162"/>
  <c r="H46" i="162"/>
  <c r="H67" i="162"/>
  <c r="H63" i="162"/>
  <c r="H85" i="162"/>
  <c r="H33" i="162"/>
  <c r="H40" i="162"/>
  <c r="H43" i="162"/>
  <c r="H82" i="162"/>
  <c r="H24" i="162"/>
  <c r="H95" i="162"/>
  <c r="H70" i="162"/>
  <c r="H93" i="162"/>
  <c r="H69" i="162"/>
  <c r="H20" i="162"/>
  <c r="H31" i="162"/>
  <c r="H25" i="162"/>
  <c r="H75" i="162"/>
  <c r="H26" i="162"/>
  <c r="H27" i="162"/>
  <c r="H39" i="162"/>
  <c r="H102" i="162"/>
  <c r="H79" i="162"/>
  <c r="H42" i="162"/>
  <c r="I28" i="162"/>
  <c r="C112" i="162"/>
  <c r="D112" i="162"/>
  <c r="D62" i="162"/>
  <c r="C111" i="162"/>
  <c r="F52" i="162"/>
  <c r="E105" i="162"/>
  <c r="E112" i="162"/>
  <c r="F112" i="162"/>
  <c r="F62" i="162"/>
  <c r="D52" i="162"/>
  <c r="C105" i="162"/>
  <c r="E111" i="162"/>
  <c r="F24" i="178"/>
  <c r="F115" i="178"/>
  <c r="F43" i="178"/>
  <c r="F32" i="178"/>
  <c r="F20" i="178"/>
  <c r="F38" i="178"/>
  <c r="F21" i="178"/>
  <c r="F23" i="178"/>
  <c r="F113" i="178"/>
  <c r="F41" i="178"/>
  <c r="F28" i="178"/>
  <c r="F44" i="178"/>
  <c r="F36" i="178"/>
  <c r="F39" i="178"/>
  <c r="F42" i="178"/>
  <c r="F27" i="178"/>
  <c r="F45" i="178"/>
  <c r="F37" i="178"/>
  <c r="F40" i="178"/>
  <c r="F46" i="178"/>
  <c r="F114" i="178"/>
  <c r="F25" i="178"/>
  <c r="F26" i="178"/>
  <c r="F33" i="178"/>
  <c r="F31" i="178"/>
  <c r="G28" i="178"/>
  <c r="F19" i="178"/>
  <c r="H93" i="178"/>
  <c r="H85" i="178"/>
  <c r="H81" i="178"/>
  <c r="H73" i="178"/>
  <c r="H62" i="178"/>
  <c r="H52" i="178"/>
  <c r="H96" i="178"/>
  <c r="H91" i="178"/>
  <c r="H84" i="178"/>
  <c r="H55" i="178"/>
  <c r="H95" i="178"/>
  <c r="H89" i="178"/>
  <c r="H83" i="178"/>
  <c r="H94" i="178"/>
  <c r="H87" i="178"/>
  <c r="H82" i="178"/>
  <c r="H79" i="178"/>
  <c r="H74" i="178"/>
  <c r="H71" i="178"/>
  <c r="H69" i="178"/>
  <c r="H60" i="178"/>
  <c r="H58" i="178"/>
  <c r="H57" i="178"/>
  <c r="H80" i="178"/>
  <c r="H72" i="178"/>
  <c r="H61" i="178"/>
  <c r="H53" i="178"/>
  <c r="H97" i="178"/>
  <c r="H59" i="178"/>
  <c r="I33" i="195"/>
  <c r="J31" i="195"/>
  <c r="K33" i="194"/>
  <c r="L31" i="194"/>
  <c r="M31" i="194"/>
  <c r="K31" i="195"/>
  <c r="J33" i="194"/>
  <c r="P33" i="193"/>
  <c r="Q33" i="193"/>
  <c r="R31" i="193"/>
  <c r="S31" i="193"/>
  <c r="H97" i="177"/>
  <c r="H59" i="177"/>
  <c r="J97" i="171"/>
  <c r="J59" i="171"/>
  <c r="J97" i="162"/>
  <c r="J59" i="162"/>
  <c r="H97" i="160"/>
  <c r="H59" i="160"/>
  <c r="K28" i="171"/>
  <c r="G111" i="171"/>
  <c r="H52" i="171"/>
  <c r="G105" i="171"/>
  <c r="E107" i="171"/>
  <c r="F107" i="171"/>
  <c r="F105" i="171"/>
  <c r="E116" i="171"/>
  <c r="F116" i="171"/>
  <c r="F111" i="171"/>
  <c r="J66" i="171"/>
  <c r="J82" i="171"/>
  <c r="J98" i="171"/>
  <c r="J65" i="171"/>
  <c r="J87" i="171"/>
  <c r="J53" i="171"/>
  <c r="J83" i="171"/>
  <c r="J56" i="171"/>
  <c r="J84" i="171"/>
  <c r="J64" i="171"/>
  <c r="J73" i="171"/>
  <c r="J85" i="171"/>
  <c r="J67" i="171"/>
  <c r="J20" i="171"/>
  <c r="J54" i="171"/>
  <c r="J70" i="171"/>
  <c r="J86" i="171"/>
  <c r="J102" i="171"/>
  <c r="J71" i="171"/>
  <c r="J92" i="171"/>
  <c r="J61" i="171"/>
  <c r="J89" i="171"/>
  <c r="J63" i="171"/>
  <c r="J91" i="171"/>
  <c r="J79" i="171"/>
  <c r="J88" i="171"/>
  <c r="J72" i="171"/>
  <c r="J95" i="171"/>
  <c r="J26" i="171"/>
  <c r="J23" i="171"/>
  <c r="J78" i="171"/>
  <c r="J94" i="171"/>
  <c r="J60" i="171"/>
  <c r="J81" i="171"/>
  <c r="J103" i="171"/>
  <c r="J75" i="171"/>
  <c r="J104" i="171"/>
  <c r="J77" i="171"/>
  <c r="J80" i="171"/>
  <c r="J57" i="171"/>
  <c r="J33" i="171"/>
  <c r="J90" i="171"/>
  <c r="J68" i="171"/>
  <c r="J93" i="171"/>
  <c r="J36" i="171"/>
  <c r="J44" i="171"/>
  <c r="J32" i="171"/>
  <c r="J43" i="171"/>
  <c r="J113" i="171"/>
  <c r="J55" i="171"/>
  <c r="J96" i="171"/>
  <c r="J101" i="171"/>
  <c r="J74" i="171"/>
  <c r="J99" i="171"/>
  <c r="J25" i="171"/>
  <c r="J24" i="171"/>
  <c r="J46" i="171"/>
  <c r="J28" i="171"/>
  <c r="J31" i="171"/>
  <c r="J42" i="171"/>
  <c r="J41" i="171"/>
  <c r="J115" i="171"/>
  <c r="J76" i="171"/>
  <c r="J45" i="171"/>
  <c r="J37" i="171"/>
  <c r="J69" i="171"/>
  <c r="J40" i="171"/>
  <c r="J39" i="171"/>
  <c r="J100" i="171"/>
  <c r="J21" i="171"/>
  <c r="J38" i="171"/>
  <c r="J27" i="171"/>
  <c r="J58" i="171"/>
  <c r="J114" i="171"/>
  <c r="G112" i="171"/>
  <c r="H112" i="171"/>
  <c r="H62" i="171"/>
  <c r="J19" i="171"/>
  <c r="H61" i="177"/>
  <c r="H93" i="177"/>
  <c r="H84" i="177"/>
  <c r="H80" i="177"/>
  <c r="H82" i="177"/>
  <c r="H81" i="177"/>
  <c r="H91" i="177"/>
  <c r="H96" i="177"/>
  <c r="H94" i="177"/>
  <c r="H83" i="177"/>
  <c r="H55" i="177"/>
  <c r="H53" i="177"/>
  <c r="H85" i="177"/>
  <c r="H74" i="177"/>
  <c r="H60" i="177"/>
  <c r="H26" i="177"/>
  <c r="H113" i="177"/>
  <c r="H39" i="177"/>
  <c r="H38" i="177"/>
  <c r="H101" i="177"/>
  <c r="H57" i="177"/>
  <c r="H89" i="177"/>
  <c r="H79" i="177"/>
  <c r="H71" i="177"/>
  <c r="H33" i="177"/>
  <c r="H41" i="177"/>
  <c r="H114" i="177"/>
  <c r="H40" i="177"/>
  <c r="H69" i="177"/>
  <c r="H95" i="177"/>
  <c r="H87" i="177"/>
  <c r="H27" i="177"/>
  <c r="H115" i="177"/>
  <c r="H28" i="177"/>
  <c r="H45" i="177"/>
  <c r="H36" i="177"/>
  <c r="H73" i="177"/>
  <c r="H25" i="177"/>
  <c r="H37" i="177"/>
  <c r="H44" i="177"/>
  <c r="H58" i="177"/>
  <c r="H72" i="177"/>
  <c r="H24" i="177"/>
  <c r="H21" i="177"/>
  <c r="H46" i="177"/>
  <c r="H23" i="177"/>
  <c r="H31" i="177"/>
  <c r="H32" i="177"/>
  <c r="H42" i="177"/>
  <c r="H43" i="177"/>
  <c r="H20" i="177"/>
  <c r="E111" i="177"/>
  <c r="D33" i="177"/>
  <c r="D62" i="177"/>
  <c r="C112" i="177"/>
  <c r="D112" i="177"/>
  <c r="D52" i="177"/>
  <c r="C105" i="177"/>
  <c r="D105" i="177"/>
  <c r="C111" i="177"/>
  <c r="H19" i="177"/>
  <c r="F52" i="177"/>
  <c r="E105" i="177"/>
  <c r="E112" i="177"/>
  <c r="F112" i="177"/>
  <c r="F62" i="177"/>
  <c r="H66" i="160"/>
  <c r="H82" i="160"/>
  <c r="H98" i="160"/>
  <c r="H64" i="160"/>
  <c r="H85" i="160"/>
  <c r="H56" i="160"/>
  <c r="H84" i="160"/>
  <c r="H72" i="160"/>
  <c r="H55" i="160"/>
  <c r="H93" i="160"/>
  <c r="H60" i="160"/>
  <c r="H104" i="160"/>
  <c r="H67" i="160"/>
  <c r="H54" i="160"/>
  <c r="H70" i="160"/>
  <c r="H86" i="160"/>
  <c r="H102" i="160"/>
  <c r="H69" i="160"/>
  <c r="H91" i="160"/>
  <c r="H63" i="160"/>
  <c r="H92" i="160"/>
  <c r="H81" i="160"/>
  <c r="H65" i="160"/>
  <c r="H103" i="160"/>
  <c r="H87" i="160"/>
  <c r="H23" i="160"/>
  <c r="H78" i="160"/>
  <c r="H94" i="160"/>
  <c r="H80" i="160"/>
  <c r="H101" i="160"/>
  <c r="H77" i="160"/>
  <c r="H61" i="160"/>
  <c r="H100" i="160"/>
  <c r="H83" i="160"/>
  <c r="H88" i="160"/>
  <c r="H79" i="160"/>
  <c r="H95" i="160"/>
  <c r="H74" i="160"/>
  <c r="H96" i="160"/>
  <c r="H73" i="160"/>
  <c r="H24" i="160"/>
  <c r="H27" i="160"/>
  <c r="H21" i="160"/>
  <c r="H115" i="160"/>
  <c r="H43" i="160"/>
  <c r="H113" i="160"/>
  <c r="H40" i="160"/>
  <c r="H53" i="160"/>
  <c r="H99" i="160"/>
  <c r="H57" i="160"/>
  <c r="H28" i="160"/>
  <c r="H39" i="160"/>
  <c r="H44" i="160"/>
  <c r="H36" i="160"/>
  <c r="H58" i="160"/>
  <c r="H75" i="160"/>
  <c r="H89" i="160"/>
  <c r="H76" i="160"/>
  <c r="H33" i="160"/>
  <c r="H31" i="160"/>
  <c r="H45" i="160"/>
  <c r="H37" i="160"/>
  <c r="H42" i="160"/>
  <c r="H46" i="160"/>
  <c r="H71" i="160"/>
  <c r="H90" i="160"/>
  <c r="H26" i="160"/>
  <c r="H41" i="160"/>
  <c r="H32" i="160"/>
  <c r="H68" i="160"/>
  <c r="H25" i="160"/>
  <c r="H114" i="160"/>
  <c r="H38" i="160"/>
  <c r="H20" i="160"/>
  <c r="E111" i="160"/>
  <c r="F52" i="160"/>
  <c r="E105" i="160"/>
  <c r="E112" i="160"/>
  <c r="F112" i="160"/>
  <c r="F62" i="160"/>
  <c r="I28" i="160"/>
  <c r="J19" i="160"/>
  <c r="K28" i="162"/>
  <c r="L19" i="162"/>
  <c r="G111" i="162"/>
  <c r="H52" i="162"/>
  <c r="G105" i="162"/>
  <c r="G112" i="162"/>
  <c r="H112" i="162"/>
  <c r="H62" i="162"/>
  <c r="F111" i="162"/>
  <c r="E116" i="162"/>
  <c r="F116" i="162"/>
  <c r="D105" i="162"/>
  <c r="C107" i="162"/>
  <c r="D107" i="162"/>
  <c r="C116" i="162"/>
  <c r="D116" i="162"/>
  <c r="D111" i="162"/>
  <c r="E107" i="162"/>
  <c r="F107" i="162"/>
  <c r="F105" i="162"/>
  <c r="J19" i="162"/>
  <c r="J25" i="162"/>
  <c r="J53" i="162"/>
  <c r="J69" i="162"/>
  <c r="J85" i="162"/>
  <c r="J101" i="162"/>
  <c r="J71" i="162"/>
  <c r="J92" i="162"/>
  <c r="J64" i="162"/>
  <c r="J94" i="162"/>
  <c r="J80" i="162"/>
  <c r="J63" i="162"/>
  <c r="J102" i="162"/>
  <c r="J75" i="162"/>
  <c r="J68" i="162"/>
  <c r="J88" i="162"/>
  <c r="J57" i="162"/>
  <c r="J73" i="162"/>
  <c r="J89" i="162"/>
  <c r="J55" i="162"/>
  <c r="J76" i="162"/>
  <c r="J98" i="162"/>
  <c r="J72" i="162"/>
  <c r="J100" i="162"/>
  <c r="J90" i="162"/>
  <c r="J74" i="162"/>
  <c r="J84" i="162"/>
  <c r="J61" i="162"/>
  <c r="J93" i="162"/>
  <c r="J82" i="162"/>
  <c r="J79" i="162"/>
  <c r="J99" i="162"/>
  <c r="J56" i="162"/>
  <c r="J96" i="162"/>
  <c r="J32" i="162"/>
  <c r="J114" i="162"/>
  <c r="J28" i="162"/>
  <c r="J31" i="162"/>
  <c r="J42" i="162"/>
  <c r="J65" i="162"/>
  <c r="J87" i="162"/>
  <c r="J86" i="162"/>
  <c r="J54" i="162"/>
  <c r="J67" i="162"/>
  <c r="J78" i="162"/>
  <c r="J20" i="162"/>
  <c r="J46" i="162"/>
  <c r="J37" i="162"/>
  <c r="J45" i="162"/>
  <c r="J115" i="162"/>
  <c r="J36" i="162"/>
  <c r="J44" i="162"/>
  <c r="J81" i="162"/>
  <c r="J58" i="162"/>
  <c r="J91" i="162"/>
  <c r="J39" i="162"/>
  <c r="J66" i="162"/>
  <c r="J104" i="162"/>
  <c r="J24" i="162"/>
  <c r="J77" i="162"/>
  <c r="J41" i="162"/>
  <c r="J60" i="162"/>
  <c r="J95" i="162"/>
  <c r="J27" i="162"/>
  <c r="J43" i="162"/>
  <c r="J113" i="162"/>
  <c r="J26" i="162"/>
  <c r="J23" i="162"/>
  <c r="J70" i="162"/>
  <c r="J33" i="162"/>
  <c r="J40" i="162"/>
  <c r="J21" i="162"/>
  <c r="J103" i="162"/>
  <c r="J83" i="162"/>
  <c r="J38" i="162"/>
  <c r="I28" i="178"/>
  <c r="H24" i="178"/>
  <c r="H26" i="178"/>
  <c r="H45" i="178"/>
  <c r="H25" i="178"/>
  <c r="H41" i="178"/>
  <c r="H23" i="178"/>
  <c r="H27" i="178"/>
  <c r="H113" i="178"/>
  <c r="H46" i="178"/>
  <c r="H38" i="178"/>
  <c r="H114" i="178"/>
  <c r="H28" i="178"/>
  <c r="H42" i="178"/>
  <c r="H40" i="178"/>
  <c r="H115" i="178"/>
  <c r="H43" i="178"/>
  <c r="H37" i="178"/>
  <c r="H36" i="178"/>
  <c r="H32" i="178"/>
  <c r="H39" i="178"/>
  <c r="H21" i="178"/>
  <c r="H44" i="178"/>
  <c r="H20" i="178"/>
  <c r="H19" i="178"/>
  <c r="E112" i="178"/>
  <c r="F112" i="178"/>
  <c r="E111" i="178"/>
  <c r="M46" i="89"/>
  <c r="L46" i="89"/>
  <c r="K46" i="89"/>
  <c r="J46" i="89"/>
  <c r="I46" i="89"/>
  <c r="N45" i="89"/>
  <c r="N44" i="89"/>
  <c r="N43" i="89"/>
  <c r="N42" i="89"/>
  <c r="N41" i="89"/>
  <c r="N40" i="89"/>
  <c r="N39" i="89"/>
  <c r="N38" i="89"/>
  <c r="N37" i="89"/>
  <c r="C50" i="118"/>
  <c r="C110" i="118"/>
  <c r="C46" i="118"/>
  <c r="U16" i="118"/>
  <c r="S16" i="118"/>
  <c r="Q16" i="118"/>
  <c r="O16" i="118"/>
  <c r="M16" i="118"/>
  <c r="K16" i="118"/>
  <c r="I16" i="118"/>
  <c r="G16" i="118"/>
  <c r="E16" i="118"/>
  <c r="C16" i="118"/>
  <c r="J19" i="178"/>
  <c r="J96" i="178"/>
  <c r="J91" i="178"/>
  <c r="J84" i="178"/>
  <c r="J80" i="178"/>
  <c r="J72" i="178"/>
  <c r="J61" i="178"/>
  <c r="J97" i="178"/>
  <c r="J95" i="178"/>
  <c r="J89" i="178"/>
  <c r="J83" i="178"/>
  <c r="J81" i="178"/>
  <c r="J73" i="178"/>
  <c r="J62" i="178"/>
  <c r="J94" i="178"/>
  <c r="J87" i="178"/>
  <c r="J82" i="178"/>
  <c r="J79" i="178"/>
  <c r="J74" i="178"/>
  <c r="J71" i="178"/>
  <c r="J69" i="178"/>
  <c r="J60" i="178"/>
  <c r="J58" i="178"/>
  <c r="J57" i="178"/>
  <c r="J52" i="178"/>
  <c r="J53" i="178"/>
  <c r="J55" i="178"/>
  <c r="J93" i="178"/>
  <c r="J85" i="178"/>
  <c r="J59" i="178"/>
  <c r="U112" i="197"/>
  <c r="V62" i="197"/>
  <c r="O112" i="197"/>
  <c r="P62" i="197"/>
  <c r="S112" i="197"/>
  <c r="T62" i="197"/>
  <c r="M112" i="197"/>
  <c r="N62" i="197"/>
  <c r="Q112" i="197"/>
  <c r="R62" i="197"/>
  <c r="M33" i="194"/>
  <c r="N31" i="194"/>
  <c r="O31" i="194"/>
  <c r="M31" i="195"/>
  <c r="L33" i="194"/>
  <c r="K33" i="195"/>
  <c r="L31" i="195"/>
  <c r="J33" i="195"/>
  <c r="R33" i="193"/>
  <c r="S33" i="193"/>
  <c r="T31" i="193"/>
  <c r="U31" i="193"/>
  <c r="L19" i="171"/>
  <c r="L97" i="171"/>
  <c r="L59" i="171"/>
  <c r="L97" i="162"/>
  <c r="L59" i="162"/>
  <c r="J97" i="160"/>
  <c r="J59" i="160"/>
  <c r="J52" i="171"/>
  <c r="I105" i="171"/>
  <c r="H105" i="171"/>
  <c r="G107" i="171"/>
  <c r="H107" i="171"/>
  <c r="I111" i="171"/>
  <c r="I112" i="171"/>
  <c r="J112" i="171"/>
  <c r="J62" i="171"/>
  <c r="L60" i="171"/>
  <c r="L76" i="171"/>
  <c r="L92" i="171"/>
  <c r="L57" i="171"/>
  <c r="L78" i="171"/>
  <c r="L99" i="171"/>
  <c r="L77" i="171"/>
  <c r="L58" i="171"/>
  <c r="L86" i="171"/>
  <c r="L74" i="171"/>
  <c r="L69" i="171"/>
  <c r="L95" i="171"/>
  <c r="L56" i="171"/>
  <c r="L72" i="171"/>
  <c r="L88" i="171"/>
  <c r="L104" i="171"/>
  <c r="L73" i="171"/>
  <c r="L94" i="171"/>
  <c r="L70" i="171"/>
  <c r="L98" i="171"/>
  <c r="L79" i="171"/>
  <c r="L54" i="171"/>
  <c r="L66" i="171"/>
  <c r="L90" i="171"/>
  <c r="L81" i="171"/>
  <c r="L64" i="171"/>
  <c r="L96" i="171"/>
  <c r="L83" i="171"/>
  <c r="L85" i="171"/>
  <c r="L93" i="171"/>
  <c r="L82" i="171"/>
  <c r="L75" i="171"/>
  <c r="L24" i="171"/>
  <c r="L68" i="171"/>
  <c r="L100" i="171"/>
  <c r="L89" i="171"/>
  <c r="L91" i="171"/>
  <c r="L101" i="171"/>
  <c r="L53" i="171"/>
  <c r="L25" i="171"/>
  <c r="L84" i="171"/>
  <c r="L67" i="171"/>
  <c r="L63" i="171"/>
  <c r="L71" i="171"/>
  <c r="L102" i="171"/>
  <c r="L61" i="171"/>
  <c r="L20" i="171"/>
  <c r="L23" i="171"/>
  <c r="L21" i="171"/>
  <c r="L65" i="171"/>
  <c r="L36" i="171"/>
  <c r="L44" i="171"/>
  <c r="L80" i="171"/>
  <c r="L87" i="171"/>
  <c r="L55" i="171"/>
  <c r="L33" i="171"/>
  <c r="L27" i="171"/>
  <c r="L113" i="171"/>
  <c r="L31" i="171"/>
  <c r="L42" i="171"/>
  <c r="L114" i="171"/>
  <c r="L32" i="171"/>
  <c r="L43" i="171"/>
  <c r="L39" i="171"/>
  <c r="L46" i="171"/>
  <c r="L26" i="171"/>
  <c r="L115" i="171"/>
  <c r="L40" i="171"/>
  <c r="L28" i="171"/>
  <c r="L37" i="171"/>
  <c r="L45" i="171"/>
  <c r="L38" i="171"/>
  <c r="L103" i="171"/>
  <c r="L41" i="171"/>
  <c r="H111" i="171"/>
  <c r="G116" i="171"/>
  <c r="H116" i="171"/>
  <c r="M28" i="171"/>
  <c r="C107" i="177"/>
  <c r="D107" i="177"/>
  <c r="G112" i="177"/>
  <c r="H112" i="177"/>
  <c r="H62" i="177"/>
  <c r="C116" i="177"/>
  <c r="D116" i="177"/>
  <c r="D111" i="177"/>
  <c r="G111" i="177"/>
  <c r="H52" i="177"/>
  <c r="F105" i="177"/>
  <c r="E107" i="177"/>
  <c r="F107" i="177"/>
  <c r="F111" i="177"/>
  <c r="E116" i="177"/>
  <c r="F116" i="177"/>
  <c r="G112" i="160"/>
  <c r="H112" i="160"/>
  <c r="H62" i="160"/>
  <c r="F111" i="160"/>
  <c r="E116" i="160"/>
  <c r="F116" i="160"/>
  <c r="G111" i="160"/>
  <c r="K28" i="160"/>
  <c r="H52" i="160"/>
  <c r="G105" i="160"/>
  <c r="J20" i="160"/>
  <c r="J27" i="160"/>
  <c r="J53" i="160"/>
  <c r="J69" i="160"/>
  <c r="J85" i="160"/>
  <c r="J101" i="160"/>
  <c r="J74" i="160"/>
  <c r="J95" i="160"/>
  <c r="J70" i="160"/>
  <c r="J98" i="160"/>
  <c r="J80" i="160"/>
  <c r="J64" i="160"/>
  <c r="J102" i="160"/>
  <c r="J86" i="160"/>
  <c r="J96" i="160"/>
  <c r="J78" i="160"/>
  <c r="J57" i="160"/>
  <c r="J73" i="160"/>
  <c r="J89" i="160"/>
  <c r="J58" i="160"/>
  <c r="J79" i="160"/>
  <c r="J100" i="160"/>
  <c r="J76" i="160"/>
  <c r="J104" i="160"/>
  <c r="J88" i="160"/>
  <c r="J72" i="160"/>
  <c r="J56" i="160"/>
  <c r="J94" i="160"/>
  <c r="J87" i="160"/>
  <c r="J21" i="160"/>
  <c r="J23" i="160"/>
  <c r="J65" i="160"/>
  <c r="J81" i="160"/>
  <c r="J68" i="160"/>
  <c r="J90" i="160"/>
  <c r="J91" i="160"/>
  <c r="J71" i="160"/>
  <c r="J54" i="160"/>
  <c r="J92" i="160"/>
  <c r="J75" i="160"/>
  <c r="J24" i="160"/>
  <c r="J93" i="160"/>
  <c r="J83" i="160"/>
  <c r="J66" i="160"/>
  <c r="J25" i="160"/>
  <c r="J39" i="160"/>
  <c r="J28" i="160"/>
  <c r="J42" i="160"/>
  <c r="J61" i="160"/>
  <c r="J84" i="160"/>
  <c r="J99" i="160"/>
  <c r="J67" i="160"/>
  <c r="J31" i="160"/>
  <c r="J32" i="160"/>
  <c r="J43" i="160"/>
  <c r="J114" i="160"/>
  <c r="J113" i="160"/>
  <c r="J46" i="160"/>
  <c r="J38" i="160"/>
  <c r="J45" i="160"/>
  <c r="J77" i="160"/>
  <c r="J55" i="160"/>
  <c r="J82" i="160"/>
  <c r="J26" i="160"/>
  <c r="J33" i="160"/>
  <c r="J36" i="160"/>
  <c r="J44" i="160"/>
  <c r="J103" i="160"/>
  <c r="J37" i="160"/>
  <c r="J41" i="160"/>
  <c r="J63" i="160"/>
  <c r="J60" i="160"/>
  <c r="J115" i="160"/>
  <c r="J40" i="160"/>
  <c r="E107" i="160"/>
  <c r="F107" i="160"/>
  <c r="F105" i="160"/>
  <c r="J52" i="162"/>
  <c r="I105" i="162"/>
  <c r="I111" i="162"/>
  <c r="L67" i="162"/>
  <c r="L83" i="162"/>
  <c r="L99" i="162"/>
  <c r="L75" i="162"/>
  <c r="L91" i="162"/>
  <c r="L57" i="162"/>
  <c r="L71" i="162"/>
  <c r="L103" i="162"/>
  <c r="L78" i="162"/>
  <c r="L100" i="162"/>
  <c r="L74" i="162"/>
  <c r="L102" i="162"/>
  <c r="L82" i="162"/>
  <c r="L65" i="162"/>
  <c r="L104" i="162"/>
  <c r="L86" i="162"/>
  <c r="L70" i="162"/>
  <c r="L79" i="162"/>
  <c r="L84" i="162"/>
  <c r="L53" i="162"/>
  <c r="L81" i="162"/>
  <c r="L54" i="162"/>
  <c r="L92" i="162"/>
  <c r="L76" i="162"/>
  <c r="L58" i="162"/>
  <c r="L61" i="162"/>
  <c r="L55" i="162"/>
  <c r="L68" i="162"/>
  <c r="L60" i="162"/>
  <c r="L64" i="162"/>
  <c r="L85" i="162"/>
  <c r="L90" i="162"/>
  <c r="L23" i="162"/>
  <c r="L44" i="162"/>
  <c r="L114" i="162"/>
  <c r="L39" i="162"/>
  <c r="L25" i="162"/>
  <c r="L26" i="162"/>
  <c r="L28" i="162"/>
  <c r="L89" i="162"/>
  <c r="L101" i="162"/>
  <c r="L63" i="162"/>
  <c r="L73" i="162"/>
  <c r="L66" i="162"/>
  <c r="L72" i="162"/>
  <c r="L93" i="162"/>
  <c r="L80" i="162"/>
  <c r="L40" i="162"/>
  <c r="L45" i="162"/>
  <c r="L37" i="162"/>
  <c r="L20" i="162"/>
  <c r="L21" i="162"/>
  <c r="L87" i="162"/>
  <c r="L88" i="162"/>
  <c r="L94" i="162"/>
  <c r="L77" i="162"/>
  <c r="L46" i="162"/>
  <c r="L27" i="162"/>
  <c r="L38" i="162"/>
  <c r="L36" i="162"/>
  <c r="L56" i="162"/>
  <c r="L69" i="162"/>
  <c r="L32" i="162"/>
  <c r="L42" i="162"/>
  <c r="L33" i="162"/>
  <c r="L96" i="162"/>
  <c r="L24" i="162"/>
  <c r="L115" i="162"/>
  <c r="L43" i="162"/>
  <c r="L98" i="162"/>
  <c r="L113" i="162"/>
  <c r="L41" i="162"/>
  <c r="L31" i="162"/>
  <c r="L95" i="162"/>
  <c r="I112" i="162"/>
  <c r="J112" i="162"/>
  <c r="J62" i="162"/>
  <c r="H105" i="162"/>
  <c r="G107" i="162"/>
  <c r="H107" i="162"/>
  <c r="H111" i="162"/>
  <c r="G116" i="162"/>
  <c r="H116" i="162"/>
  <c r="M28" i="162"/>
  <c r="N19" i="162"/>
  <c r="G112" i="178"/>
  <c r="H112" i="178"/>
  <c r="G111" i="178"/>
  <c r="J23" i="178"/>
  <c r="J24" i="178"/>
  <c r="J40" i="178"/>
  <c r="J28" i="178"/>
  <c r="J41" i="178"/>
  <c r="J27" i="178"/>
  <c r="J36" i="178"/>
  <c r="J37" i="178"/>
  <c r="J43" i="178"/>
  <c r="J46" i="178"/>
  <c r="J114" i="178"/>
  <c r="J38" i="178"/>
  <c r="J26" i="178"/>
  <c r="J39" i="178"/>
  <c r="J25" i="178"/>
  <c r="J115" i="178"/>
  <c r="J44" i="178"/>
  <c r="J21" i="178"/>
  <c r="J45" i="178"/>
  <c r="J113" i="178"/>
  <c r="J42" i="178"/>
  <c r="J32" i="178"/>
  <c r="J20" i="178"/>
  <c r="F111" i="178"/>
  <c r="E116" i="178"/>
  <c r="F116" i="178"/>
  <c r="K28" i="178"/>
  <c r="N46" i="89"/>
  <c r="L95" i="178"/>
  <c r="L89" i="178"/>
  <c r="L83" i="178"/>
  <c r="L79" i="178"/>
  <c r="L71" i="178"/>
  <c r="L60" i="178"/>
  <c r="L58" i="178"/>
  <c r="L55" i="178"/>
  <c r="L94" i="178"/>
  <c r="L87" i="178"/>
  <c r="L82" i="178"/>
  <c r="L74" i="178"/>
  <c r="L69" i="178"/>
  <c r="L57" i="178"/>
  <c r="L52" i="178"/>
  <c r="L53" i="178"/>
  <c r="L93" i="178"/>
  <c r="L85" i="178"/>
  <c r="L80" i="178"/>
  <c r="L72" i="178"/>
  <c r="L61" i="178"/>
  <c r="L96" i="178"/>
  <c r="L91" i="178"/>
  <c r="L84" i="178"/>
  <c r="L81" i="178"/>
  <c r="L73" i="178"/>
  <c r="L62" i="178"/>
  <c r="L97" i="178"/>
  <c r="L59" i="178"/>
  <c r="M116" i="197"/>
  <c r="N116" i="197"/>
  <c r="N112" i="197"/>
  <c r="P112" i="197"/>
  <c r="O116" i="197"/>
  <c r="P116" i="197"/>
  <c r="T112" i="197"/>
  <c r="S116" i="197"/>
  <c r="T116" i="197"/>
  <c r="R112" i="197"/>
  <c r="Q116" i="197"/>
  <c r="R116" i="197"/>
  <c r="V112" i="197"/>
  <c r="U116" i="197"/>
  <c r="V116" i="197"/>
  <c r="M33" i="195"/>
  <c r="N31" i="195"/>
  <c r="L33" i="195"/>
  <c r="P31" i="194"/>
  <c r="Q31" i="194"/>
  <c r="O31" i="195"/>
  <c r="O33" i="194"/>
  <c r="N33" i="194"/>
  <c r="U33" i="193"/>
  <c r="V31" i="193"/>
  <c r="T33" i="193"/>
  <c r="L19" i="178"/>
  <c r="N19" i="171"/>
  <c r="N97" i="171"/>
  <c r="N59" i="171"/>
  <c r="N97" i="162"/>
  <c r="N59" i="162"/>
  <c r="L97" i="160"/>
  <c r="L59" i="160"/>
  <c r="K111" i="171"/>
  <c r="L52" i="171"/>
  <c r="K105" i="171"/>
  <c r="N53" i="171"/>
  <c r="N69" i="171"/>
  <c r="N85" i="171"/>
  <c r="N101" i="171"/>
  <c r="N66" i="171"/>
  <c r="N82" i="171"/>
  <c r="N98" i="171"/>
  <c r="N71" i="171"/>
  <c r="N103" i="171"/>
  <c r="N80" i="171"/>
  <c r="N67" i="171"/>
  <c r="N68" i="171"/>
  <c r="N75" i="171"/>
  <c r="N76" i="171"/>
  <c r="N20" i="171"/>
  <c r="N65" i="171"/>
  <c r="N81" i="171"/>
  <c r="N78" i="171"/>
  <c r="N94" i="171"/>
  <c r="N63" i="171"/>
  <c r="N95" i="171"/>
  <c r="N72" i="171"/>
  <c r="N104" i="171"/>
  <c r="N60" i="171"/>
  <c r="N77" i="171"/>
  <c r="N58" i="171"/>
  <c r="N90" i="171"/>
  <c r="N87" i="171"/>
  <c r="N96" i="171"/>
  <c r="N100" i="171"/>
  <c r="N25" i="171"/>
  <c r="N23" i="171"/>
  <c r="N24" i="171"/>
  <c r="N46" i="171"/>
  <c r="N57" i="171"/>
  <c r="N89" i="171"/>
  <c r="N70" i="171"/>
  <c r="N102" i="171"/>
  <c r="N56" i="171"/>
  <c r="N83" i="171"/>
  <c r="N91" i="171"/>
  <c r="N27" i="171"/>
  <c r="N73" i="171"/>
  <c r="N54" i="171"/>
  <c r="N86" i="171"/>
  <c r="N79" i="171"/>
  <c r="N88" i="171"/>
  <c r="N84" i="171"/>
  <c r="N21" i="171"/>
  <c r="N33" i="171"/>
  <c r="N55" i="171"/>
  <c r="N28" i="171"/>
  <c r="N39" i="171"/>
  <c r="N38" i="171"/>
  <c r="N61" i="171"/>
  <c r="N64" i="171"/>
  <c r="N74" i="171"/>
  <c r="N92" i="171"/>
  <c r="N37" i="171"/>
  <c r="N45" i="171"/>
  <c r="N36" i="171"/>
  <c r="N44" i="171"/>
  <c r="N99" i="171"/>
  <c r="N41" i="171"/>
  <c r="N115" i="171"/>
  <c r="N43" i="171"/>
  <c r="N42" i="171"/>
  <c r="N114" i="171"/>
  <c r="N40" i="171"/>
  <c r="N93" i="171"/>
  <c r="N26" i="171"/>
  <c r="N32" i="171"/>
  <c r="N31" i="171"/>
  <c r="N113" i="171"/>
  <c r="K112" i="171"/>
  <c r="L112" i="171"/>
  <c r="L62" i="171"/>
  <c r="O28" i="171"/>
  <c r="J105" i="171"/>
  <c r="I107" i="171"/>
  <c r="J107" i="171"/>
  <c r="I116" i="171"/>
  <c r="J116" i="171"/>
  <c r="J111" i="171"/>
  <c r="H111" i="177"/>
  <c r="G116" i="177"/>
  <c r="H116" i="177"/>
  <c r="H105" i="160"/>
  <c r="G107" i="160"/>
  <c r="H107" i="160"/>
  <c r="I112" i="160"/>
  <c r="J112" i="160"/>
  <c r="J62" i="160"/>
  <c r="L63" i="160"/>
  <c r="L79" i="160"/>
  <c r="L95" i="160"/>
  <c r="L60" i="160"/>
  <c r="L67" i="160"/>
  <c r="L83" i="160"/>
  <c r="L99" i="160"/>
  <c r="L75" i="160"/>
  <c r="L91" i="160"/>
  <c r="L54" i="160"/>
  <c r="L55" i="160"/>
  <c r="L65" i="160"/>
  <c r="L86" i="160"/>
  <c r="L57" i="160"/>
  <c r="L85" i="160"/>
  <c r="L101" i="160"/>
  <c r="L84" i="160"/>
  <c r="L58" i="160"/>
  <c r="L96" i="160"/>
  <c r="L89" i="160"/>
  <c r="L23" i="160"/>
  <c r="L24" i="160"/>
  <c r="L26" i="160"/>
  <c r="L71" i="160"/>
  <c r="L70" i="160"/>
  <c r="L92" i="160"/>
  <c r="L64" i="160"/>
  <c r="L93" i="160"/>
  <c r="L73" i="160"/>
  <c r="L56" i="160"/>
  <c r="L94" i="160"/>
  <c r="L68" i="160"/>
  <c r="L80" i="160"/>
  <c r="L61" i="160"/>
  <c r="L103" i="160"/>
  <c r="L81" i="160"/>
  <c r="L102" i="160"/>
  <c r="L78" i="160"/>
  <c r="L53" i="160"/>
  <c r="L90" i="160"/>
  <c r="L74" i="160"/>
  <c r="L88" i="160"/>
  <c r="L98" i="160"/>
  <c r="L76" i="160"/>
  <c r="L82" i="160"/>
  <c r="L69" i="160"/>
  <c r="L33" i="160"/>
  <c r="L27" i="160"/>
  <c r="L113" i="160"/>
  <c r="L72" i="160"/>
  <c r="L104" i="160"/>
  <c r="L21" i="160"/>
  <c r="L25" i="160"/>
  <c r="L32" i="160"/>
  <c r="L87" i="160"/>
  <c r="L100" i="160"/>
  <c r="L77" i="160"/>
  <c r="L115" i="160"/>
  <c r="L38" i="160"/>
  <c r="L66" i="160"/>
  <c r="L114" i="160"/>
  <c r="L42" i="160"/>
  <c r="L41" i="160"/>
  <c r="L36" i="160"/>
  <c r="L45" i="160"/>
  <c r="L46" i="160"/>
  <c r="L40" i="160"/>
  <c r="L39" i="160"/>
  <c r="L28" i="160"/>
  <c r="L44" i="160"/>
  <c r="L43" i="160"/>
  <c r="L31" i="160"/>
  <c r="L37" i="160"/>
  <c r="L20" i="160"/>
  <c r="J52" i="160"/>
  <c r="I105" i="160"/>
  <c r="M28" i="160"/>
  <c r="I111" i="160"/>
  <c r="L19" i="160"/>
  <c r="H111" i="160"/>
  <c r="G116" i="160"/>
  <c r="H116" i="160"/>
  <c r="O28" i="162"/>
  <c r="P19" i="162"/>
  <c r="L52" i="162"/>
  <c r="K105" i="162"/>
  <c r="J105" i="162"/>
  <c r="I107" i="162"/>
  <c r="J107" i="162"/>
  <c r="K112" i="162"/>
  <c r="L112" i="162"/>
  <c r="L62" i="162"/>
  <c r="K111" i="162"/>
  <c r="N63" i="162"/>
  <c r="N79" i="162"/>
  <c r="N95" i="162"/>
  <c r="N60" i="162"/>
  <c r="N76" i="162"/>
  <c r="N92" i="162"/>
  <c r="N53" i="162"/>
  <c r="N85" i="162"/>
  <c r="N94" i="162"/>
  <c r="N89" i="162"/>
  <c r="N65" i="162"/>
  <c r="N98" i="162"/>
  <c r="N55" i="162"/>
  <c r="N71" i="162"/>
  <c r="N87" i="162"/>
  <c r="N103" i="162"/>
  <c r="N68" i="162"/>
  <c r="N84" i="162"/>
  <c r="N100" i="162"/>
  <c r="N69" i="162"/>
  <c r="N101" i="162"/>
  <c r="N78" i="162"/>
  <c r="N57" i="162"/>
  <c r="N74" i="162"/>
  <c r="N82" i="162"/>
  <c r="N75" i="162"/>
  <c r="N56" i="162"/>
  <c r="N88" i="162"/>
  <c r="N77" i="162"/>
  <c r="N86" i="162"/>
  <c r="N90" i="162"/>
  <c r="N25" i="162"/>
  <c r="N83" i="162"/>
  <c r="N64" i="162"/>
  <c r="N96" i="162"/>
  <c r="N93" i="162"/>
  <c r="N102" i="162"/>
  <c r="N72" i="162"/>
  <c r="N54" i="162"/>
  <c r="N66" i="162"/>
  <c r="N23" i="162"/>
  <c r="N42" i="162"/>
  <c r="N37" i="162"/>
  <c r="N45" i="162"/>
  <c r="N104" i="162"/>
  <c r="N67" i="162"/>
  <c r="N80" i="162"/>
  <c r="N70" i="162"/>
  <c r="N81" i="162"/>
  <c r="N36" i="162"/>
  <c r="N33" i="162"/>
  <c r="N27" i="162"/>
  <c r="N28" i="162"/>
  <c r="N39" i="162"/>
  <c r="N91" i="162"/>
  <c r="N73" i="162"/>
  <c r="N58" i="162"/>
  <c r="N26" i="162"/>
  <c r="N38" i="162"/>
  <c r="N44" i="162"/>
  <c r="N32" i="162"/>
  <c r="N31" i="162"/>
  <c r="N21" i="162"/>
  <c r="N41" i="162"/>
  <c r="N20" i="162"/>
  <c r="N40" i="162"/>
  <c r="N115" i="162"/>
  <c r="N114" i="162"/>
  <c r="N46" i="162"/>
  <c r="N99" i="162"/>
  <c r="N24" i="162"/>
  <c r="N113" i="162"/>
  <c r="N43" i="162"/>
  <c r="N61" i="162"/>
  <c r="J111" i="162"/>
  <c r="I116" i="162"/>
  <c r="J116" i="162"/>
  <c r="M28" i="178"/>
  <c r="H111" i="178"/>
  <c r="G116" i="178"/>
  <c r="H116" i="178"/>
  <c r="L23" i="178"/>
  <c r="L26" i="178"/>
  <c r="L21" i="178"/>
  <c r="L37" i="178"/>
  <c r="L40" i="178"/>
  <c r="L41" i="178"/>
  <c r="L115" i="178"/>
  <c r="L113" i="178"/>
  <c r="L45" i="178"/>
  <c r="L44" i="178"/>
  <c r="L42" i="178"/>
  <c r="L24" i="178"/>
  <c r="L46" i="178"/>
  <c r="L36" i="178"/>
  <c r="L27" i="178"/>
  <c r="L32" i="178"/>
  <c r="L114" i="178"/>
  <c r="L38" i="178"/>
  <c r="L39" i="178"/>
  <c r="L25" i="178"/>
  <c r="L43" i="178"/>
  <c r="L28" i="178"/>
  <c r="L20" i="178"/>
  <c r="I111" i="178"/>
  <c r="I112" i="178"/>
  <c r="J112" i="178"/>
  <c r="H46" i="89"/>
  <c r="G46" i="89"/>
  <c r="F46" i="89"/>
  <c r="E46" i="89"/>
  <c r="D46" i="89"/>
  <c r="N55" i="178"/>
  <c r="N94" i="178"/>
  <c r="N87" i="178"/>
  <c r="N82" i="178"/>
  <c r="N74" i="178"/>
  <c r="N69" i="178"/>
  <c r="N57" i="178"/>
  <c r="N53" i="178"/>
  <c r="N93" i="178"/>
  <c r="N85" i="178"/>
  <c r="N79" i="178"/>
  <c r="N71" i="178"/>
  <c r="N60" i="178"/>
  <c r="N58" i="178"/>
  <c r="N80" i="178"/>
  <c r="N72" i="178"/>
  <c r="N61" i="178"/>
  <c r="N97" i="178"/>
  <c r="N96" i="178"/>
  <c r="N91" i="178"/>
  <c r="N84" i="178"/>
  <c r="N81" i="178"/>
  <c r="N73" i="178"/>
  <c r="N62" i="178"/>
  <c r="N95" i="178"/>
  <c r="N89" i="178"/>
  <c r="N83" i="178"/>
  <c r="N52" i="178"/>
  <c r="N59" i="178"/>
  <c r="G112" i="197"/>
  <c r="H62" i="197"/>
  <c r="I112" i="197"/>
  <c r="J62" i="197"/>
  <c r="E112" i="197"/>
  <c r="F62" i="197"/>
  <c r="L62" i="197"/>
  <c r="K112" i="197"/>
  <c r="C112" i="197"/>
  <c r="D62" i="197"/>
  <c r="P33" i="194"/>
  <c r="P31" i="195"/>
  <c r="O33" i="195"/>
  <c r="Q33" i="194"/>
  <c r="Q31" i="195"/>
  <c r="R31" i="194"/>
  <c r="S31" i="194"/>
  <c r="N33" i="195"/>
  <c r="V33" i="193"/>
  <c r="N19" i="178"/>
  <c r="P19" i="171"/>
  <c r="P97" i="171"/>
  <c r="P59" i="171"/>
  <c r="P97" i="162"/>
  <c r="P59" i="162"/>
  <c r="N97" i="160"/>
  <c r="N59" i="160"/>
  <c r="M111" i="171"/>
  <c r="M112" i="171"/>
  <c r="N112" i="171"/>
  <c r="N62" i="171"/>
  <c r="L105" i="171"/>
  <c r="K107" i="171"/>
  <c r="L107" i="171"/>
  <c r="Q28" i="171"/>
  <c r="M105" i="171"/>
  <c r="N52" i="171"/>
  <c r="P25" i="171"/>
  <c r="P21" i="171"/>
  <c r="P67" i="171"/>
  <c r="P83" i="171"/>
  <c r="P99" i="171"/>
  <c r="P66" i="171"/>
  <c r="P88" i="171"/>
  <c r="P54" i="171"/>
  <c r="P84" i="171"/>
  <c r="P57" i="171"/>
  <c r="P85" i="171"/>
  <c r="P80" i="171"/>
  <c r="P89" i="171"/>
  <c r="P68" i="171"/>
  <c r="P53" i="171"/>
  <c r="P27" i="171"/>
  <c r="P26" i="171"/>
  <c r="P20" i="171"/>
  <c r="P33" i="171"/>
  <c r="P55" i="171"/>
  <c r="P71" i="171"/>
  <c r="P87" i="171"/>
  <c r="P103" i="171"/>
  <c r="P72" i="171"/>
  <c r="P93" i="171"/>
  <c r="P90" i="171"/>
  <c r="P64" i="171"/>
  <c r="P92" i="171"/>
  <c r="P94" i="171"/>
  <c r="P102" i="171"/>
  <c r="P96" i="171"/>
  <c r="P81" i="171"/>
  <c r="P63" i="171"/>
  <c r="P79" i="171"/>
  <c r="P95" i="171"/>
  <c r="P61" i="171"/>
  <c r="P82" i="171"/>
  <c r="P104" i="171"/>
  <c r="P76" i="171"/>
  <c r="P78" i="171"/>
  <c r="P65" i="171"/>
  <c r="P74" i="171"/>
  <c r="P86" i="171"/>
  <c r="P101" i="171"/>
  <c r="P75" i="171"/>
  <c r="P98" i="171"/>
  <c r="P100" i="171"/>
  <c r="P91" i="171"/>
  <c r="P69" i="171"/>
  <c r="P60" i="171"/>
  <c r="P46" i="171"/>
  <c r="P77" i="171"/>
  <c r="P70" i="171"/>
  <c r="P73" i="171"/>
  <c r="P39" i="171"/>
  <c r="P56" i="171"/>
  <c r="P58" i="171"/>
  <c r="P114" i="171"/>
  <c r="P113" i="171"/>
  <c r="P37" i="171"/>
  <c r="P45" i="171"/>
  <c r="P28" i="171"/>
  <c r="P24" i="171"/>
  <c r="P38" i="171"/>
  <c r="P41" i="171"/>
  <c r="P31" i="171"/>
  <c r="P42" i="171"/>
  <c r="P32" i="171"/>
  <c r="P43" i="171"/>
  <c r="P40" i="171"/>
  <c r="P23" i="171"/>
  <c r="P115" i="171"/>
  <c r="P36" i="171"/>
  <c r="P44" i="171"/>
  <c r="L111" i="171"/>
  <c r="K116" i="171"/>
  <c r="L116" i="171"/>
  <c r="N75" i="160"/>
  <c r="N91" i="160"/>
  <c r="N56" i="160"/>
  <c r="N72" i="160"/>
  <c r="N88" i="160"/>
  <c r="N104" i="160"/>
  <c r="N77" i="160"/>
  <c r="N54" i="160"/>
  <c r="N86" i="160"/>
  <c r="N81" i="160"/>
  <c r="N98" i="160"/>
  <c r="N89" i="160"/>
  <c r="N63" i="160"/>
  <c r="N79" i="160"/>
  <c r="N95" i="160"/>
  <c r="N60" i="160"/>
  <c r="N76" i="160"/>
  <c r="N92" i="160"/>
  <c r="N53" i="160"/>
  <c r="N85" i="160"/>
  <c r="N94" i="160"/>
  <c r="N73" i="160"/>
  <c r="N90" i="160"/>
  <c r="N55" i="160"/>
  <c r="N71" i="160"/>
  <c r="N87" i="160"/>
  <c r="N103" i="160"/>
  <c r="N68" i="160"/>
  <c r="N84" i="160"/>
  <c r="N100" i="160"/>
  <c r="N69" i="160"/>
  <c r="N101" i="160"/>
  <c r="N78" i="160"/>
  <c r="N65" i="160"/>
  <c r="N82" i="160"/>
  <c r="N57" i="160"/>
  <c r="N58" i="160"/>
  <c r="N24" i="160"/>
  <c r="N64" i="160"/>
  <c r="N93" i="160"/>
  <c r="N74" i="160"/>
  <c r="N67" i="160"/>
  <c r="N80" i="160"/>
  <c r="N70" i="160"/>
  <c r="N23" i="160"/>
  <c r="N21" i="160"/>
  <c r="N99" i="160"/>
  <c r="N61" i="160"/>
  <c r="N66" i="160"/>
  <c r="N25" i="160"/>
  <c r="N27" i="160"/>
  <c r="N102" i="160"/>
  <c r="N26" i="160"/>
  <c r="N42" i="160"/>
  <c r="N113" i="160"/>
  <c r="N46" i="160"/>
  <c r="N39" i="160"/>
  <c r="N36" i="160"/>
  <c r="N83" i="160"/>
  <c r="N38" i="160"/>
  <c r="N43" i="160"/>
  <c r="N96" i="160"/>
  <c r="N33" i="160"/>
  <c r="N115" i="160"/>
  <c r="N41" i="160"/>
  <c r="N40" i="160"/>
  <c r="N114" i="160"/>
  <c r="N45" i="160"/>
  <c r="N28" i="160"/>
  <c r="N37" i="160"/>
  <c r="N31" i="160"/>
  <c r="N32" i="160"/>
  <c r="N44" i="160"/>
  <c r="N20" i="160"/>
  <c r="O28" i="160"/>
  <c r="P19" i="160"/>
  <c r="I116" i="160"/>
  <c r="J116" i="160"/>
  <c r="J111" i="160"/>
  <c r="N19" i="160"/>
  <c r="L52" i="160"/>
  <c r="K105" i="160"/>
  <c r="K111" i="160"/>
  <c r="J105" i="160"/>
  <c r="I107" i="160"/>
  <c r="J107" i="160"/>
  <c r="K112" i="160"/>
  <c r="L112" i="160"/>
  <c r="L62" i="160"/>
  <c r="M112" i="162"/>
  <c r="N112" i="162"/>
  <c r="N62" i="162"/>
  <c r="L111" i="162"/>
  <c r="K116" i="162"/>
  <c r="L116" i="162"/>
  <c r="P24" i="162"/>
  <c r="P27" i="162"/>
  <c r="P66" i="162"/>
  <c r="P82" i="162"/>
  <c r="P98" i="162"/>
  <c r="P67" i="162"/>
  <c r="P88" i="162"/>
  <c r="P87" i="162"/>
  <c r="P63" i="162"/>
  <c r="P100" i="162"/>
  <c r="P75" i="162"/>
  <c r="P57" i="162"/>
  <c r="P96" i="162"/>
  <c r="P79" i="162"/>
  <c r="P58" i="162"/>
  <c r="P74" i="162"/>
  <c r="P90" i="162"/>
  <c r="P56" i="162"/>
  <c r="P77" i="162"/>
  <c r="P99" i="162"/>
  <c r="P73" i="162"/>
  <c r="P101" i="162"/>
  <c r="P81" i="162"/>
  <c r="P55" i="162"/>
  <c r="P92" i="162"/>
  <c r="P76" i="162"/>
  <c r="P60" i="162"/>
  <c r="P94" i="162"/>
  <c r="P83" i="162"/>
  <c r="P80" i="162"/>
  <c r="P91" i="162"/>
  <c r="P103" i="162"/>
  <c r="P70" i="162"/>
  <c r="P102" i="162"/>
  <c r="P93" i="162"/>
  <c r="P95" i="162"/>
  <c r="P68" i="162"/>
  <c r="P89" i="162"/>
  <c r="P54" i="162"/>
  <c r="P72" i="162"/>
  <c r="P71" i="162"/>
  <c r="P69" i="162"/>
  <c r="P33" i="162"/>
  <c r="P28" i="162"/>
  <c r="P46" i="162"/>
  <c r="P40" i="162"/>
  <c r="P26" i="162"/>
  <c r="P65" i="162"/>
  <c r="P78" i="162"/>
  <c r="P104" i="162"/>
  <c r="P64" i="162"/>
  <c r="P23" i="162"/>
  <c r="P20" i="162"/>
  <c r="P25" i="162"/>
  <c r="P43" i="162"/>
  <c r="P38" i="162"/>
  <c r="P21" i="162"/>
  <c r="P86" i="162"/>
  <c r="P84" i="162"/>
  <c r="P61" i="162"/>
  <c r="P114" i="162"/>
  <c r="P42" i="162"/>
  <c r="P113" i="162"/>
  <c r="P41" i="162"/>
  <c r="P53" i="162"/>
  <c r="P39" i="162"/>
  <c r="P37" i="162"/>
  <c r="P45" i="162"/>
  <c r="P115" i="162"/>
  <c r="P36" i="162"/>
  <c r="P85" i="162"/>
  <c r="P31" i="162"/>
  <c r="P32" i="162"/>
  <c r="P44" i="162"/>
  <c r="M111" i="162"/>
  <c r="N52" i="162"/>
  <c r="M105" i="162"/>
  <c r="L105" i="162"/>
  <c r="K107" i="162"/>
  <c r="L107" i="162"/>
  <c r="Q28" i="162"/>
  <c r="R19" i="162"/>
  <c r="K111" i="178"/>
  <c r="N24" i="178"/>
  <c r="N23" i="178"/>
  <c r="N43" i="178"/>
  <c r="N32" i="178"/>
  <c r="N40" i="178"/>
  <c r="N26" i="178"/>
  <c r="N114" i="178"/>
  <c r="N41" i="178"/>
  <c r="N28" i="178"/>
  <c r="N38" i="178"/>
  <c r="N21" i="178"/>
  <c r="N115" i="178"/>
  <c r="N27" i="178"/>
  <c r="N44" i="178"/>
  <c r="N113" i="178"/>
  <c r="N45" i="178"/>
  <c r="N25" i="178"/>
  <c r="N42" i="178"/>
  <c r="N39" i="178"/>
  <c r="N36" i="178"/>
  <c r="N46" i="178"/>
  <c r="N37" i="178"/>
  <c r="N20" i="178"/>
  <c r="J111" i="178"/>
  <c r="I116" i="178"/>
  <c r="J116" i="178"/>
  <c r="K112" i="178"/>
  <c r="L112" i="178"/>
  <c r="O28" i="178"/>
  <c r="P93" i="178"/>
  <c r="P85" i="178"/>
  <c r="P81" i="178"/>
  <c r="P73" i="178"/>
  <c r="P62" i="178"/>
  <c r="P52" i="178"/>
  <c r="P96" i="178"/>
  <c r="P91" i="178"/>
  <c r="P84" i="178"/>
  <c r="P94" i="178"/>
  <c r="P87" i="178"/>
  <c r="P82" i="178"/>
  <c r="P80" i="178"/>
  <c r="P72" i="178"/>
  <c r="P61" i="178"/>
  <c r="P53" i="178"/>
  <c r="P55" i="178"/>
  <c r="P95" i="178"/>
  <c r="P89" i="178"/>
  <c r="P83" i="178"/>
  <c r="P79" i="178"/>
  <c r="P74" i="178"/>
  <c r="P71" i="178"/>
  <c r="P69" i="178"/>
  <c r="P60" i="178"/>
  <c r="P58" i="178"/>
  <c r="P57" i="178"/>
  <c r="P97" i="178"/>
  <c r="P59" i="178"/>
  <c r="F112" i="197"/>
  <c r="E116" i="197"/>
  <c r="F116" i="197"/>
  <c r="K116" i="197"/>
  <c r="L116" i="197"/>
  <c r="L112" i="197"/>
  <c r="J112" i="197"/>
  <c r="I116" i="197"/>
  <c r="J116" i="197"/>
  <c r="G116" i="197"/>
  <c r="H116" i="197"/>
  <c r="H112" i="197"/>
  <c r="D112" i="197"/>
  <c r="C116" i="197"/>
  <c r="D116" i="197"/>
  <c r="Q33" i="195"/>
  <c r="R31" i="195"/>
  <c r="P33" i="195"/>
  <c r="S33" i="194"/>
  <c r="S31" i="195"/>
  <c r="T31" i="194"/>
  <c r="U31" i="194"/>
  <c r="R33" i="194"/>
  <c r="P19" i="178"/>
  <c r="R97" i="171"/>
  <c r="R59" i="171"/>
  <c r="R97" i="162"/>
  <c r="R59" i="162"/>
  <c r="P97" i="160"/>
  <c r="P59" i="160"/>
  <c r="P52" i="171"/>
  <c r="O105" i="171"/>
  <c r="O111" i="171"/>
  <c r="O112" i="171"/>
  <c r="P112" i="171"/>
  <c r="P62" i="171"/>
  <c r="R19" i="171"/>
  <c r="R66" i="171"/>
  <c r="R82" i="171"/>
  <c r="R98" i="171"/>
  <c r="R65" i="171"/>
  <c r="R87" i="171"/>
  <c r="R53" i="171"/>
  <c r="R83" i="171"/>
  <c r="R56" i="171"/>
  <c r="R84" i="171"/>
  <c r="R64" i="171"/>
  <c r="R95" i="171"/>
  <c r="R57" i="171"/>
  <c r="R88" i="171"/>
  <c r="R20" i="171"/>
  <c r="R54" i="171"/>
  <c r="R70" i="171"/>
  <c r="R86" i="171"/>
  <c r="R102" i="171"/>
  <c r="R71" i="171"/>
  <c r="R92" i="171"/>
  <c r="R61" i="171"/>
  <c r="R89" i="171"/>
  <c r="R63" i="171"/>
  <c r="R91" i="171"/>
  <c r="R79" i="171"/>
  <c r="R72" i="171"/>
  <c r="R85" i="171"/>
  <c r="R101" i="171"/>
  <c r="R21" i="171"/>
  <c r="R78" i="171"/>
  <c r="R94" i="171"/>
  <c r="R60" i="171"/>
  <c r="R81" i="171"/>
  <c r="R103" i="171"/>
  <c r="R75" i="171"/>
  <c r="R104" i="171"/>
  <c r="R77" i="171"/>
  <c r="R67" i="171"/>
  <c r="R80" i="171"/>
  <c r="R73" i="171"/>
  <c r="R74" i="171"/>
  <c r="R99" i="171"/>
  <c r="R33" i="171"/>
  <c r="R90" i="171"/>
  <c r="R68" i="171"/>
  <c r="R93" i="171"/>
  <c r="R58" i="171"/>
  <c r="R76" i="171"/>
  <c r="R69" i="171"/>
  <c r="R26" i="171"/>
  <c r="R24" i="171"/>
  <c r="R96" i="171"/>
  <c r="R23" i="171"/>
  <c r="R46" i="171"/>
  <c r="R31" i="171"/>
  <c r="R42" i="171"/>
  <c r="R41" i="171"/>
  <c r="R100" i="171"/>
  <c r="R25" i="171"/>
  <c r="R55" i="171"/>
  <c r="R40" i="171"/>
  <c r="R27" i="171"/>
  <c r="R39" i="171"/>
  <c r="R28" i="171"/>
  <c r="R36" i="171"/>
  <c r="R32" i="171"/>
  <c r="R114" i="171"/>
  <c r="R115" i="171"/>
  <c r="R43" i="171"/>
  <c r="R45" i="171"/>
  <c r="R113" i="171"/>
  <c r="R44" i="171"/>
  <c r="R38" i="171"/>
  <c r="R37" i="171"/>
  <c r="S28" i="171"/>
  <c r="T19" i="171"/>
  <c r="N105" i="171"/>
  <c r="M107" i="171"/>
  <c r="N107" i="171"/>
  <c r="M116" i="171"/>
  <c r="N116" i="171"/>
  <c r="N111" i="171"/>
  <c r="M112" i="160"/>
  <c r="N112" i="160"/>
  <c r="N62" i="160"/>
  <c r="L111" i="160"/>
  <c r="K116" i="160"/>
  <c r="L116" i="160"/>
  <c r="Q28" i="160"/>
  <c r="R19" i="160"/>
  <c r="N52" i="160"/>
  <c r="M105" i="160"/>
  <c r="L105" i="160"/>
  <c r="K107" i="160"/>
  <c r="L107" i="160"/>
  <c r="P78" i="160"/>
  <c r="P94" i="160"/>
  <c r="P80" i="160"/>
  <c r="P101" i="160"/>
  <c r="P77" i="160"/>
  <c r="P61" i="160"/>
  <c r="P100" i="160"/>
  <c r="P83" i="160"/>
  <c r="P67" i="160"/>
  <c r="P104" i="160"/>
  <c r="P88" i="160"/>
  <c r="P66" i="160"/>
  <c r="P82" i="160"/>
  <c r="P98" i="160"/>
  <c r="P64" i="160"/>
  <c r="P85" i="160"/>
  <c r="P56" i="160"/>
  <c r="P84" i="160"/>
  <c r="P72" i="160"/>
  <c r="P55" i="160"/>
  <c r="P93" i="160"/>
  <c r="P76" i="160"/>
  <c r="P60" i="160"/>
  <c r="P79" i="160"/>
  <c r="P58" i="160"/>
  <c r="P74" i="160"/>
  <c r="P90" i="160"/>
  <c r="P53" i="160"/>
  <c r="P75" i="160"/>
  <c r="P96" i="160"/>
  <c r="P71" i="160"/>
  <c r="P99" i="160"/>
  <c r="P89" i="160"/>
  <c r="P73" i="160"/>
  <c r="P57" i="160"/>
  <c r="P95" i="160"/>
  <c r="P70" i="160"/>
  <c r="P91" i="160"/>
  <c r="P65" i="160"/>
  <c r="P68" i="160"/>
  <c r="P25" i="160"/>
  <c r="P86" i="160"/>
  <c r="P63" i="160"/>
  <c r="P103" i="160"/>
  <c r="P54" i="160"/>
  <c r="P69" i="160"/>
  <c r="P81" i="160"/>
  <c r="P24" i="160"/>
  <c r="P21" i="160"/>
  <c r="P102" i="160"/>
  <c r="P31" i="160"/>
  <c r="P87" i="160"/>
  <c r="P23" i="160"/>
  <c r="P28" i="160"/>
  <c r="P26" i="160"/>
  <c r="P27" i="160"/>
  <c r="P46" i="160"/>
  <c r="P33" i="160"/>
  <c r="P113" i="160"/>
  <c r="P39" i="160"/>
  <c r="P40" i="160"/>
  <c r="P43" i="160"/>
  <c r="P92" i="160"/>
  <c r="P45" i="160"/>
  <c r="P37" i="160"/>
  <c r="P38" i="160"/>
  <c r="P115" i="160"/>
  <c r="P36" i="160"/>
  <c r="P32" i="160"/>
  <c r="P114" i="160"/>
  <c r="P41" i="160"/>
  <c r="P42" i="160"/>
  <c r="P44" i="160"/>
  <c r="P20" i="160"/>
  <c r="M111" i="160"/>
  <c r="P52" i="162"/>
  <c r="O105" i="162"/>
  <c r="O111" i="162"/>
  <c r="N105" i="162"/>
  <c r="M107" i="162"/>
  <c r="N107" i="162"/>
  <c r="S28" i="162"/>
  <c r="N111" i="162"/>
  <c r="M116" i="162"/>
  <c r="N116" i="162"/>
  <c r="R21" i="162"/>
  <c r="R27" i="162"/>
  <c r="R61" i="162"/>
  <c r="R77" i="162"/>
  <c r="R93" i="162"/>
  <c r="R60" i="162"/>
  <c r="R82" i="162"/>
  <c r="R103" i="162"/>
  <c r="R79" i="162"/>
  <c r="R99" i="162"/>
  <c r="R83" i="162"/>
  <c r="R56" i="162"/>
  <c r="R95" i="162"/>
  <c r="R88" i="162"/>
  <c r="R53" i="162"/>
  <c r="R69" i="162"/>
  <c r="R85" i="162"/>
  <c r="R101" i="162"/>
  <c r="R71" i="162"/>
  <c r="R92" i="162"/>
  <c r="R64" i="162"/>
  <c r="R94" i="162"/>
  <c r="R80" i="162"/>
  <c r="R63" i="162"/>
  <c r="R102" i="162"/>
  <c r="R75" i="162"/>
  <c r="R68" i="162"/>
  <c r="R96" i="162"/>
  <c r="R65" i="162"/>
  <c r="R87" i="162"/>
  <c r="R86" i="162"/>
  <c r="R54" i="162"/>
  <c r="R67" i="162"/>
  <c r="R73" i="162"/>
  <c r="R55" i="162"/>
  <c r="R98" i="162"/>
  <c r="R100" i="162"/>
  <c r="R74" i="162"/>
  <c r="R84" i="162"/>
  <c r="R23" i="162"/>
  <c r="R66" i="162"/>
  <c r="R70" i="162"/>
  <c r="R104" i="162"/>
  <c r="R43" i="162"/>
  <c r="R39" i="162"/>
  <c r="R40" i="162"/>
  <c r="R58" i="162"/>
  <c r="R57" i="162"/>
  <c r="R76" i="162"/>
  <c r="R90" i="162"/>
  <c r="R78" i="162"/>
  <c r="R114" i="162"/>
  <c r="R115" i="162"/>
  <c r="R31" i="162"/>
  <c r="R42" i="162"/>
  <c r="R81" i="162"/>
  <c r="R91" i="162"/>
  <c r="R72" i="162"/>
  <c r="R25" i="162"/>
  <c r="R38" i="162"/>
  <c r="R37" i="162"/>
  <c r="R89" i="162"/>
  <c r="R33" i="162"/>
  <c r="R45" i="162"/>
  <c r="R113" i="162"/>
  <c r="R28" i="162"/>
  <c r="R36" i="162"/>
  <c r="R26" i="162"/>
  <c r="R46" i="162"/>
  <c r="R24" i="162"/>
  <c r="R32" i="162"/>
  <c r="R41" i="162"/>
  <c r="R44" i="162"/>
  <c r="R20" i="162"/>
  <c r="O112" i="162"/>
  <c r="P112" i="162"/>
  <c r="P62" i="162"/>
  <c r="Q28" i="178"/>
  <c r="K116" i="178"/>
  <c r="L116" i="178"/>
  <c r="L111" i="178"/>
  <c r="P25" i="178"/>
  <c r="P24" i="178"/>
  <c r="P43" i="178"/>
  <c r="P46" i="178"/>
  <c r="P39" i="178"/>
  <c r="P40" i="178"/>
  <c r="P27" i="178"/>
  <c r="P23" i="178"/>
  <c r="P44" i="178"/>
  <c r="P26" i="178"/>
  <c r="P45" i="178"/>
  <c r="P115" i="178"/>
  <c r="P28" i="178"/>
  <c r="P37" i="178"/>
  <c r="P38" i="178"/>
  <c r="P21" i="178"/>
  <c r="P36" i="178"/>
  <c r="P113" i="178"/>
  <c r="P114" i="178"/>
  <c r="P41" i="178"/>
  <c r="P42" i="178"/>
  <c r="P32" i="178"/>
  <c r="P20" i="178"/>
  <c r="M111" i="178"/>
  <c r="M112" i="178"/>
  <c r="N112" i="178"/>
  <c r="C28" i="118"/>
  <c r="D59" i="118"/>
  <c r="R96" i="178"/>
  <c r="R91" i="178"/>
  <c r="R84" i="178"/>
  <c r="R80" i="178"/>
  <c r="R72" i="178"/>
  <c r="R61" i="178"/>
  <c r="R95" i="178"/>
  <c r="R89" i="178"/>
  <c r="R83" i="178"/>
  <c r="R55" i="178"/>
  <c r="R93" i="178"/>
  <c r="R85" i="178"/>
  <c r="R81" i="178"/>
  <c r="R73" i="178"/>
  <c r="R62" i="178"/>
  <c r="R79" i="178"/>
  <c r="R74" i="178"/>
  <c r="R71" i="178"/>
  <c r="R69" i="178"/>
  <c r="R60" i="178"/>
  <c r="R58" i="178"/>
  <c r="R57" i="178"/>
  <c r="R52" i="178"/>
  <c r="R97" i="178"/>
  <c r="R94" i="178"/>
  <c r="R87" i="178"/>
  <c r="R82" i="178"/>
  <c r="R53" i="178"/>
  <c r="R59" i="178"/>
  <c r="R19" i="178"/>
  <c r="U31" i="195"/>
  <c r="U33" i="194"/>
  <c r="V31" i="194"/>
  <c r="S33" i="195"/>
  <c r="T31" i="195"/>
  <c r="T33" i="194"/>
  <c r="R33" i="195"/>
  <c r="T97" i="171"/>
  <c r="T59" i="171"/>
  <c r="T97" i="162"/>
  <c r="T59" i="162"/>
  <c r="R97" i="160"/>
  <c r="R59" i="160"/>
  <c r="P111" i="171"/>
  <c r="O116" i="171"/>
  <c r="P116" i="171"/>
  <c r="T24" i="171"/>
  <c r="T66" i="171"/>
  <c r="T82" i="171"/>
  <c r="T98" i="171"/>
  <c r="T68" i="171"/>
  <c r="T89" i="171"/>
  <c r="T64" i="171"/>
  <c r="T92" i="171"/>
  <c r="T72" i="171"/>
  <c r="T101" i="171"/>
  <c r="T67" i="171"/>
  <c r="T96" i="171"/>
  <c r="T61" i="171"/>
  <c r="T76" i="171"/>
  <c r="T54" i="171"/>
  <c r="T70" i="171"/>
  <c r="T86" i="171"/>
  <c r="T102" i="171"/>
  <c r="T73" i="171"/>
  <c r="T95" i="171"/>
  <c r="T71" i="171"/>
  <c r="T99" i="171"/>
  <c r="T80" i="171"/>
  <c r="T75" i="171"/>
  <c r="T103" i="171"/>
  <c r="T91" i="171"/>
  <c r="T104" i="171"/>
  <c r="T78" i="171"/>
  <c r="T94" i="171"/>
  <c r="T63" i="171"/>
  <c r="T84" i="171"/>
  <c r="T56" i="171"/>
  <c r="T85" i="171"/>
  <c r="T65" i="171"/>
  <c r="T93" i="171"/>
  <c r="T60" i="171"/>
  <c r="T88" i="171"/>
  <c r="T83" i="171"/>
  <c r="T74" i="171"/>
  <c r="T100" i="171"/>
  <c r="T53" i="171"/>
  <c r="T20" i="171"/>
  <c r="T23" i="171"/>
  <c r="T21" i="171"/>
  <c r="T27" i="171"/>
  <c r="T90" i="171"/>
  <c r="T77" i="171"/>
  <c r="T81" i="171"/>
  <c r="T58" i="171"/>
  <c r="T79" i="171"/>
  <c r="T87" i="171"/>
  <c r="T69" i="171"/>
  <c r="T26" i="171"/>
  <c r="T33" i="171"/>
  <c r="T46" i="171"/>
  <c r="T115" i="171"/>
  <c r="T31" i="171"/>
  <c r="T42" i="171"/>
  <c r="T28" i="171"/>
  <c r="T57" i="171"/>
  <c r="T25" i="171"/>
  <c r="T55" i="171"/>
  <c r="T40" i="171"/>
  <c r="T113" i="171"/>
  <c r="T114" i="171"/>
  <c r="T41" i="171"/>
  <c r="T45" i="171"/>
  <c r="T32" i="171"/>
  <c r="T43" i="171"/>
  <c r="T37" i="171"/>
  <c r="T36" i="171"/>
  <c r="T38" i="171"/>
  <c r="T44" i="171"/>
  <c r="T39" i="171"/>
  <c r="Q111" i="171"/>
  <c r="R52" i="171"/>
  <c r="Q105" i="171"/>
  <c r="P105" i="171"/>
  <c r="O107" i="171"/>
  <c r="P107" i="171"/>
  <c r="U28" i="171"/>
  <c r="V59" i="171"/>
  <c r="Q112" i="171"/>
  <c r="R112" i="171"/>
  <c r="R62" i="171"/>
  <c r="R61" i="160"/>
  <c r="R77" i="160"/>
  <c r="R93" i="160"/>
  <c r="R63" i="160"/>
  <c r="R84" i="160"/>
  <c r="R55" i="160"/>
  <c r="R83" i="160"/>
  <c r="R60" i="160"/>
  <c r="R99" i="160"/>
  <c r="R82" i="160"/>
  <c r="R66" i="160"/>
  <c r="R103" i="160"/>
  <c r="R78" i="160"/>
  <c r="R23" i="160"/>
  <c r="R65" i="160"/>
  <c r="R81" i="160"/>
  <c r="R68" i="160"/>
  <c r="R90" i="160"/>
  <c r="R91" i="160"/>
  <c r="R71" i="160"/>
  <c r="R54" i="160"/>
  <c r="R92" i="160"/>
  <c r="R75" i="160"/>
  <c r="R57" i="160"/>
  <c r="R73" i="160"/>
  <c r="R89" i="160"/>
  <c r="R58" i="160"/>
  <c r="R79" i="160"/>
  <c r="R100" i="160"/>
  <c r="R76" i="160"/>
  <c r="R104" i="160"/>
  <c r="R88" i="160"/>
  <c r="R72" i="160"/>
  <c r="R56" i="160"/>
  <c r="R94" i="160"/>
  <c r="R67" i="160"/>
  <c r="R85" i="160"/>
  <c r="R70" i="160"/>
  <c r="R102" i="160"/>
  <c r="R26" i="160"/>
  <c r="R24" i="160"/>
  <c r="R21" i="160"/>
  <c r="R101" i="160"/>
  <c r="R98" i="160"/>
  <c r="R86" i="160"/>
  <c r="R27" i="160"/>
  <c r="R69" i="160"/>
  <c r="R95" i="160"/>
  <c r="R64" i="160"/>
  <c r="R87" i="160"/>
  <c r="R96" i="160"/>
  <c r="R45" i="160"/>
  <c r="R33" i="160"/>
  <c r="R31" i="160"/>
  <c r="R37" i="160"/>
  <c r="R32" i="160"/>
  <c r="R115" i="160"/>
  <c r="R40" i="160"/>
  <c r="R74" i="160"/>
  <c r="R28" i="160"/>
  <c r="R114" i="160"/>
  <c r="R44" i="160"/>
  <c r="R80" i="160"/>
  <c r="R25" i="160"/>
  <c r="R41" i="160"/>
  <c r="R42" i="160"/>
  <c r="R36" i="160"/>
  <c r="R39" i="160"/>
  <c r="R38" i="160"/>
  <c r="R53" i="160"/>
  <c r="R46" i="160"/>
  <c r="R43" i="160"/>
  <c r="R113" i="160"/>
  <c r="R20" i="160"/>
  <c r="M116" i="160"/>
  <c r="N116" i="160"/>
  <c r="N111" i="160"/>
  <c r="O111" i="160"/>
  <c r="P52" i="160"/>
  <c r="O105" i="160"/>
  <c r="O112" i="160"/>
  <c r="P112" i="160"/>
  <c r="P62" i="160"/>
  <c r="N105" i="160"/>
  <c r="M107" i="160"/>
  <c r="N107" i="160"/>
  <c r="S28" i="160"/>
  <c r="U28" i="162"/>
  <c r="V59" i="162"/>
  <c r="R52" i="162"/>
  <c r="Q105" i="162"/>
  <c r="P105" i="162"/>
  <c r="O107" i="162"/>
  <c r="P107" i="162"/>
  <c r="T65" i="162"/>
  <c r="T81" i="162"/>
  <c r="T64" i="162"/>
  <c r="T86" i="162"/>
  <c r="T55" i="162"/>
  <c r="T83" i="162"/>
  <c r="T56" i="162"/>
  <c r="T94" i="162"/>
  <c r="T92" i="162"/>
  <c r="T95" i="162"/>
  <c r="T87" i="162"/>
  <c r="T63" i="162"/>
  <c r="T57" i="162"/>
  <c r="T73" i="162"/>
  <c r="T89" i="162"/>
  <c r="T54" i="162"/>
  <c r="T75" i="162"/>
  <c r="T96" i="162"/>
  <c r="T68" i="162"/>
  <c r="T98" i="162"/>
  <c r="T74" i="162"/>
  <c r="T67" i="162"/>
  <c r="T71" i="162"/>
  <c r="T60" i="162"/>
  <c r="T88" i="162"/>
  <c r="T53" i="162"/>
  <c r="T85" i="162"/>
  <c r="T70" i="162"/>
  <c r="T66" i="162"/>
  <c r="T58" i="162"/>
  <c r="T99" i="162"/>
  <c r="T61" i="162"/>
  <c r="T93" i="162"/>
  <c r="T80" i="162"/>
  <c r="T76" i="162"/>
  <c r="T84" i="162"/>
  <c r="T82" i="162"/>
  <c r="T100" i="162"/>
  <c r="T69" i="162"/>
  <c r="T91" i="162"/>
  <c r="T103" i="162"/>
  <c r="T78" i="162"/>
  <c r="T26" i="162"/>
  <c r="T24" i="162"/>
  <c r="T31" i="162"/>
  <c r="T43" i="162"/>
  <c r="T32" i="162"/>
  <c r="T28" i="162"/>
  <c r="T90" i="162"/>
  <c r="T77" i="162"/>
  <c r="T102" i="162"/>
  <c r="T79" i="162"/>
  <c r="T21" i="162"/>
  <c r="T115" i="162"/>
  <c r="T41" i="162"/>
  <c r="T27" i="162"/>
  <c r="T36" i="162"/>
  <c r="T40" i="162"/>
  <c r="T44" i="162"/>
  <c r="T114" i="162"/>
  <c r="T101" i="162"/>
  <c r="T33" i="162"/>
  <c r="T45" i="162"/>
  <c r="T72" i="162"/>
  <c r="T42" i="162"/>
  <c r="T46" i="162"/>
  <c r="T113" i="162"/>
  <c r="T39" i="162"/>
  <c r="T104" i="162"/>
  <c r="T23" i="162"/>
  <c r="T37" i="162"/>
  <c r="T38" i="162"/>
  <c r="T25" i="162"/>
  <c r="T20" i="162"/>
  <c r="Q111" i="162"/>
  <c r="P111" i="162"/>
  <c r="O116" i="162"/>
  <c r="P116" i="162"/>
  <c r="R62" i="162"/>
  <c r="Q112" i="162"/>
  <c r="R112" i="162"/>
  <c r="T19" i="162"/>
  <c r="O112" i="178"/>
  <c r="P112" i="178"/>
  <c r="R46" i="178"/>
  <c r="R38" i="178"/>
  <c r="R26" i="178"/>
  <c r="R43" i="178"/>
  <c r="R32" i="178"/>
  <c r="R23" i="178"/>
  <c r="R113" i="178"/>
  <c r="R42" i="178"/>
  <c r="R114" i="178"/>
  <c r="R115" i="178"/>
  <c r="R40" i="178"/>
  <c r="R37" i="178"/>
  <c r="R24" i="178"/>
  <c r="R44" i="178"/>
  <c r="R36" i="178"/>
  <c r="R21" i="178"/>
  <c r="R41" i="178"/>
  <c r="R27" i="178"/>
  <c r="R39" i="178"/>
  <c r="R25" i="178"/>
  <c r="R28" i="178"/>
  <c r="R45" i="178"/>
  <c r="R20" i="178"/>
  <c r="N111" i="178"/>
  <c r="M116" i="178"/>
  <c r="N116" i="178"/>
  <c r="O111" i="178"/>
  <c r="S28" i="178"/>
  <c r="D26" i="118"/>
  <c r="C31" i="118"/>
  <c r="D31" i="118"/>
  <c r="D23" i="118"/>
  <c r="D21" i="118"/>
  <c r="D37" i="118"/>
  <c r="D41" i="118"/>
  <c r="D45" i="118"/>
  <c r="D114" i="118"/>
  <c r="D115" i="118"/>
  <c r="D36" i="118"/>
  <c r="D40" i="118"/>
  <c r="D44" i="118"/>
  <c r="D113" i="118"/>
  <c r="D32" i="118"/>
  <c r="D38" i="118"/>
  <c r="D42" i="118"/>
  <c r="D46" i="118"/>
  <c r="D39" i="118"/>
  <c r="D43" i="118"/>
  <c r="D25" i="118"/>
  <c r="D28" i="118"/>
  <c r="D24" i="118"/>
  <c r="D19" i="118"/>
  <c r="D27" i="118"/>
  <c r="D20" i="118"/>
  <c r="E28" i="118"/>
  <c r="E31" i="118"/>
  <c r="T95" i="178"/>
  <c r="T89" i="178"/>
  <c r="T83" i="178"/>
  <c r="T79" i="178"/>
  <c r="T71" i="178"/>
  <c r="T60" i="178"/>
  <c r="T58" i="178"/>
  <c r="T55" i="178"/>
  <c r="T94" i="178"/>
  <c r="T87" i="178"/>
  <c r="T82" i="178"/>
  <c r="T93" i="178"/>
  <c r="T85" i="178"/>
  <c r="T81" i="178"/>
  <c r="T73" i="178"/>
  <c r="T62" i="178"/>
  <c r="T96" i="178"/>
  <c r="T91" i="178"/>
  <c r="T84" i="178"/>
  <c r="T74" i="178"/>
  <c r="T69" i="178"/>
  <c r="T57" i="178"/>
  <c r="T52" i="178"/>
  <c r="T53" i="178"/>
  <c r="T80" i="178"/>
  <c r="T72" i="178"/>
  <c r="T61" i="178"/>
  <c r="T97" i="178"/>
  <c r="T59" i="178"/>
  <c r="G10" i="118"/>
  <c r="V19" i="171"/>
  <c r="V19" i="162"/>
  <c r="V33" i="194"/>
  <c r="T33" i="195"/>
  <c r="V31" i="195"/>
  <c r="U33" i="195"/>
  <c r="T19" i="160"/>
  <c r="T97" i="160"/>
  <c r="T59" i="160"/>
  <c r="S111" i="171"/>
  <c r="V57" i="171"/>
  <c r="V73" i="171"/>
  <c r="V89" i="171"/>
  <c r="V54" i="171"/>
  <c r="V75" i="171"/>
  <c r="V96" i="171"/>
  <c r="V66" i="171"/>
  <c r="V87" i="171"/>
  <c r="V56" i="171"/>
  <c r="V99" i="171"/>
  <c r="V90" i="171"/>
  <c r="V83" i="171"/>
  <c r="V95" i="171"/>
  <c r="V61" i="171"/>
  <c r="V77" i="171"/>
  <c r="V93" i="171"/>
  <c r="V80" i="171"/>
  <c r="V102" i="171"/>
  <c r="V71" i="171"/>
  <c r="V92" i="171"/>
  <c r="V67" i="171"/>
  <c r="V58" i="171"/>
  <c r="V100" i="171"/>
  <c r="V94" i="171"/>
  <c r="V74" i="171"/>
  <c r="V53" i="171"/>
  <c r="V69" i="171"/>
  <c r="V85" i="171"/>
  <c r="V101" i="171"/>
  <c r="V70" i="171"/>
  <c r="V91" i="171"/>
  <c r="V60" i="171"/>
  <c r="V82" i="171"/>
  <c r="V103" i="171"/>
  <c r="V88" i="171"/>
  <c r="V79" i="171"/>
  <c r="V72" i="171"/>
  <c r="V63" i="171"/>
  <c r="V84" i="171"/>
  <c r="V97" i="171"/>
  <c r="V76" i="171"/>
  <c r="V21" i="171"/>
  <c r="V64" i="171"/>
  <c r="V98" i="171"/>
  <c r="V104" i="171"/>
  <c r="V25" i="171"/>
  <c r="V20" i="171"/>
  <c r="V23" i="171"/>
  <c r="V24" i="171"/>
  <c r="V46" i="171"/>
  <c r="V81" i="171"/>
  <c r="V55" i="171"/>
  <c r="V68" i="171"/>
  <c r="V26" i="171"/>
  <c r="V78" i="171"/>
  <c r="V27" i="171"/>
  <c r="V37" i="171"/>
  <c r="V45" i="171"/>
  <c r="V36" i="171"/>
  <c r="V44" i="171"/>
  <c r="V86" i="171"/>
  <c r="V32" i="171"/>
  <c r="V43" i="171"/>
  <c r="V31" i="171"/>
  <c r="V42" i="171"/>
  <c r="V39" i="171"/>
  <c r="V38" i="171"/>
  <c r="V113" i="171"/>
  <c r="V114" i="171"/>
  <c r="V33" i="171"/>
  <c r="V28" i="171"/>
  <c r="V65" i="171"/>
  <c r="V41" i="171"/>
  <c r="V40" i="171"/>
  <c r="V115" i="171"/>
  <c r="R111" i="171"/>
  <c r="Q116" i="171"/>
  <c r="R116" i="171"/>
  <c r="T52" i="171"/>
  <c r="S105" i="171"/>
  <c r="S112" i="171"/>
  <c r="T112" i="171"/>
  <c r="T62" i="171"/>
  <c r="R105" i="171"/>
  <c r="Q107" i="171"/>
  <c r="R107" i="171"/>
  <c r="O116" i="160"/>
  <c r="P116" i="160"/>
  <c r="P111" i="160"/>
  <c r="Q112" i="160"/>
  <c r="R112" i="160"/>
  <c r="R62" i="160"/>
  <c r="T25" i="160"/>
  <c r="T65" i="160"/>
  <c r="T81" i="160"/>
  <c r="T67" i="160"/>
  <c r="T88" i="160"/>
  <c r="T87" i="160"/>
  <c r="T64" i="160"/>
  <c r="T103" i="160"/>
  <c r="T96" i="160"/>
  <c r="T98" i="160"/>
  <c r="T100" i="160"/>
  <c r="T68" i="160"/>
  <c r="T53" i="160"/>
  <c r="T69" i="160"/>
  <c r="T85" i="160"/>
  <c r="T101" i="160"/>
  <c r="T72" i="160"/>
  <c r="T94" i="160"/>
  <c r="T66" i="160"/>
  <c r="T95" i="160"/>
  <c r="T75" i="160"/>
  <c r="T58" i="160"/>
  <c r="T60" i="160"/>
  <c r="T63" i="160"/>
  <c r="T91" i="160"/>
  <c r="T79" i="160"/>
  <c r="T61" i="160"/>
  <c r="T77" i="160"/>
  <c r="T93" i="160"/>
  <c r="T83" i="160"/>
  <c r="T104" i="160"/>
  <c r="T80" i="160"/>
  <c r="T55" i="160"/>
  <c r="T92" i="160"/>
  <c r="T82" i="160"/>
  <c r="T86" i="160"/>
  <c r="T90" i="160"/>
  <c r="T89" i="160"/>
  <c r="T74" i="160"/>
  <c r="T71" i="160"/>
  <c r="T56" i="160"/>
  <c r="T102" i="160"/>
  <c r="T76" i="160"/>
  <c r="T23" i="160"/>
  <c r="T24" i="160"/>
  <c r="T73" i="160"/>
  <c r="T99" i="160"/>
  <c r="T70" i="160"/>
  <c r="T26" i="160"/>
  <c r="T78" i="160"/>
  <c r="T54" i="160"/>
  <c r="T28" i="160"/>
  <c r="T33" i="160"/>
  <c r="T57" i="160"/>
  <c r="T32" i="160"/>
  <c r="T113" i="160"/>
  <c r="T42" i="160"/>
  <c r="T114" i="160"/>
  <c r="T39" i="160"/>
  <c r="T31" i="160"/>
  <c r="T38" i="160"/>
  <c r="T21" i="160"/>
  <c r="T40" i="160"/>
  <c r="T45" i="160"/>
  <c r="T37" i="160"/>
  <c r="T46" i="160"/>
  <c r="T27" i="160"/>
  <c r="T115" i="160"/>
  <c r="T44" i="160"/>
  <c r="T36" i="160"/>
  <c r="T41" i="160"/>
  <c r="T84" i="160"/>
  <c r="T43" i="160"/>
  <c r="T20" i="160"/>
  <c r="R52" i="160"/>
  <c r="Q105" i="160"/>
  <c r="U28" i="160"/>
  <c r="V59" i="160"/>
  <c r="Q111" i="160"/>
  <c r="P105" i="160"/>
  <c r="O107" i="160"/>
  <c r="P107" i="160"/>
  <c r="Q116" i="162"/>
  <c r="R116" i="162"/>
  <c r="R111" i="162"/>
  <c r="S111" i="162"/>
  <c r="T52" i="162"/>
  <c r="S105" i="162"/>
  <c r="S112" i="162"/>
  <c r="T112" i="162"/>
  <c r="T62" i="162"/>
  <c r="R105" i="162"/>
  <c r="Q107" i="162"/>
  <c r="R107" i="162"/>
  <c r="V75" i="162"/>
  <c r="V91" i="162"/>
  <c r="V57" i="162"/>
  <c r="V64" i="162"/>
  <c r="V85" i="162"/>
  <c r="V54" i="162"/>
  <c r="V56" i="162"/>
  <c r="V88" i="162"/>
  <c r="V76" i="162"/>
  <c r="V77" i="162"/>
  <c r="V92" i="162"/>
  <c r="V100" i="162"/>
  <c r="V67" i="162"/>
  <c r="V83" i="162"/>
  <c r="V99" i="162"/>
  <c r="V53" i="162"/>
  <c r="V74" i="162"/>
  <c r="V96" i="162"/>
  <c r="V72" i="162"/>
  <c r="V73" i="162"/>
  <c r="V102" i="162"/>
  <c r="V97" i="162"/>
  <c r="V98" i="162"/>
  <c r="V93" i="162"/>
  <c r="V84" i="162"/>
  <c r="V55" i="162"/>
  <c r="V87" i="162"/>
  <c r="V58" i="162"/>
  <c r="V101" i="162"/>
  <c r="V81" i="162"/>
  <c r="V61" i="162"/>
  <c r="V82" i="162"/>
  <c r="V63" i="162"/>
  <c r="V95" i="162"/>
  <c r="V69" i="162"/>
  <c r="V65" i="162"/>
  <c r="V94" i="162"/>
  <c r="V89" i="162"/>
  <c r="V104" i="162"/>
  <c r="V103" i="162"/>
  <c r="V78" i="162"/>
  <c r="V68" i="162"/>
  <c r="V40" i="162"/>
  <c r="V44" i="162"/>
  <c r="V21" i="162"/>
  <c r="V113" i="162"/>
  <c r="V32" i="162"/>
  <c r="V43" i="162"/>
  <c r="V46" i="162"/>
  <c r="V80" i="162"/>
  <c r="V66" i="162"/>
  <c r="V70" i="162"/>
  <c r="V23" i="162"/>
  <c r="V31" i="162"/>
  <c r="V38" i="162"/>
  <c r="V37" i="162"/>
  <c r="V45" i="162"/>
  <c r="V71" i="162"/>
  <c r="V60" i="162"/>
  <c r="V26" i="162"/>
  <c r="V115" i="162"/>
  <c r="V41" i="162"/>
  <c r="V42" i="162"/>
  <c r="V24" i="162"/>
  <c r="V33" i="162"/>
  <c r="V79" i="162"/>
  <c r="V25" i="162"/>
  <c r="V36" i="162"/>
  <c r="V114" i="162"/>
  <c r="V39" i="162"/>
  <c r="V90" i="162"/>
  <c r="V28" i="162"/>
  <c r="V86" i="162"/>
  <c r="V27" i="162"/>
  <c r="V20" i="162"/>
  <c r="Q112" i="178"/>
  <c r="R112" i="178"/>
  <c r="P111" i="178"/>
  <c r="O116" i="178"/>
  <c r="P116" i="178"/>
  <c r="T23" i="178"/>
  <c r="T28" i="178"/>
  <c r="T38" i="178"/>
  <c r="T43" i="178"/>
  <c r="T115" i="178"/>
  <c r="T25" i="178"/>
  <c r="T40" i="178"/>
  <c r="T46" i="178"/>
  <c r="T27" i="178"/>
  <c r="T41" i="178"/>
  <c r="T32" i="178"/>
  <c r="T24" i="178"/>
  <c r="T45" i="178"/>
  <c r="T26" i="178"/>
  <c r="T36" i="178"/>
  <c r="T39" i="178"/>
  <c r="T21" i="178"/>
  <c r="T44" i="178"/>
  <c r="T114" i="178"/>
  <c r="T113" i="178"/>
  <c r="T42" i="178"/>
  <c r="T37" i="178"/>
  <c r="T20" i="178"/>
  <c r="U28" i="178"/>
  <c r="V59" i="178"/>
  <c r="T19" i="178"/>
  <c r="Q111" i="178"/>
  <c r="C33" i="118"/>
  <c r="D89" i="118"/>
  <c r="D100" i="118"/>
  <c r="D93" i="118"/>
  <c r="D80" i="118"/>
  <c r="D72" i="118"/>
  <c r="D52" i="118"/>
  <c r="D81" i="118"/>
  <c r="D85" i="118"/>
  <c r="D84" i="118"/>
  <c r="D96" i="118"/>
  <c r="D62" i="118"/>
  <c r="C112" i="118"/>
  <c r="D53" i="118"/>
  <c r="D79" i="118"/>
  <c r="D71" i="118"/>
  <c r="D83" i="118"/>
  <c r="D103" i="118"/>
  <c r="D95" i="118"/>
  <c r="D104" i="118"/>
  <c r="D82" i="118"/>
  <c r="D74" i="118"/>
  <c r="D69" i="118"/>
  <c r="D91" i="118"/>
  <c r="D61" i="118"/>
  <c r="D94" i="118"/>
  <c r="D58" i="118"/>
  <c r="D73" i="118"/>
  <c r="D102" i="118"/>
  <c r="D97" i="118"/>
  <c r="C111" i="118"/>
  <c r="D87" i="118"/>
  <c r="D60" i="118"/>
  <c r="F32" i="118"/>
  <c r="F21" i="118"/>
  <c r="F26" i="118"/>
  <c r="F36" i="118"/>
  <c r="F38" i="118"/>
  <c r="F40" i="118"/>
  <c r="F42" i="118"/>
  <c r="F44" i="118"/>
  <c r="F46" i="118"/>
  <c r="F23" i="118"/>
  <c r="F39" i="118"/>
  <c r="F25" i="118"/>
  <c r="F37" i="118"/>
  <c r="F45" i="118"/>
  <c r="F19" i="118"/>
  <c r="F27" i="118"/>
  <c r="F28" i="118"/>
  <c r="F43" i="118"/>
  <c r="F41" i="118"/>
  <c r="F113" i="118"/>
  <c r="F115" i="118"/>
  <c r="F114" i="118"/>
  <c r="G28" i="118"/>
  <c r="H20" i="118"/>
  <c r="F20" i="118"/>
  <c r="V19" i="178"/>
  <c r="I10" i="118"/>
  <c r="G13" i="118"/>
  <c r="V33" i="195"/>
  <c r="D33" i="118"/>
  <c r="C12" i="118"/>
  <c r="V19" i="160"/>
  <c r="U111" i="171"/>
  <c r="T105" i="171"/>
  <c r="S107" i="171"/>
  <c r="T107" i="171"/>
  <c r="U105" i="171"/>
  <c r="V52" i="171"/>
  <c r="U112" i="171"/>
  <c r="V112" i="171"/>
  <c r="V62" i="171"/>
  <c r="T111" i="171"/>
  <c r="S116" i="171"/>
  <c r="T116" i="171"/>
  <c r="S111" i="160"/>
  <c r="Q116" i="160"/>
  <c r="R116" i="160"/>
  <c r="R111" i="160"/>
  <c r="S112" i="160"/>
  <c r="T112" i="160"/>
  <c r="T62" i="160"/>
  <c r="V24" i="160"/>
  <c r="V67" i="160"/>
  <c r="V83" i="160"/>
  <c r="V99" i="160"/>
  <c r="V65" i="160"/>
  <c r="V86" i="160"/>
  <c r="V56" i="160"/>
  <c r="V77" i="160"/>
  <c r="V98" i="160"/>
  <c r="V84" i="160"/>
  <c r="V74" i="160"/>
  <c r="V78" i="160"/>
  <c r="V101" i="160"/>
  <c r="V68" i="160"/>
  <c r="V55" i="160"/>
  <c r="V71" i="160"/>
  <c r="V87" i="160"/>
  <c r="V103" i="160"/>
  <c r="V70" i="160"/>
  <c r="V92" i="160"/>
  <c r="V61" i="160"/>
  <c r="V82" i="160"/>
  <c r="V104" i="160"/>
  <c r="V94" i="160"/>
  <c r="V85" i="160"/>
  <c r="V100" i="160"/>
  <c r="V89" i="160"/>
  <c r="V69" i="160"/>
  <c r="V63" i="160"/>
  <c r="V79" i="160"/>
  <c r="V95" i="160"/>
  <c r="V60" i="160"/>
  <c r="V81" i="160"/>
  <c r="V102" i="160"/>
  <c r="V72" i="160"/>
  <c r="V93" i="160"/>
  <c r="V73" i="160"/>
  <c r="V64" i="160"/>
  <c r="V57" i="160"/>
  <c r="V80" i="160"/>
  <c r="V91" i="160"/>
  <c r="V66" i="160"/>
  <c r="V96" i="160"/>
  <c r="V26" i="160"/>
  <c r="V21" i="160"/>
  <c r="V54" i="160"/>
  <c r="V88" i="160"/>
  <c r="V58" i="160"/>
  <c r="V27" i="160"/>
  <c r="V75" i="160"/>
  <c r="V97" i="160"/>
  <c r="V53" i="160"/>
  <c r="V25" i="160"/>
  <c r="V44" i="160"/>
  <c r="V41" i="160"/>
  <c r="V115" i="160"/>
  <c r="V45" i="160"/>
  <c r="V37" i="160"/>
  <c r="V38" i="160"/>
  <c r="V90" i="160"/>
  <c r="V33" i="160"/>
  <c r="V32" i="160"/>
  <c r="V28" i="160"/>
  <c r="V31" i="160"/>
  <c r="V113" i="160"/>
  <c r="V114" i="160"/>
  <c r="V43" i="160"/>
  <c r="V23" i="160"/>
  <c r="V40" i="160"/>
  <c r="V76" i="160"/>
  <c r="V39" i="160"/>
  <c r="V36" i="160"/>
  <c r="V46" i="160"/>
  <c r="V42" i="160"/>
  <c r="V20" i="160"/>
  <c r="R105" i="160"/>
  <c r="Q107" i="160"/>
  <c r="R107" i="160"/>
  <c r="T52" i="160"/>
  <c r="S105" i="160"/>
  <c r="U111" i="162"/>
  <c r="U105" i="162"/>
  <c r="V52" i="162"/>
  <c r="T105" i="162"/>
  <c r="S107" i="162"/>
  <c r="T107" i="162"/>
  <c r="U112" i="162"/>
  <c r="V112" i="162"/>
  <c r="V62" i="162"/>
  <c r="T111" i="162"/>
  <c r="S116" i="162"/>
  <c r="T116" i="162"/>
  <c r="S112" i="178"/>
  <c r="T112" i="178"/>
  <c r="V83" i="178"/>
  <c r="V53" i="178"/>
  <c r="V85" i="178"/>
  <c r="V96" i="178"/>
  <c r="V81" i="178"/>
  <c r="V58" i="178"/>
  <c r="V74" i="178"/>
  <c r="V71" i="178"/>
  <c r="V87" i="178"/>
  <c r="V84" i="178"/>
  <c r="V61" i="178"/>
  <c r="V93" i="178"/>
  <c r="V72" i="178"/>
  <c r="V89" i="178"/>
  <c r="V94" i="178"/>
  <c r="V60" i="178"/>
  <c r="V69" i="178"/>
  <c r="V80" i="178"/>
  <c r="V57" i="178"/>
  <c r="V91" i="178"/>
  <c r="V73" i="178"/>
  <c r="V79" i="178"/>
  <c r="V113" i="178"/>
  <c r="V41" i="178"/>
  <c r="V28" i="178"/>
  <c r="V38" i="178"/>
  <c r="V21" i="178"/>
  <c r="V82" i="178"/>
  <c r="V95" i="178"/>
  <c r="V39" i="178"/>
  <c r="V27" i="178"/>
  <c r="V44" i="178"/>
  <c r="V36" i="178"/>
  <c r="V23" i="178"/>
  <c r="V37" i="178"/>
  <c r="V42" i="178"/>
  <c r="V45" i="178"/>
  <c r="V114" i="178"/>
  <c r="V97" i="178"/>
  <c r="V115" i="178"/>
  <c r="V32" i="178"/>
  <c r="V40" i="178"/>
  <c r="V25" i="178"/>
  <c r="V24" i="178"/>
  <c r="V43" i="178"/>
  <c r="V26" i="178"/>
  <c r="V46" i="178"/>
  <c r="V20" i="178"/>
  <c r="R111" i="178"/>
  <c r="Q116" i="178"/>
  <c r="R116" i="178"/>
  <c r="S111" i="178"/>
  <c r="D112" i="118"/>
  <c r="D111" i="118"/>
  <c r="C116" i="118"/>
  <c r="D116" i="118"/>
  <c r="F103" i="118"/>
  <c r="F82" i="118"/>
  <c r="F74" i="118"/>
  <c r="F58" i="118"/>
  <c r="I28" i="118"/>
  <c r="F89" i="118"/>
  <c r="F102" i="118"/>
  <c r="F93" i="118"/>
  <c r="F94" i="118"/>
  <c r="F85" i="118"/>
  <c r="F81" i="118"/>
  <c r="F73" i="118"/>
  <c r="F69" i="118"/>
  <c r="F61" i="118"/>
  <c r="F57" i="118"/>
  <c r="F53" i="118"/>
  <c r="F91" i="118"/>
  <c r="F95" i="118"/>
  <c r="F62" i="118"/>
  <c r="E112" i="118"/>
  <c r="F97" i="118"/>
  <c r="F84" i="118"/>
  <c r="F80" i="118"/>
  <c r="F72" i="118"/>
  <c r="F60" i="118"/>
  <c r="F52" i="118"/>
  <c r="H23" i="118"/>
  <c r="H25" i="118"/>
  <c r="H27" i="118"/>
  <c r="H37" i="118"/>
  <c r="H39" i="118"/>
  <c r="H41" i="118"/>
  <c r="H43" i="118"/>
  <c r="H45" i="118"/>
  <c r="H19" i="118"/>
  <c r="H28" i="118"/>
  <c r="H32" i="118"/>
  <c r="H21" i="118"/>
  <c r="H26" i="118"/>
  <c r="H36" i="118"/>
  <c r="H38" i="118"/>
  <c r="H40" i="118"/>
  <c r="H42" i="118"/>
  <c r="H44" i="118"/>
  <c r="H46" i="118"/>
  <c r="H113" i="118"/>
  <c r="H115" i="118"/>
  <c r="H114" i="118"/>
  <c r="F104" i="118"/>
  <c r="F100" i="118"/>
  <c r="F96" i="118"/>
  <c r="F87" i="118"/>
  <c r="F83" i="118"/>
  <c r="F79" i="118"/>
  <c r="F71" i="118"/>
  <c r="F31" i="118"/>
  <c r="G31" i="118"/>
  <c r="E33" i="118"/>
  <c r="E12" i="118"/>
  <c r="F59" i="118"/>
  <c r="E111" i="118"/>
  <c r="K10" i="118"/>
  <c r="I13" i="118"/>
  <c r="J20" i="118"/>
  <c r="I31" i="118"/>
  <c r="V105" i="171"/>
  <c r="U107" i="171"/>
  <c r="V107" i="171"/>
  <c r="V111" i="171"/>
  <c r="U116" i="171"/>
  <c r="V116" i="171"/>
  <c r="V52" i="160"/>
  <c r="U105" i="160"/>
  <c r="U112" i="160"/>
  <c r="V112" i="160"/>
  <c r="V62" i="160"/>
  <c r="T105" i="160"/>
  <c r="S107" i="160"/>
  <c r="T107" i="160"/>
  <c r="U111" i="160"/>
  <c r="T111" i="160"/>
  <c r="S116" i="160"/>
  <c r="T116" i="160"/>
  <c r="V105" i="162"/>
  <c r="U107" i="162"/>
  <c r="V107" i="162"/>
  <c r="V111" i="162"/>
  <c r="U116" i="162"/>
  <c r="V116" i="162"/>
  <c r="U111" i="178"/>
  <c r="V52" i="178"/>
  <c r="T111" i="178"/>
  <c r="S116" i="178"/>
  <c r="T116" i="178"/>
  <c r="U112" i="178"/>
  <c r="V112" i="178"/>
  <c r="V62" i="178"/>
  <c r="H95" i="118"/>
  <c r="H94" i="118"/>
  <c r="H79" i="118"/>
  <c r="F33" i="118"/>
  <c r="H82" i="118"/>
  <c r="H97" i="118"/>
  <c r="H91" i="118"/>
  <c r="H87" i="118"/>
  <c r="H84" i="118"/>
  <c r="H73" i="118"/>
  <c r="H69" i="118"/>
  <c r="H61" i="118"/>
  <c r="H57" i="118"/>
  <c r="H53" i="118"/>
  <c r="E116" i="118"/>
  <c r="F116" i="118"/>
  <c r="F111" i="118"/>
  <c r="H93" i="118"/>
  <c r="H104" i="118"/>
  <c r="H100" i="118"/>
  <c r="H96" i="118"/>
  <c r="H85" i="118"/>
  <c r="H83" i="118"/>
  <c r="H80" i="118"/>
  <c r="H72" i="118"/>
  <c r="H60" i="118"/>
  <c r="H52" i="118"/>
  <c r="H89" i="118"/>
  <c r="H71" i="118"/>
  <c r="H59" i="118"/>
  <c r="G111" i="118"/>
  <c r="F112" i="118"/>
  <c r="H102" i="118"/>
  <c r="H58" i="118"/>
  <c r="H74" i="118"/>
  <c r="H62" i="118"/>
  <c r="G112" i="118"/>
  <c r="H31" i="118"/>
  <c r="G33" i="118"/>
  <c r="G12" i="118"/>
  <c r="J23" i="118"/>
  <c r="J25" i="118"/>
  <c r="J27" i="118"/>
  <c r="J37" i="118"/>
  <c r="J39" i="118"/>
  <c r="J41" i="118"/>
  <c r="J43" i="118"/>
  <c r="J45" i="118"/>
  <c r="J32" i="118"/>
  <c r="J26" i="118"/>
  <c r="J40" i="118"/>
  <c r="J38" i="118"/>
  <c r="J46" i="118"/>
  <c r="J21" i="118"/>
  <c r="J36" i="118"/>
  <c r="J44" i="118"/>
  <c r="J28" i="118"/>
  <c r="J42" i="118"/>
  <c r="J114" i="118"/>
  <c r="J115" i="118"/>
  <c r="J113" i="118"/>
  <c r="J19" i="118"/>
  <c r="H103" i="118"/>
  <c r="H81" i="118"/>
  <c r="K28" i="118"/>
  <c r="L20" i="118"/>
  <c r="M10" i="118"/>
  <c r="K13" i="118"/>
  <c r="U116" i="160"/>
  <c r="V116" i="160"/>
  <c r="V111" i="160"/>
  <c r="V105" i="160"/>
  <c r="U107" i="160"/>
  <c r="V107" i="160"/>
  <c r="U116" i="178"/>
  <c r="V116" i="178"/>
  <c r="V111" i="178"/>
  <c r="J100" i="118"/>
  <c r="J93" i="118"/>
  <c r="J69" i="118"/>
  <c r="M28" i="118"/>
  <c r="N20" i="118"/>
  <c r="L21" i="118"/>
  <c r="L26" i="118"/>
  <c r="L36" i="118"/>
  <c r="L38" i="118"/>
  <c r="L40" i="118"/>
  <c r="L42" i="118"/>
  <c r="L44" i="118"/>
  <c r="L46" i="118"/>
  <c r="L28" i="118"/>
  <c r="L23" i="118"/>
  <c r="L25" i="118"/>
  <c r="L27" i="118"/>
  <c r="L37" i="118"/>
  <c r="L39" i="118"/>
  <c r="L41" i="118"/>
  <c r="L43" i="118"/>
  <c r="L45" i="118"/>
  <c r="L32" i="118"/>
  <c r="L114" i="118"/>
  <c r="L113" i="118"/>
  <c r="L115" i="118"/>
  <c r="L19" i="118"/>
  <c r="J97" i="118"/>
  <c r="J82" i="118"/>
  <c r="J74" i="118"/>
  <c r="J62" i="118"/>
  <c r="I112" i="118"/>
  <c r="J58" i="118"/>
  <c r="J104" i="118"/>
  <c r="J81" i="118"/>
  <c r="J61" i="118"/>
  <c r="J91" i="118"/>
  <c r="J94" i="118"/>
  <c r="J103" i="118"/>
  <c r="J95" i="118"/>
  <c r="J89" i="118"/>
  <c r="J84" i="118"/>
  <c r="J80" i="118"/>
  <c r="J72" i="118"/>
  <c r="J60" i="118"/>
  <c r="J52" i="118"/>
  <c r="H33" i="118"/>
  <c r="H111" i="118"/>
  <c r="G116" i="118"/>
  <c r="H116" i="118"/>
  <c r="J96" i="118"/>
  <c r="J85" i="118"/>
  <c r="J73" i="118"/>
  <c r="J57" i="118"/>
  <c r="J53" i="118"/>
  <c r="H112" i="118"/>
  <c r="J102" i="118"/>
  <c r="J87" i="118"/>
  <c r="J83" i="118"/>
  <c r="J79" i="118"/>
  <c r="J71" i="118"/>
  <c r="J31" i="118"/>
  <c r="K31" i="118"/>
  <c r="I33" i="118"/>
  <c r="I12" i="118"/>
  <c r="J59" i="118"/>
  <c r="I111" i="118"/>
  <c r="O10" i="118"/>
  <c r="M13" i="118"/>
  <c r="L104" i="118"/>
  <c r="L73" i="118"/>
  <c r="L97" i="118"/>
  <c r="L85" i="118"/>
  <c r="L81" i="118"/>
  <c r="L83" i="118"/>
  <c r="L74" i="118"/>
  <c r="L62" i="118"/>
  <c r="K112" i="118"/>
  <c r="N32" i="118"/>
  <c r="N21" i="118"/>
  <c r="N26" i="118"/>
  <c r="N36" i="118"/>
  <c r="N38" i="118"/>
  <c r="N40" i="118"/>
  <c r="N42" i="118"/>
  <c r="N44" i="118"/>
  <c r="N46" i="118"/>
  <c r="N28" i="118"/>
  <c r="N41" i="118"/>
  <c r="N23" i="118"/>
  <c r="N39" i="118"/>
  <c r="N25" i="118"/>
  <c r="N37" i="118"/>
  <c r="N45" i="118"/>
  <c r="N27" i="118"/>
  <c r="N43" i="118"/>
  <c r="N113" i="118"/>
  <c r="N115" i="118"/>
  <c r="N114" i="118"/>
  <c r="N19" i="118"/>
  <c r="L100" i="118"/>
  <c r="L93" i="118"/>
  <c r="L89" i="118"/>
  <c r="L69" i="118"/>
  <c r="L61" i="118"/>
  <c r="J33" i="118"/>
  <c r="J112" i="118"/>
  <c r="L103" i="118"/>
  <c r="L95" i="118"/>
  <c r="L94" i="118"/>
  <c r="L80" i="118"/>
  <c r="L72" i="118"/>
  <c r="L60" i="118"/>
  <c r="L57" i="118"/>
  <c r="L53" i="118"/>
  <c r="L96" i="118"/>
  <c r="L84" i="118"/>
  <c r="L59" i="118"/>
  <c r="K111" i="118"/>
  <c r="L31" i="118"/>
  <c r="M31" i="118"/>
  <c r="K33" i="118"/>
  <c r="K12" i="118"/>
  <c r="I116" i="118"/>
  <c r="J116" i="118"/>
  <c r="J111" i="118"/>
  <c r="L102" i="118"/>
  <c r="L91" i="118"/>
  <c r="L82" i="118"/>
  <c r="L87" i="118"/>
  <c r="L79" i="118"/>
  <c r="L71" i="118"/>
  <c r="L58" i="118"/>
  <c r="L52" i="118"/>
  <c r="O28" i="118"/>
  <c r="Q10" i="118"/>
  <c r="O13" i="118"/>
  <c r="P20" i="118"/>
  <c r="O31" i="118"/>
  <c r="N31" i="118"/>
  <c r="M33" i="118"/>
  <c r="M12" i="118"/>
  <c r="N93" i="118"/>
  <c r="N85" i="118"/>
  <c r="N73" i="118"/>
  <c r="N61" i="118"/>
  <c r="Q28" i="118"/>
  <c r="R20" i="118"/>
  <c r="L33" i="118"/>
  <c r="N104" i="118"/>
  <c r="N100" i="118"/>
  <c r="N96" i="118"/>
  <c r="N89" i="118"/>
  <c r="N82" i="118"/>
  <c r="N74" i="118"/>
  <c r="N62" i="118"/>
  <c r="M112" i="118"/>
  <c r="N58" i="118"/>
  <c r="N103" i="118"/>
  <c r="N95" i="118"/>
  <c r="N57" i="118"/>
  <c r="P23" i="118"/>
  <c r="P25" i="118"/>
  <c r="P27" i="118"/>
  <c r="P37" i="118"/>
  <c r="P39" i="118"/>
  <c r="P41" i="118"/>
  <c r="P43" i="118"/>
  <c r="P45" i="118"/>
  <c r="P28" i="118"/>
  <c r="P32" i="118"/>
  <c r="P21" i="118"/>
  <c r="P26" i="118"/>
  <c r="P36" i="118"/>
  <c r="P38" i="118"/>
  <c r="P40" i="118"/>
  <c r="P42" i="118"/>
  <c r="P44" i="118"/>
  <c r="P46" i="118"/>
  <c r="P113" i="118"/>
  <c r="P115" i="118"/>
  <c r="P114" i="118"/>
  <c r="P19" i="118"/>
  <c r="N102" i="118"/>
  <c r="N91" i="118"/>
  <c r="N84" i="118"/>
  <c r="N80" i="118"/>
  <c r="N72" i="118"/>
  <c r="N60" i="118"/>
  <c r="N52" i="118"/>
  <c r="L111" i="118"/>
  <c r="K116" i="118"/>
  <c r="L116" i="118"/>
  <c r="N81" i="118"/>
  <c r="N69" i="118"/>
  <c r="N53" i="118"/>
  <c r="N94" i="118"/>
  <c r="N97" i="118"/>
  <c r="N87" i="118"/>
  <c r="N83" i="118"/>
  <c r="N79" i="118"/>
  <c r="N71" i="118"/>
  <c r="N59" i="118"/>
  <c r="M111" i="118"/>
  <c r="L112" i="118"/>
  <c r="S10" i="118"/>
  <c r="Q13" i="118"/>
  <c r="P102" i="118"/>
  <c r="P93" i="118"/>
  <c r="P79" i="118"/>
  <c r="P71" i="118"/>
  <c r="P91" i="118"/>
  <c r="P103" i="118"/>
  <c r="P95" i="118"/>
  <c r="P83" i="118"/>
  <c r="P80" i="118"/>
  <c r="P72" i="118"/>
  <c r="P60" i="118"/>
  <c r="P52" i="118"/>
  <c r="M116" i="118"/>
  <c r="N116" i="118"/>
  <c r="N111" i="118"/>
  <c r="P81" i="118"/>
  <c r="P59" i="118"/>
  <c r="O111" i="118"/>
  <c r="P97" i="118"/>
  <c r="P84" i="118"/>
  <c r="P85" i="118"/>
  <c r="P82" i="118"/>
  <c r="P74" i="118"/>
  <c r="P62" i="118"/>
  <c r="O112" i="118"/>
  <c r="P31" i="118"/>
  <c r="Q31" i="118"/>
  <c r="O33" i="118"/>
  <c r="O12" i="118"/>
  <c r="S28" i="118"/>
  <c r="T20" i="118"/>
  <c r="N33" i="118"/>
  <c r="P94" i="118"/>
  <c r="P104" i="118"/>
  <c r="P100" i="118"/>
  <c r="P96" i="118"/>
  <c r="P87" i="118"/>
  <c r="P89" i="118"/>
  <c r="P58" i="118"/>
  <c r="P73" i="118"/>
  <c r="P69" i="118"/>
  <c r="P61" i="118"/>
  <c r="P57" i="118"/>
  <c r="P53" i="118"/>
  <c r="N112" i="118"/>
  <c r="R23" i="118"/>
  <c r="R25" i="118"/>
  <c r="R27" i="118"/>
  <c r="R37" i="118"/>
  <c r="R39" i="118"/>
  <c r="R41" i="118"/>
  <c r="R43" i="118"/>
  <c r="R45" i="118"/>
  <c r="R32" i="118"/>
  <c r="R42" i="118"/>
  <c r="R26" i="118"/>
  <c r="R28" i="118"/>
  <c r="R40" i="118"/>
  <c r="R38" i="118"/>
  <c r="R46" i="118"/>
  <c r="R44" i="118"/>
  <c r="R21" i="118"/>
  <c r="R114" i="118"/>
  <c r="R36" i="118"/>
  <c r="R115" i="118"/>
  <c r="R113" i="118"/>
  <c r="R19" i="118"/>
  <c r="U10" i="118"/>
  <c r="U13" i="118"/>
  <c r="S13" i="118"/>
  <c r="R62" i="118"/>
  <c r="Q112" i="118"/>
  <c r="R31" i="118"/>
  <c r="S31" i="118"/>
  <c r="Q33" i="118"/>
  <c r="Q12" i="118"/>
  <c r="P33" i="118"/>
  <c r="R97" i="118"/>
  <c r="R81" i="118"/>
  <c r="R89" i="118"/>
  <c r="R103" i="118"/>
  <c r="R95" i="118"/>
  <c r="R87" i="118"/>
  <c r="R83" i="118"/>
  <c r="R79" i="118"/>
  <c r="R71" i="118"/>
  <c r="R59" i="118"/>
  <c r="Q111" i="118"/>
  <c r="U28" i="118"/>
  <c r="P112" i="118"/>
  <c r="P111" i="118"/>
  <c r="O116" i="118"/>
  <c r="P116" i="118"/>
  <c r="R94" i="118"/>
  <c r="R58" i="118"/>
  <c r="R85" i="118"/>
  <c r="R69" i="118"/>
  <c r="R61" i="118"/>
  <c r="R57" i="118"/>
  <c r="R53" i="118"/>
  <c r="R102" i="118"/>
  <c r="R82" i="118"/>
  <c r="R74" i="118"/>
  <c r="R73" i="118"/>
  <c r="T21" i="118"/>
  <c r="T26" i="118"/>
  <c r="T36" i="118"/>
  <c r="T38" i="118"/>
  <c r="T40" i="118"/>
  <c r="T42" i="118"/>
  <c r="T44" i="118"/>
  <c r="T46" i="118"/>
  <c r="T28" i="118"/>
  <c r="T23" i="118"/>
  <c r="T25" i="118"/>
  <c r="T27" i="118"/>
  <c r="T37" i="118"/>
  <c r="T39" i="118"/>
  <c r="T41" i="118"/>
  <c r="T43" i="118"/>
  <c r="T45" i="118"/>
  <c r="T32" i="118"/>
  <c r="T114" i="118"/>
  <c r="T113" i="118"/>
  <c r="T115" i="118"/>
  <c r="T19" i="118"/>
  <c r="R93" i="118"/>
  <c r="R104" i="118"/>
  <c r="R100" i="118"/>
  <c r="R96" i="118"/>
  <c r="R91" i="118"/>
  <c r="R84" i="118"/>
  <c r="R80" i="118"/>
  <c r="R72" i="118"/>
  <c r="R60" i="118"/>
  <c r="R52" i="118"/>
  <c r="V20" i="118"/>
  <c r="U31" i="118"/>
  <c r="T104" i="118"/>
  <c r="T96" i="118"/>
  <c r="T84" i="118"/>
  <c r="T59" i="118"/>
  <c r="S111" i="118"/>
  <c r="T94" i="118"/>
  <c r="T91" i="118"/>
  <c r="T85" i="118"/>
  <c r="T73" i="118"/>
  <c r="T69" i="118"/>
  <c r="T61" i="118"/>
  <c r="T53" i="118"/>
  <c r="T97" i="118"/>
  <c r="T93" i="118"/>
  <c r="T82" i="118"/>
  <c r="T31" i="118"/>
  <c r="S33" i="118"/>
  <c r="S12" i="118"/>
  <c r="T80" i="118"/>
  <c r="T72" i="118"/>
  <c r="T60" i="118"/>
  <c r="T52" i="118"/>
  <c r="Q116" i="118"/>
  <c r="R116" i="118"/>
  <c r="R111" i="118"/>
  <c r="T100" i="118"/>
  <c r="T79" i="118"/>
  <c r="T103" i="118"/>
  <c r="T95" i="118"/>
  <c r="T83" i="118"/>
  <c r="T81" i="118"/>
  <c r="T74" i="118"/>
  <c r="T62" i="118"/>
  <c r="S112" i="118"/>
  <c r="T58" i="118"/>
  <c r="V32" i="118"/>
  <c r="V21" i="118"/>
  <c r="V24" i="118"/>
  <c r="V26" i="118"/>
  <c r="V36" i="118"/>
  <c r="V38" i="118"/>
  <c r="V40" i="118"/>
  <c r="V42" i="118"/>
  <c r="V44" i="118"/>
  <c r="V46" i="118"/>
  <c r="V27" i="118"/>
  <c r="V43" i="118"/>
  <c r="V41" i="118"/>
  <c r="V23" i="118"/>
  <c r="V28" i="118"/>
  <c r="V39" i="118"/>
  <c r="V25" i="118"/>
  <c r="V37" i="118"/>
  <c r="V45" i="118"/>
  <c r="V113" i="118"/>
  <c r="V115" i="118"/>
  <c r="V114" i="118"/>
  <c r="V19" i="118"/>
  <c r="R112" i="118"/>
  <c r="T87" i="118"/>
  <c r="T89" i="118"/>
  <c r="T71" i="118"/>
  <c r="T102" i="118"/>
  <c r="T57" i="118"/>
  <c r="R33" i="118"/>
  <c r="V102" i="118"/>
  <c r="V94" i="118"/>
  <c r="V80" i="118"/>
  <c r="V72" i="118"/>
  <c r="V60" i="118"/>
  <c r="V52" i="118"/>
  <c r="V97" i="118"/>
  <c r="V83" i="118"/>
  <c r="V91" i="118"/>
  <c r="V103" i="118"/>
  <c r="V95" i="118"/>
  <c r="V85" i="118"/>
  <c r="V81" i="118"/>
  <c r="V73" i="118"/>
  <c r="V69" i="118"/>
  <c r="V61" i="118"/>
  <c r="V57" i="118"/>
  <c r="V53" i="118"/>
  <c r="T112" i="118"/>
  <c r="T111" i="118"/>
  <c r="S116" i="118"/>
  <c r="T116" i="118"/>
  <c r="V93" i="118"/>
  <c r="V87" i="118"/>
  <c r="V79" i="118"/>
  <c r="V71" i="118"/>
  <c r="V59" i="118"/>
  <c r="U111" i="118"/>
  <c r="V89" i="118"/>
  <c r="V84" i="118"/>
  <c r="V104" i="118"/>
  <c r="V100" i="118"/>
  <c r="V96" i="118"/>
  <c r="V82" i="118"/>
  <c r="V74" i="118"/>
  <c r="V62" i="118"/>
  <c r="U112" i="118"/>
  <c r="V31" i="118"/>
  <c r="U33" i="118"/>
  <c r="U12" i="118"/>
  <c r="V58" i="118"/>
  <c r="T33" i="118"/>
  <c r="V33" i="118"/>
  <c r="U116" i="118"/>
  <c r="V116" i="118"/>
  <c r="V111" i="118"/>
  <c r="V112" i="118"/>
  <c r="C10" i="15"/>
  <c r="C31" i="15"/>
  <c r="C33" i="15"/>
  <c r="C28" i="15"/>
  <c r="D33" i="15"/>
  <c r="D19" i="15"/>
  <c r="D97" i="15"/>
  <c r="D25" i="15"/>
  <c r="D28" i="15"/>
  <c r="D38" i="15"/>
  <c r="D42" i="15"/>
  <c r="D46" i="15"/>
  <c r="D114" i="15"/>
  <c r="D23" i="15"/>
  <c r="D27" i="15"/>
  <c r="D36" i="15"/>
  <c r="D40" i="15"/>
  <c r="D44" i="15"/>
  <c r="D24" i="15"/>
  <c r="D32" i="15"/>
  <c r="D41" i="15"/>
  <c r="D113" i="15"/>
  <c r="D37" i="15"/>
  <c r="D45" i="15"/>
  <c r="D26" i="15"/>
  <c r="D43" i="15"/>
  <c r="D115" i="15"/>
  <c r="D39" i="15"/>
  <c r="D21" i="15"/>
  <c r="D31" i="15"/>
  <c r="D20" i="15"/>
  <c r="D83" i="15"/>
  <c r="D87" i="15"/>
  <c r="D96" i="15"/>
  <c r="D74" i="15"/>
  <c r="D58" i="15"/>
  <c r="D59" i="15"/>
  <c r="C111" i="15"/>
  <c r="D89" i="15"/>
  <c r="D73" i="15"/>
  <c r="D57" i="15"/>
  <c r="D72" i="15"/>
  <c r="D84" i="15"/>
  <c r="D80" i="15"/>
  <c r="D95" i="15"/>
  <c r="D91" i="15"/>
  <c r="D71" i="15"/>
  <c r="D85" i="15"/>
  <c r="D69" i="15"/>
  <c r="D53" i="15"/>
  <c r="D60" i="15"/>
  <c r="D82" i="15"/>
  <c r="D81" i="15"/>
  <c r="D52" i="15"/>
  <c r="D94" i="15"/>
  <c r="D62" i="15"/>
  <c r="C112" i="15"/>
  <c r="D79" i="15"/>
  <c r="D93" i="15"/>
  <c r="D61" i="15"/>
  <c r="D112" i="15"/>
  <c r="D111" i="15"/>
  <c r="C116" i="15"/>
  <c r="D116" i="15"/>
  <c r="E10" i="15"/>
  <c r="E31" i="15"/>
  <c r="E33" i="15"/>
  <c r="E28" i="15"/>
  <c r="F97" i="15"/>
  <c r="F25" i="15"/>
  <c r="F28" i="15"/>
  <c r="F38" i="15"/>
  <c r="F42" i="15"/>
  <c r="F46" i="15"/>
  <c r="F21" i="15"/>
  <c r="F26" i="15"/>
  <c r="F39" i="15"/>
  <c r="F43" i="15"/>
  <c r="F23" i="15"/>
  <c r="F27" i="15"/>
  <c r="F36" i="15"/>
  <c r="F40" i="15"/>
  <c r="F44" i="15"/>
  <c r="F24" i="15"/>
  <c r="F32" i="15"/>
  <c r="F37" i="15"/>
  <c r="F41" i="15"/>
  <c r="F45" i="15"/>
  <c r="F113" i="15"/>
  <c r="F115" i="15"/>
  <c r="F114" i="15"/>
  <c r="F20" i="15"/>
  <c r="F31" i="15"/>
  <c r="F33" i="15"/>
  <c r="H19" i="15"/>
  <c r="F19" i="15"/>
  <c r="F94" i="15"/>
  <c r="F91" i="15"/>
  <c r="F73" i="15"/>
  <c r="F80" i="15"/>
  <c r="F83" i="15"/>
  <c r="F74" i="15"/>
  <c r="F58" i="15"/>
  <c r="F96" i="15"/>
  <c r="F89" i="15"/>
  <c r="F82" i="15"/>
  <c r="F81" i="15"/>
  <c r="F69" i="15"/>
  <c r="F72" i="15"/>
  <c r="F52" i="15"/>
  <c r="F95" i="15"/>
  <c r="F87" i="15"/>
  <c r="F59" i="15"/>
  <c r="E111" i="15"/>
  <c r="F71" i="15"/>
  <c r="F79" i="15"/>
  <c r="F62" i="15"/>
  <c r="E112" i="15"/>
  <c r="F53" i="15"/>
  <c r="H24" i="15"/>
  <c r="H32" i="15"/>
  <c r="H37" i="15"/>
  <c r="H41" i="15"/>
  <c r="H45" i="15"/>
  <c r="H25" i="15"/>
  <c r="H38" i="15"/>
  <c r="H42" i="15"/>
  <c r="H46" i="15"/>
  <c r="H21" i="15"/>
  <c r="H26" i="15"/>
  <c r="H28" i="15"/>
  <c r="H33" i="15"/>
  <c r="H39" i="15"/>
  <c r="H43" i="15"/>
  <c r="H23" i="15"/>
  <c r="H27" i="15"/>
  <c r="H31" i="15"/>
  <c r="H36" i="15"/>
  <c r="H40" i="15"/>
  <c r="H44" i="15"/>
  <c r="H113" i="15"/>
  <c r="H115" i="15"/>
  <c r="H114" i="15"/>
  <c r="H20" i="15"/>
  <c r="F93" i="15"/>
  <c r="F85" i="15"/>
  <c r="F57" i="15"/>
  <c r="F84" i="15"/>
  <c r="F61" i="15"/>
  <c r="F60" i="15"/>
  <c r="E116" i="15"/>
  <c r="F116" i="15"/>
  <c r="F111" i="15"/>
  <c r="H85" i="15"/>
  <c r="H61" i="15"/>
  <c r="J23" i="15"/>
  <c r="J27" i="15"/>
  <c r="J28" i="15"/>
  <c r="J31" i="15"/>
  <c r="J36" i="15"/>
  <c r="J40" i="15"/>
  <c r="J44" i="15"/>
  <c r="J24" i="15"/>
  <c r="J32" i="15"/>
  <c r="J37" i="15"/>
  <c r="J41" i="15"/>
  <c r="J45" i="15"/>
  <c r="J25" i="15"/>
  <c r="J38" i="15"/>
  <c r="J42" i="15"/>
  <c r="J46" i="15"/>
  <c r="J21" i="15"/>
  <c r="J26" i="15"/>
  <c r="J33" i="15"/>
  <c r="J39" i="15"/>
  <c r="J43" i="15"/>
  <c r="J115" i="15"/>
  <c r="J114" i="15"/>
  <c r="J113" i="15"/>
  <c r="J20" i="15"/>
  <c r="H96" i="15"/>
  <c r="H58" i="15"/>
  <c r="H91" i="15"/>
  <c r="H72" i="15"/>
  <c r="H60" i="15"/>
  <c r="H59" i="15"/>
  <c r="G111" i="15"/>
  <c r="H52" i="15"/>
  <c r="H95" i="15"/>
  <c r="H93" i="15"/>
  <c r="H84" i="15"/>
  <c r="H79" i="15"/>
  <c r="H87" i="15"/>
  <c r="H62" i="15"/>
  <c r="G112" i="15"/>
  <c r="H80" i="15"/>
  <c r="H71" i="15"/>
  <c r="H53" i="15"/>
  <c r="H81" i="15"/>
  <c r="H69" i="15"/>
  <c r="F112" i="15"/>
  <c r="H94" i="15"/>
  <c r="H83" i="15"/>
  <c r="H89" i="15"/>
  <c r="H82" i="15"/>
  <c r="H74" i="15"/>
  <c r="H73" i="15"/>
  <c r="H57" i="15"/>
  <c r="J19" i="15"/>
  <c r="H112" i="15"/>
  <c r="L21" i="15"/>
  <c r="L26" i="15"/>
  <c r="L33" i="15"/>
  <c r="L39" i="15"/>
  <c r="L43" i="15"/>
  <c r="L23" i="15"/>
  <c r="L27" i="15"/>
  <c r="L31" i="15"/>
  <c r="L36" i="15"/>
  <c r="L40" i="15"/>
  <c r="L44" i="15"/>
  <c r="L24" i="15"/>
  <c r="L28" i="15"/>
  <c r="L32" i="15"/>
  <c r="L37" i="15"/>
  <c r="L41" i="15"/>
  <c r="L45" i="15"/>
  <c r="L25" i="15"/>
  <c r="L38" i="15"/>
  <c r="L42" i="15"/>
  <c r="L46" i="15"/>
  <c r="L114" i="15"/>
  <c r="L113" i="15"/>
  <c r="L115" i="15"/>
  <c r="L20" i="15"/>
  <c r="J93" i="15"/>
  <c r="J80" i="15"/>
  <c r="N19" i="15"/>
  <c r="J94" i="15"/>
  <c r="J91" i="15"/>
  <c r="J71" i="15"/>
  <c r="J84" i="15"/>
  <c r="J79" i="15"/>
  <c r="J72" i="15"/>
  <c r="J85" i="15"/>
  <c r="J81" i="15"/>
  <c r="J73" i="15"/>
  <c r="J74" i="15"/>
  <c r="J58" i="15"/>
  <c r="L19" i="15"/>
  <c r="H111" i="15"/>
  <c r="G116" i="15"/>
  <c r="H116" i="15"/>
  <c r="J89" i="15"/>
  <c r="J69" i="15"/>
  <c r="J57" i="15"/>
  <c r="J62" i="15"/>
  <c r="I112" i="15"/>
  <c r="J52" i="15"/>
  <c r="J96" i="15"/>
  <c r="J95" i="15"/>
  <c r="J87" i="15"/>
  <c r="J82" i="15"/>
  <c r="J61" i="15"/>
  <c r="J83" i="15"/>
  <c r="J59" i="15"/>
  <c r="I111" i="15"/>
  <c r="J60" i="15"/>
  <c r="J53" i="15"/>
  <c r="L96" i="15"/>
  <c r="L81" i="15"/>
  <c r="L87" i="15"/>
  <c r="L83" i="15"/>
  <c r="L80" i="15"/>
  <c r="L62" i="15"/>
  <c r="K112" i="15"/>
  <c r="L71" i="15"/>
  <c r="L53" i="15"/>
  <c r="J112" i="15"/>
  <c r="L94" i="15"/>
  <c r="L85" i="15"/>
  <c r="L79" i="15"/>
  <c r="L74" i="15"/>
  <c r="L58" i="15"/>
  <c r="L69" i="15"/>
  <c r="L61" i="15"/>
  <c r="L52" i="15"/>
  <c r="J111" i="15"/>
  <c r="I116" i="15"/>
  <c r="J116" i="15"/>
  <c r="L95" i="15"/>
  <c r="L84" i="15"/>
  <c r="L91" i="15"/>
  <c r="L57" i="15"/>
  <c r="L59" i="15"/>
  <c r="K111" i="15"/>
  <c r="N25" i="15"/>
  <c r="N28" i="15"/>
  <c r="N38" i="15"/>
  <c r="N42" i="15"/>
  <c r="N46" i="15"/>
  <c r="N21" i="15"/>
  <c r="N26" i="15"/>
  <c r="N33" i="15"/>
  <c r="N39" i="15"/>
  <c r="N43" i="15"/>
  <c r="N23" i="15"/>
  <c r="N27" i="15"/>
  <c r="N31" i="15"/>
  <c r="N36" i="15"/>
  <c r="N40" i="15"/>
  <c r="N44" i="15"/>
  <c r="N24" i="15"/>
  <c r="N32" i="15"/>
  <c r="N37" i="15"/>
  <c r="N41" i="15"/>
  <c r="N45" i="15"/>
  <c r="N113" i="15"/>
  <c r="N115" i="15"/>
  <c r="N114" i="15"/>
  <c r="N20" i="15"/>
  <c r="L93" i="15"/>
  <c r="L89" i="15"/>
  <c r="L60" i="15"/>
  <c r="L82" i="15"/>
  <c r="L72" i="15"/>
  <c r="L73" i="15"/>
  <c r="N73" i="15"/>
  <c r="P24" i="15"/>
  <c r="P32" i="15"/>
  <c r="P37" i="15"/>
  <c r="P41" i="15"/>
  <c r="P45" i="15"/>
  <c r="P25" i="15"/>
  <c r="P38" i="15"/>
  <c r="P42" i="15"/>
  <c r="P46" i="15"/>
  <c r="P21" i="15"/>
  <c r="P26" i="15"/>
  <c r="P28" i="15"/>
  <c r="P33" i="15"/>
  <c r="P39" i="15"/>
  <c r="P43" i="15"/>
  <c r="P23" i="15"/>
  <c r="P27" i="15"/>
  <c r="P31" i="15"/>
  <c r="P36" i="15"/>
  <c r="P40" i="15"/>
  <c r="P44" i="15"/>
  <c r="P115" i="15"/>
  <c r="P114" i="15"/>
  <c r="P113" i="15"/>
  <c r="P20" i="15"/>
  <c r="N85" i="15"/>
  <c r="N82" i="15"/>
  <c r="N74" i="15"/>
  <c r="N96" i="15"/>
  <c r="N94" i="15"/>
  <c r="N91" i="15"/>
  <c r="N69" i="15"/>
  <c r="N72" i="15"/>
  <c r="N57" i="15"/>
  <c r="N89" i="15"/>
  <c r="N80" i="15"/>
  <c r="N59" i="15"/>
  <c r="M111" i="15"/>
  <c r="N83" i="15"/>
  <c r="N62" i="15"/>
  <c r="M112" i="15"/>
  <c r="L112" i="15"/>
  <c r="R19" i="15"/>
  <c r="N93" i="15"/>
  <c r="N84" i="15"/>
  <c r="N79" i="15"/>
  <c r="N58" i="15"/>
  <c r="N52" i="15"/>
  <c r="N95" i="15"/>
  <c r="N87" i="15"/>
  <c r="N81" i="15"/>
  <c r="N71" i="15"/>
  <c r="N61" i="15"/>
  <c r="N60" i="15"/>
  <c r="N53" i="15"/>
  <c r="L111" i="15"/>
  <c r="K116" i="15"/>
  <c r="L116" i="15"/>
  <c r="P19" i="15"/>
  <c r="P96" i="15"/>
  <c r="P62" i="15"/>
  <c r="O112" i="15"/>
  <c r="P74" i="15"/>
  <c r="P85" i="15"/>
  <c r="P71" i="15"/>
  <c r="M116" i="15"/>
  <c r="N116" i="15"/>
  <c r="N111" i="15"/>
  <c r="P94" i="15"/>
  <c r="P83" i="15"/>
  <c r="P91" i="15"/>
  <c r="P82" i="15"/>
  <c r="P57" i="15"/>
  <c r="P69" i="15"/>
  <c r="P61" i="15"/>
  <c r="P52" i="15"/>
  <c r="T19" i="15"/>
  <c r="P95" i="15"/>
  <c r="P93" i="15"/>
  <c r="P87" i="15"/>
  <c r="P81" i="15"/>
  <c r="P72" i="15"/>
  <c r="P73" i="15"/>
  <c r="R23" i="15"/>
  <c r="R27" i="15"/>
  <c r="R28" i="15"/>
  <c r="R31" i="15"/>
  <c r="R36" i="15"/>
  <c r="R40" i="15"/>
  <c r="R44" i="15"/>
  <c r="R24" i="15"/>
  <c r="R32" i="15"/>
  <c r="R37" i="15"/>
  <c r="R41" i="15"/>
  <c r="R45" i="15"/>
  <c r="R25" i="15"/>
  <c r="R38" i="15"/>
  <c r="R42" i="15"/>
  <c r="R46" i="15"/>
  <c r="R21" i="15"/>
  <c r="R26" i="15"/>
  <c r="R33" i="15"/>
  <c r="R39" i="15"/>
  <c r="R43" i="15"/>
  <c r="R115" i="15"/>
  <c r="R113" i="15"/>
  <c r="R114" i="15"/>
  <c r="R20" i="15"/>
  <c r="N112" i="15"/>
  <c r="P84" i="15"/>
  <c r="P79" i="15"/>
  <c r="P89" i="15"/>
  <c r="P58" i="15"/>
  <c r="P80" i="15"/>
  <c r="P60" i="15"/>
  <c r="P59" i="15"/>
  <c r="O111" i="15"/>
  <c r="P53" i="15"/>
  <c r="R57" i="15"/>
  <c r="R85" i="15"/>
  <c r="R81" i="15"/>
  <c r="R74" i="15"/>
  <c r="R58" i="15"/>
  <c r="P111" i="15"/>
  <c r="O116" i="15"/>
  <c r="P116" i="15"/>
  <c r="R96" i="15"/>
  <c r="R91" i="15"/>
  <c r="R69" i="15"/>
  <c r="R79" i="15"/>
  <c r="R72" i="15"/>
  <c r="R94" i="15"/>
  <c r="R89" i="15"/>
  <c r="R61" i="15"/>
  <c r="R84" i="15"/>
  <c r="R73" i="15"/>
  <c r="R62" i="15"/>
  <c r="Q112" i="15"/>
  <c r="R52" i="15"/>
  <c r="T21" i="15"/>
  <c r="T26" i="15"/>
  <c r="T33" i="15"/>
  <c r="T39" i="15"/>
  <c r="T43" i="15"/>
  <c r="T23" i="15"/>
  <c r="T27" i="15"/>
  <c r="T31" i="15"/>
  <c r="T36" i="15"/>
  <c r="T40" i="15"/>
  <c r="T44" i="15"/>
  <c r="T24" i="15"/>
  <c r="T28" i="15"/>
  <c r="T32" i="15"/>
  <c r="T37" i="15"/>
  <c r="T41" i="15"/>
  <c r="T45" i="15"/>
  <c r="T25" i="15"/>
  <c r="T38" i="15"/>
  <c r="T42" i="15"/>
  <c r="T46" i="15"/>
  <c r="T114" i="15"/>
  <c r="T113" i="15"/>
  <c r="T115" i="15"/>
  <c r="T20" i="15"/>
  <c r="P112" i="15"/>
  <c r="R93" i="15"/>
  <c r="R80" i="15"/>
  <c r="R71" i="15"/>
  <c r="R95" i="15"/>
  <c r="R87" i="15"/>
  <c r="R82" i="15"/>
  <c r="R83" i="15"/>
  <c r="R59" i="15"/>
  <c r="Q111" i="15"/>
  <c r="R60" i="15"/>
  <c r="R53" i="15"/>
  <c r="U28" i="15"/>
  <c r="V19" i="15"/>
  <c r="T96" i="15"/>
  <c r="T72" i="15"/>
  <c r="V25" i="15"/>
  <c r="V28" i="15"/>
  <c r="V38" i="15"/>
  <c r="V42" i="15"/>
  <c r="V46" i="15"/>
  <c r="V21" i="15"/>
  <c r="V26" i="15"/>
  <c r="V33" i="15"/>
  <c r="V39" i="15"/>
  <c r="V43" i="15"/>
  <c r="V23" i="15"/>
  <c r="V27" i="15"/>
  <c r="V31" i="15"/>
  <c r="V36" i="15"/>
  <c r="V40" i="15"/>
  <c r="V44" i="15"/>
  <c r="V24" i="15"/>
  <c r="V32" i="15"/>
  <c r="V37" i="15"/>
  <c r="V41" i="15"/>
  <c r="V45" i="15"/>
  <c r="V113" i="15"/>
  <c r="V114" i="15"/>
  <c r="V115" i="15"/>
  <c r="V20" i="15"/>
  <c r="T74" i="15"/>
  <c r="T87" i="15"/>
  <c r="T79" i="15"/>
  <c r="T62" i="15"/>
  <c r="S112" i="15"/>
  <c r="T69" i="15"/>
  <c r="T61" i="15"/>
  <c r="T85" i="15"/>
  <c r="T58" i="15"/>
  <c r="T95" i="15"/>
  <c r="T94" i="15"/>
  <c r="T60" i="15"/>
  <c r="T91" i="15"/>
  <c r="T83" i="15"/>
  <c r="T82" i="15"/>
  <c r="T73" i="15"/>
  <c r="T57" i="15"/>
  <c r="T52" i="15"/>
  <c r="T59" i="15"/>
  <c r="S111" i="15"/>
  <c r="T53" i="15"/>
  <c r="Q116" i="15"/>
  <c r="R116" i="15"/>
  <c r="R111" i="15"/>
  <c r="T93" i="15"/>
  <c r="T84" i="15"/>
  <c r="T81" i="15"/>
  <c r="T89" i="15"/>
  <c r="T80" i="15"/>
  <c r="T71" i="15"/>
  <c r="R112" i="15"/>
  <c r="V97" i="15"/>
  <c r="V89" i="15"/>
  <c r="V73" i="15"/>
  <c r="V71" i="15"/>
  <c r="V57" i="15"/>
  <c r="V60" i="15"/>
  <c r="V53" i="15"/>
  <c r="T112" i="15"/>
  <c r="V94" i="15"/>
  <c r="V91" i="15"/>
  <c r="V61" i="15"/>
  <c r="V62" i="15"/>
  <c r="U112" i="15"/>
  <c r="T111" i="15"/>
  <c r="S116" i="15"/>
  <c r="T116" i="15"/>
  <c r="V95" i="15"/>
  <c r="V87" i="15"/>
  <c r="V59" i="15"/>
  <c r="U111" i="15"/>
  <c r="V81" i="15"/>
  <c r="V69" i="15"/>
  <c r="V74" i="15"/>
  <c r="V58" i="15"/>
  <c r="V52" i="15"/>
  <c r="V96" i="15"/>
  <c r="V83" i="15"/>
  <c r="V84" i="15"/>
  <c r="V93" i="15"/>
  <c r="V85" i="15"/>
  <c r="V80" i="15"/>
  <c r="V82" i="15"/>
  <c r="V79" i="15"/>
  <c r="V72" i="15"/>
  <c r="V112" i="15"/>
  <c r="U116" i="15"/>
  <c r="V116" i="15"/>
  <c r="V111" i="15"/>
  <c r="C10" i="176"/>
  <c r="C31" i="176"/>
  <c r="C33" i="176"/>
  <c r="D19" i="176"/>
  <c r="D21" i="176"/>
  <c r="D24" i="176"/>
  <c r="D26" i="176"/>
  <c r="D32" i="176"/>
  <c r="D37" i="176"/>
  <c r="D39" i="176"/>
  <c r="D41" i="176"/>
  <c r="D43" i="176"/>
  <c r="D45" i="176"/>
  <c r="D38" i="176"/>
  <c r="D42" i="176"/>
  <c r="D25" i="176"/>
  <c r="D27" i="176"/>
  <c r="D46" i="176"/>
  <c r="D28" i="176"/>
  <c r="D40" i="176"/>
  <c r="D44" i="176"/>
  <c r="D23" i="176"/>
  <c r="D31" i="176"/>
  <c r="D36" i="176"/>
  <c r="D20" i="176"/>
  <c r="D113" i="176"/>
  <c r="D114" i="176"/>
  <c r="D115" i="176"/>
  <c r="D33" i="176"/>
  <c r="C111" i="176"/>
  <c r="C112" i="176"/>
  <c r="D111" i="176"/>
  <c r="C116" i="176"/>
  <c r="D116" i="176"/>
  <c r="D112" i="176"/>
  <c r="E10" i="176"/>
  <c r="E31" i="176"/>
  <c r="E33" i="176"/>
  <c r="E28" i="176"/>
  <c r="F19" i="176"/>
  <c r="F55" i="176"/>
  <c r="F95" i="176"/>
  <c r="F89" i="176"/>
  <c r="F83" i="176"/>
  <c r="F79" i="176"/>
  <c r="F71" i="176"/>
  <c r="F60" i="176"/>
  <c r="F57" i="176"/>
  <c r="F52" i="176"/>
  <c r="F85" i="176"/>
  <c r="F81" i="176"/>
  <c r="F62" i="176"/>
  <c r="F91" i="176"/>
  <c r="F84" i="176"/>
  <c r="F80" i="176"/>
  <c r="F58" i="176"/>
  <c r="F94" i="176"/>
  <c r="F87" i="176"/>
  <c r="F82" i="176"/>
  <c r="F74" i="176"/>
  <c r="F69" i="176"/>
  <c r="F93" i="176"/>
  <c r="F73" i="176"/>
  <c r="F96" i="176"/>
  <c r="F72" i="176"/>
  <c r="F61" i="176"/>
  <c r="F53" i="176"/>
  <c r="F97" i="176"/>
  <c r="F59" i="176"/>
  <c r="F33" i="176"/>
  <c r="F20" i="176"/>
  <c r="F25" i="176"/>
  <c r="F28" i="176"/>
  <c r="F38" i="176"/>
  <c r="F42" i="176"/>
  <c r="F46" i="176"/>
  <c r="F21" i="176"/>
  <c r="F26" i="176"/>
  <c r="F39" i="176"/>
  <c r="F43" i="176"/>
  <c r="F24" i="176"/>
  <c r="F32" i="176"/>
  <c r="F37" i="176"/>
  <c r="F41" i="176"/>
  <c r="F45" i="176"/>
  <c r="F23" i="176"/>
  <c r="F36" i="176"/>
  <c r="F44" i="176"/>
  <c r="F31" i="176"/>
  <c r="F40" i="176"/>
  <c r="F113" i="176"/>
  <c r="F114" i="176"/>
  <c r="F115" i="176"/>
  <c r="F27" i="176"/>
  <c r="H19" i="176"/>
  <c r="H36" i="176"/>
  <c r="E111" i="176"/>
  <c r="H24" i="176"/>
  <c r="H32" i="176"/>
  <c r="H37" i="176"/>
  <c r="H41" i="176"/>
  <c r="H45" i="176"/>
  <c r="H25" i="176"/>
  <c r="H38" i="176"/>
  <c r="H42" i="176"/>
  <c r="H46" i="176"/>
  <c r="H23" i="176"/>
  <c r="H27" i="176"/>
  <c r="H31" i="176"/>
  <c r="H40" i="176"/>
  <c r="H44" i="176"/>
  <c r="H26" i="176"/>
  <c r="H39" i="176"/>
  <c r="H28" i="176"/>
  <c r="H43" i="176"/>
  <c r="H21" i="176"/>
  <c r="H33" i="176"/>
  <c r="H113" i="176"/>
  <c r="H115" i="176"/>
  <c r="H114" i="176"/>
  <c r="H20" i="176"/>
  <c r="E112" i="176"/>
  <c r="J20" i="176"/>
  <c r="J19" i="176"/>
  <c r="G111" i="176"/>
  <c r="G112" i="176"/>
  <c r="F112" i="176"/>
  <c r="J23" i="176"/>
  <c r="J27" i="176"/>
  <c r="J28" i="176"/>
  <c r="J31" i="176"/>
  <c r="J36" i="176"/>
  <c r="J40" i="176"/>
  <c r="J44" i="176"/>
  <c r="J24" i="176"/>
  <c r="J32" i="176"/>
  <c r="J37" i="176"/>
  <c r="J41" i="176"/>
  <c r="J45" i="176"/>
  <c r="J21" i="176"/>
  <c r="J26" i="176"/>
  <c r="J33" i="176"/>
  <c r="J39" i="176"/>
  <c r="J43" i="176"/>
  <c r="J46" i="176"/>
  <c r="J42" i="176"/>
  <c r="J38" i="176"/>
  <c r="J25" i="176"/>
  <c r="J115" i="176"/>
  <c r="J114" i="176"/>
  <c r="J113" i="176"/>
  <c r="F111" i="176"/>
  <c r="E116" i="176"/>
  <c r="F116" i="176"/>
  <c r="L20" i="176"/>
  <c r="L19" i="176"/>
  <c r="I112" i="176"/>
  <c r="G116" i="176"/>
  <c r="H116" i="176"/>
  <c r="H111" i="176"/>
  <c r="I111" i="176"/>
  <c r="L21" i="176"/>
  <c r="L26" i="176"/>
  <c r="L33" i="176"/>
  <c r="L39" i="176"/>
  <c r="L43" i="176"/>
  <c r="L23" i="176"/>
  <c r="L27" i="176"/>
  <c r="L31" i="176"/>
  <c r="L36" i="176"/>
  <c r="L40" i="176"/>
  <c r="L44" i="176"/>
  <c r="L25" i="176"/>
  <c r="L38" i="176"/>
  <c r="L42" i="176"/>
  <c r="L46" i="176"/>
  <c r="L24" i="176"/>
  <c r="L37" i="176"/>
  <c r="L32" i="176"/>
  <c r="L41" i="176"/>
  <c r="L45" i="176"/>
  <c r="L28" i="176"/>
  <c r="L114" i="176"/>
  <c r="L115" i="176"/>
  <c r="L113" i="176"/>
  <c r="H112" i="176"/>
  <c r="N19" i="176"/>
  <c r="N20" i="176"/>
  <c r="K111" i="176"/>
  <c r="J112" i="176"/>
  <c r="J111" i="176"/>
  <c r="I116" i="176"/>
  <c r="J116" i="176"/>
  <c r="K112" i="176"/>
  <c r="N25" i="176"/>
  <c r="N28" i="176"/>
  <c r="N38" i="176"/>
  <c r="N42" i="176"/>
  <c r="N46" i="176"/>
  <c r="N21" i="176"/>
  <c r="N26" i="176"/>
  <c r="N33" i="176"/>
  <c r="N39" i="176"/>
  <c r="N43" i="176"/>
  <c r="N24" i="176"/>
  <c r="N32" i="176"/>
  <c r="N37" i="176"/>
  <c r="N41" i="176"/>
  <c r="N45" i="176"/>
  <c r="N44" i="176"/>
  <c r="N27" i="176"/>
  <c r="N31" i="176"/>
  <c r="N40" i="176"/>
  <c r="N23" i="176"/>
  <c r="N36" i="176"/>
  <c r="N113" i="176"/>
  <c r="N114" i="176"/>
  <c r="N115" i="176"/>
  <c r="P19" i="176"/>
  <c r="M111" i="176"/>
  <c r="K116" i="176"/>
  <c r="L116" i="176"/>
  <c r="L111" i="176"/>
  <c r="P24" i="176"/>
  <c r="P32" i="176"/>
  <c r="P37" i="176"/>
  <c r="P41" i="176"/>
  <c r="P45" i="176"/>
  <c r="P25" i="176"/>
  <c r="P38" i="176"/>
  <c r="P42" i="176"/>
  <c r="P46" i="176"/>
  <c r="P23" i="176"/>
  <c r="P27" i="176"/>
  <c r="P31" i="176"/>
  <c r="P36" i="176"/>
  <c r="P40" i="176"/>
  <c r="P44" i="176"/>
  <c r="P21" i="176"/>
  <c r="P33" i="176"/>
  <c r="P26" i="176"/>
  <c r="P39" i="176"/>
  <c r="P28" i="176"/>
  <c r="P43" i="176"/>
  <c r="P113" i="176"/>
  <c r="P115" i="176"/>
  <c r="P114" i="176"/>
  <c r="L112" i="176"/>
  <c r="M112" i="176"/>
  <c r="P20" i="176"/>
  <c r="R19" i="176"/>
  <c r="R20" i="176"/>
  <c r="N112" i="176"/>
  <c r="O111" i="176"/>
  <c r="T20" i="176"/>
  <c r="O112" i="176"/>
  <c r="N111" i="176"/>
  <c r="M116" i="176"/>
  <c r="N116" i="176"/>
  <c r="R23" i="176"/>
  <c r="R27" i="176"/>
  <c r="R28" i="176"/>
  <c r="R31" i="176"/>
  <c r="R36" i="176"/>
  <c r="R40" i="176"/>
  <c r="R44" i="176"/>
  <c r="R24" i="176"/>
  <c r="R32" i="176"/>
  <c r="R37" i="176"/>
  <c r="R41" i="176"/>
  <c r="R45" i="176"/>
  <c r="R21" i="176"/>
  <c r="R26" i="176"/>
  <c r="R33" i="176"/>
  <c r="R39" i="176"/>
  <c r="R43" i="176"/>
  <c r="R42" i="176"/>
  <c r="R46" i="176"/>
  <c r="R25" i="176"/>
  <c r="R38" i="176"/>
  <c r="R115" i="176"/>
  <c r="R114" i="176"/>
  <c r="R113" i="176"/>
  <c r="T19" i="176"/>
  <c r="Q111" i="176"/>
  <c r="P112" i="176"/>
  <c r="T21" i="176"/>
  <c r="T26" i="176"/>
  <c r="T33" i="176"/>
  <c r="T39" i="176"/>
  <c r="T43" i="176"/>
  <c r="T23" i="176"/>
  <c r="T27" i="176"/>
  <c r="T31" i="176"/>
  <c r="T36" i="176"/>
  <c r="T40" i="176"/>
  <c r="T44" i="176"/>
  <c r="T25" i="176"/>
  <c r="T38" i="176"/>
  <c r="T42" i="176"/>
  <c r="T46" i="176"/>
  <c r="T28" i="176"/>
  <c r="T24" i="176"/>
  <c r="T37" i="176"/>
  <c r="T45" i="176"/>
  <c r="T32" i="176"/>
  <c r="T114" i="176"/>
  <c r="T41" i="176"/>
  <c r="T115" i="176"/>
  <c r="T113" i="176"/>
  <c r="O116" i="176"/>
  <c r="P116" i="176"/>
  <c r="P111" i="176"/>
  <c r="U28" i="176"/>
  <c r="V59" i="176"/>
  <c r="Q112" i="176"/>
  <c r="V20" i="176"/>
  <c r="V19" i="176"/>
  <c r="S112" i="176"/>
  <c r="R111" i="176"/>
  <c r="Q116" i="176"/>
  <c r="R116" i="176"/>
  <c r="R112" i="176"/>
  <c r="V25" i="176"/>
  <c r="V28" i="176"/>
  <c r="V38" i="176"/>
  <c r="V42" i="176"/>
  <c r="V46" i="176"/>
  <c r="V21" i="176"/>
  <c r="V26" i="176"/>
  <c r="V33" i="176"/>
  <c r="V39" i="176"/>
  <c r="V43" i="176"/>
  <c r="V24" i="176"/>
  <c r="V32" i="176"/>
  <c r="V37" i="176"/>
  <c r="V41" i="176"/>
  <c r="V45" i="176"/>
  <c r="V27" i="176"/>
  <c r="V31" i="176"/>
  <c r="V40" i="176"/>
  <c r="V44" i="176"/>
  <c r="V23" i="176"/>
  <c r="V36" i="176"/>
  <c r="V113" i="176"/>
  <c r="V114" i="176"/>
  <c r="V115" i="176"/>
  <c r="S111" i="176"/>
  <c r="V93" i="176"/>
  <c r="V97" i="176"/>
  <c r="V73" i="176"/>
  <c r="U111" i="176"/>
  <c r="V96" i="176"/>
  <c r="V91" i="176"/>
  <c r="V83" i="176"/>
  <c r="V84" i="176"/>
  <c r="V72" i="176"/>
  <c r="V71" i="176"/>
  <c r="V94" i="176"/>
  <c r="V89" i="176"/>
  <c r="V81" i="176"/>
  <c r="V82" i="176"/>
  <c r="V62" i="176"/>
  <c r="U112" i="176"/>
  <c r="V57" i="176"/>
  <c r="V79" i="176"/>
  <c r="V85" i="176"/>
  <c r="V74" i="176"/>
  <c r="V58" i="176"/>
  <c r="V53" i="176"/>
  <c r="S116" i="176"/>
  <c r="T116" i="176"/>
  <c r="T111" i="176"/>
  <c r="V95" i="176"/>
  <c r="V87" i="176"/>
  <c r="V80" i="176"/>
  <c r="V60" i="176"/>
  <c r="V69" i="176"/>
  <c r="V61" i="176"/>
  <c r="V52" i="176"/>
  <c r="T112" i="176"/>
  <c r="V112" i="176"/>
  <c r="V111" i="176"/>
  <c r="U116" i="176"/>
  <c r="V116" i="176"/>
  <c r="C10" i="178"/>
  <c r="C31" i="178"/>
  <c r="D19" i="178"/>
  <c r="D20" i="178"/>
  <c r="D31" i="178"/>
  <c r="C33" i="178"/>
  <c r="D33" i="178"/>
  <c r="D23" i="178"/>
  <c r="D27" i="178"/>
  <c r="D36" i="178"/>
  <c r="D40" i="178"/>
  <c r="D44" i="178"/>
  <c r="D25" i="178"/>
  <c r="D28" i="178"/>
  <c r="D38" i="178"/>
  <c r="D42" i="178"/>
  <c r="D46" i="178"/>
  <c r="D114" i="178"/>
  <c r="D21" i="178"/>
  <c r="D39" i="178"/>
  <c r="D24" i="178"/>
  <c r="D32" i="178"/>
  <c r="D41" i="178"/>
  <c r="D113" i="178"/>
  <c r="D37" i="178"/>
  <c r="D45" i="178"/>
  <c r="D43" i="178"/>
  <c r="D26" i="178"/>
  <c r="D115" i="178"/>
  <c r="C112" i="178"/>
  <c r="C111" i="178"/>
  <c r="D112" i="178"/>
  <c r="C116" i="178"/>
  <c r="D116" i="178"/>
  <c r="D111" i="178"/>
  <c r="G10" i="178"/>
  <c r="G31" i="178"/>
  <c r="G33" i="178"/>
  <c r="H33" i="178"/>
  <c r="H31" i="178"/>
  <c r="I10" i="178"/>
  <c r="I31" i="178"/>
  <c r="I33" i="178"/>
  <c r="J31" i="178"/>
  <c r="J33" i="178"/>
  <c r="K10" i="178"/>
  <c r="K31" i="178"/>
  <c r="L31" i="178"/>
  <c r="K33" i="178"/>
  <c r="L33" i="178"/>
  <c r="M10" i="178"/>
  <c r="M31" i="178"/>
  <c r="N31" i="178"/>
  <c r="M33" i="178"/>
  <c r="N33" i="178"/>
  <c r="O10" i="178"/>
  <c r="O31" i="178"/>
  <c r="O33" i="178"/>
  <c r="P31" i="178"/>
  <c r="P33" i="178"/>
  <c r="Q10" i="178"/>
  <c r="Q31" i="178"/>
  <c r="Q33" i="178"/>
  <c r="R33" i="178"/>
  <c r="R31" i="178"/>
  <c r="S10" i="178"/>
  <c r="S31" i="178"/>
  <c r="S33" i="178"/>
  <c r="T31" i="178"/>
  <c r="T33" i="178"/>
  <c r="U10" i="178"/>
  <c r="U31" i="178"/>
  <c r="V31" i="178"/>
  <c r="U33" i="178"/>
  <c r="V33" i="178"/>
  <c r="C10" i="179"/>
  <c r="C31" i="179"/>
  <c r="C33" i="179"/>
  <c r="D19" i="179"/>
  <c r="D28" i="179"/>
  <c r="D25" i="179"/>
  <c r="D38" i="179"/>
  <c r="D42" i="179"/>
  <c r="D46" i="179"/>
  <c r="D114" i="179"/>
  <c r="D23" i="179"/>
  <c r="D27" i="179"/>
  <c r="D36" i="179"/>
  <c r="D40" i="179"/>
  <c r="D44" i="179"/>
  <c r="D37" i="179"/>
  <c r="D45" i="179"/>
  <c r="D24" i="179"/>
  <c r="D32" i="179"/>
  <c r="D41" i="179"/>
  <c r="D113" i="179"/>
  <c r="D26" i="179"/>
  <c r="D43" i="179"/>
  <c r="D115" i="179"/>
  <c r="D21" i="179"/>
  <c r="D39" i="179"/>
  <c r="D33" i="179"/>
  <c r="D20" i="179"/>
  <c r="D31" i="179"/>
  <c r="C111" i="179"/>
  <c r="C112" i="179"/>
  <c r="D111" i="179"/>
  <c r="C116" i="179"/>
  <c r="D116" i="179"/>
  <c r="D112" i="179"/>
  <c r="E10" i="179"/>
  <c r="E31" i="179"/>
  <c r="E33" i="179"/>
  <c r="E28" i="179"/>
  <c r="F93" i="179"/>
  <c r="F85" i="179"/>
  <c r="F81" i="179"/>
  <c r="F73" i="179"/>
  <c r="F62" i="179"/>
  <c r="F53" i="179"/>
  <c r="F55" i="179"/>
  <c r="F96" i="179"/>
  <c r="F91" i="179"/>
  <c r="F84" i="179"/>
  <c r="F95" i="179"/>
  <c r="F89" i="179"/>
  <c r="F83" i="179"/>
  <c r="F79" i="179"/>
  <c r="F71" i="179"/>
  <c r="F60" i="179"/>
  <c r="F57" i="179"/>
  <c r="F94" i="179"/>
  <c r="F87" i="179"/>
  <c r="F82" i="179"/>
  <c r="F52" i="179"/>
  <c r="F58" i="179"/>
  <c r="F72" i="179"/>
  <c r="F74" i="179"/>
  <c r="F69" i="179"/>
  <c r="F80" i="179"/>
  <c r="F61" i="179"/>
  <c r="F97" i="179"/>
  <c r="F59" i="179"/>
  <c r="F21" i="179"/>
  <c r="F26" i="179"/>
  <c r="F39" i="179"/>
  <c r="F43" i="179"/>
  <c r="F23" i="179"/>
  <c r="F27" i="179"/>
  <c r="F36" i="179"/>
  <c r="F40" i="179"/>
  <c r="F44" i="179"/>
  <c r="F25" i="179"/>
  <c r="F28" i="179"/>
  <c r="F38" i="179"/>
  <c r="F42" i="179"/>
  <c r="F46" i="179"/>
  <c r="F114" i="179"/>
  <c r="F32" i="179"/>
  <c r="F24" i="179"/>
  <c r="F37" i="179"/>
  <c r="F113" i="179"/>
  <c r="F45" i="179"/>
  <c r="F41" i="179"/>
  <c r="F115" i="179"/>
  <c r="F31" i="179"/>
  <c r="F20" i="179"/>
  <c r="G28" i="179"/>
  <c r="F33" i="179"/>
  <c r="F19" i="179"/>
  <c r="H55" i="179"/>
  <c r="H96" i="179"/>
  <c r="H91" i="179"/>
  <c r="H84" i="179"/>
  <c r="H80" i="179"/>
  <c r="H72" i="179"/>
  <c r="H61" i="179"/>
  <c r="H58" i="179"/>
  <c r="H52" i="179"/>
  <c r="H95" i="179"/>
  <c r="H89" i="179"/>
  <c r="H83" i="179"/>
  <c r="H94" i="179"/>
  <c r="H87" i="179"/>
  <c r="H82" i="179"/>
  <c r="H74" i="179"/>
  <c r="H69" i="179"/>
  <c r="H93" i="179"/>
  <c r="H85" i="179"/>
  <c r="H79" i="179"/>
  <c r="H71" i="179"/>
  <c r="H60" i="179"/>
  <c r="H57" i="179"/>
  <c r="H81" i="179"/>
  <c r="H73" i="179"/>
  <c r="H62" i="179"/>
  <c r="H53" i="179"/>
  <c r="H97" i="179"/>
  <c r="H59" i="179"/>
  <c r="H25" i="179"/>
  <c r="H38" i="179"/>
  <c r="H42" i="179"/>
  <c r="H46" i="179"/>
  <c r="H21" i="179"/>
  <c r="H26" i="179"/>
  <c r="H28" i="179"/>
  <c r="H39" i="179"/>
  <c r="H43" i="179"/>
  <c r="H24" i="179"/>
  <c r="H32" i="179"/>
  <c r="H37" i="179"/>
  <c r="H41" i="179"/>
  <c r="H45" i="179"/>
  <c r="H113" i="179"/>
  <c r="H27" i="179"/>
  <c r="H40" i="179"/>
  <c r="H114" i="179"/>
  <c r="H44" i="179"/>
  <c r="H23" i="179"/>
  <c r="H36" i="179"/>
  <c r="H115" i="179"/>
  <c r="H20" i="179"/>
  <c r="H19" i="179"/>
  <c r="I28" i="179"/>
  <c r="E112" i="179"/>
  <c r="E111" i="179"/>
  <c r="J95" i="179"/>
  <c r="J89" i="179"/>
  <c r="J83" i="179"/>
  <c r="J79" i="179"/>
  <c r="J71" i="179"/>
  <c r="J60" i="179"/>
  <c r="J57" i="179"/>
  <c r="J94" i="179"/>
  <c r="J87" i="179"/>
  <c r="J93" i="179"/>
  <c r="J85" i="179"/>
  <c r="J81" i="179"/>
  <c r="J73" i="179"/>
  <c r="J62" i="179"/>
  <c r="J53" i="179"/>
  <c r="J55" i="179"/>
  <c r="J96" i="179"/>
  <c r="J91" i="179"/>
  <c r="J84" i="179"/>
  <c r="J74" i="179"/>
  <c r="J69" i="179"/>
  <c r="J80" i="179"/>
  <c r="J72" i="179"/>
  <c r="J61" i="179"/>
  <c r="J52" i="179"/>
  <c r="J82" i="179"/>
  <c r="J58" i="179"/>
  <c r="J97" i="179"/>
  <c r="J59" i="179"/>
  <c r="J19" i="179"/>
  <c r="F111" i="179"/>
  <c r="E116" i="179"/>
  <c r="F116" i="179"/>
  <c r="F112" i="179"/>
  <c r="K28" i="179"/>
  <c r="G111" i="179"/>
  <c r="G112" i="179"/>
  <c r="J24" i="179"/>
  <c r="J32" i="179"/>
  <c r="J37" i="179"/>
  <c r="J41" i="179"/>
  <c r="J45" i="179"/>
  <c r="J25" i="179"/>
  <c r="J38" i="179"/>
  <c r="J42" i="179"/>
  <c r="J46" i="179"/>
  <c r="J23" i="179"/>
  <c r="J27" i="179"/>
  <c r="J28" i="179"/>
  <c r="J36" i="179"/>
  <c r="J40" i="179"/>
  <c r="J44" i="179"/>
  <c r="J115" i="179"/>
  <c r="J21" i="179"/>
  <c r="J114" i="179"/>
  <c r="J43" i="179"/>
  <c r="J113" i="179"/>
  <c r="J26" i="179"/>
  <c r="J39" i="179"/>
  <c r="J20" i="179"/>
  <c r="L19" i="179"/>
  <c r="L94" i="179"/>
  <c r="L87" i="179"/>
  <c r="L82" i="179"/>
  <c r="L74" i="179"/>
  <c r="L69" i="179"/>
  <c r="L93" i="179"/>
  <c r="L85" i="179"/>
  <c r="L55" i="179"/>
  <c r="L96" i="179"/>
  <c r="L91" i="179"/>
  <c r="L84" i="179"/>
  <c r="L80" i="179"/>
  <c r="L72" i="179"/>
  <c r="L61" i="179"/>
  <c r="L58" i="179"/>
  <c r="L52" i="179"/>
  <c r="L95" i="179"/>
  <c r="L89" i="179"/>
  <c r="L83" i="179"/>
  <c r="L57" i="179"/>
  <c r="L60" i="179"/>
  <c r="L81" i="179"/>
  <c r="L73" i="179"/>
  <c r="L62" i="179"/>
  <c r="L53" i="179"/>
  <c r="L79" i="179"/>
  <c r="L71" i="179"/>
  <c r="L97" i="179"/>
  <c r="L59" i="179"/>
  <c r="L23" i="179"/>
  <c r="L27" i="179"/>
  <c r="L36" i="179"/>
  <c r="L40" i="179"/>
  <c r="L44" i="179"/>
  <c r="L24" i="179"/>
  <c r="L28" i="179"/>
  <c r="L32" i="179"/>
  <c r="L37" i="179"/>
  <c r="L41" i="179"/>
  <c r="L45" i="179"/>
  <c r="L21" i="179"/>
  <c r="L26" i="179"/>
  <c r="L39" i="179"/>
  <c r="L43" i="179"/>
  <c r="L115" i="179"/>
  <c r="L25" i="179"/>
  <c r="L38" i="179"/>
  <c r="L42" i="179"/>
  <c r="L113" i="179"/>
  <c r="L46" i="179"/>
  <c r="L114" i="179"/>
  <c r="L20" i="179"/>
  <c r="G116" i="179"/>
  <c r="H116" i="179"/>
  <c r="H111" i="179"/>
  <c r="H112" i="179"/>
  <c r="M28" i="179"/>
  <c r="I112" i="179"/>
  <c r="I111" i="179"/>
  <c r="N19" i="179"/>
  <c r="N93" i="179"/>
  <c r="N85" i="179"/>
  <c r="N81" i="179"/>
  <c r="N73" i="179"/>
  <c r="N62" i="179"/>
  <c r="N53" i="179"/>
  <c r="N55" i="179"/>
  <c r="N96" i="179"/>
  <c r="N91" i="179"/>
  <c r="N84" i="179"/>
  <c r="N95" i="179"/>
  <c r="N89" i="179"/>
  <c r="N83" i="179"/>
  <c r="N79" i="179"/>
  <c r="N71" i="179"/>
  <c r="N60" i="179"/>
  <c r="N57" i="179"/>
  <c r="N94" i="179"/>
  <c r="N87" i="179"/>
  <c r="N82" i="179"/>
  <c r="N58" i="179"/>
  <c r="N52" i="179"/>
  <c r="N74" i="179"/>
  <c r="N69" i="179"/>
  <c r="N80" i="179"/>
  <c r="N72" i="179"/>
  <c r="N61" i="179"/>
  <c r="N97" i="179"/>
  <c r="N59" i="179"/>
  <c r="J112" i="179"/>
  <c r="J111" i="179"/>
  <c r="I116" i="179"/>
  <c r="J116" i="179"/>
  <c r="N21" i="179"/>
  <c r="N26" i="179"/>
  <c r="N39" i="179"/>
  <c r="N43" i="179"/>
  <c r="N23" i="179"/>
  <c r="N27" i="179"/>
  <c r="N36" i="179"/>
  <c r="N40" i="179"/>
  <c r="N44" i="179"/>
  <c r="N25" i="179"/>
  <c r="N28" i="179"/>
  <c r="N38" i="179"/>
  <c r="N42" i="179"/>
  <c r="N46" i="179"/>
  <c r="N114" i="179"/>
  <c r="N45" i="179"/>
  <c r="N113" i="179"/>
  <c r="N32" i="179"/>
  <c r="N115" i="179"/>
  <c r="N41" i="179"/>
  <c r="N37" i="179"/>
  <c r="N24" i="179"/>
  <c r="N20" i="179"/>
  <c r="O28" i="179"/>
  <c r="K112" i="179"/>
  <c r="K111" i="179"/>
  <c r="P55" i="179"/>
  <c r="P96" i="179"/>
  <c r="P91" i="179"/>
  <c r="P84" i="179"/>
  <c r="P80" i="179"/>
  <c r="P72" i="179"/>
  <c r="P61" i="179"/>
  <c r="P58" i="179"/>
  <c r="P52" i="179"/>
  <c r="P95" i="179"/>
  <c r="P89" i="179"/>
  <c r="P83" i="179"/>
  <c r="P94" i="179"/>
  <c r="P87" i="179"/>
  <c r="P82" i="179"/>
  <c r="P74" i="179"/>
  <c r="P69" i="179"/>
  <c r="P93" i="179"/>
  <c r="P85" i="179"/>
  <c r="P81" i="179"/>
  <c r="P73" i="179"/>
  <c r="P62" i="179"/>
  <c r="P60" i="179"/>
  <c r="P57" i="179"/>
  <c r="P53" i="179"/>
  <c r="P79" i="179"/>
  <c r="P71" i="179"/>
  <c r="P21" i="179"/>
  <c r="P97" i="179"/>
  <c r="P59" i="179"/>
  <c r="P25" i="179"/>
  <c r="P38" i="179"/>
  <c r="P42" i="179"/>
  <c r="P46" i="179"/>
  <c r="P26" i="179"/>
  <c r="P28" i="179"/>
  <c r="P39" i="179"/>
  <c r="P43" i="179"/>
  <c r="P24" i="179"/>
  <c r="P32" i="179"/>
  <c r="P37" i="179"/>
  <c r="P41" i="179"/>
  <c r="P45" i="179"/>
  <c r="P113" i="179"/>
  <c r="P23" i="179"/>
  <c r="P36" i="179"/>
  <c r="P27" i="179"/>
  <c r="P40" i="179"/>
  <c r="P114" i="179"/>
  <c r="P115" i="179"/>
  <c r="P44" i="179"/>
  <c r="P20" i="179"/>
  <c r="P19" i="179"/>
  <c r="K116" i="179"/>
  <c r="L116" i="179"/>
  <c r="L111" i="179"/>
  <c r="Q28" i="179"/>
  <c r="M112" i="179"/>
  <c r="L112" i="179"/>
  <c r="M111" i="179"/>
  <c r="R95" i="179"/>
  <c r="R89" i="179"/>
  <c r="R83" i="179"/>
  <c r="R79" i="179"/>
  <c r="R71" i="179"/>
  <c r="R60" i="179"/>
  <c r="R57" i="179"/>
  <c r="R94" i="179"/>
  <c r="R87" i="179"/>
  <c r="R82" i="179"/>
  <c r="R93" i="179"/>
  <c r="R85" i="179"/>
  <c r="R81" i="179"/>
  <c r="R73" i="179"/>
  <c r="R62" i="179"/>
  <c r="R53" i="179"/>
  <c r="R55" i="179"/>
  <c r="R96" i="179"/>
  <c r="R91" i="179"/>
  <c r="R84" i="179"/>
  <c r="R80" i="179"/>
  <c r="R72" i="179"/>
  <c r="R61" i="179"/>
  <c r="R74" i="179"/>
  <c r="R69" i="179"/>
  <c r="R58" i="179"/>
  <c r="R52" i="179"/>
  <c r="R97" i="179"/>
  <c r="R59" i="179"/>
  <c r="O111" i="179"/>
  <c r="N111" i="179"/>
  <c r="M116" i="179"/>
  <c r="N116" i="179"/>
  <c r="S28" i="179"/>
  <c r="O112" i="179"/>
  <c r="N112" i="179"/>
  <c r="R24" i="179"/>
  <c r="R32" i="179"/>
  <c r="R37" i="179"/>
  <c r="R41" i="179"/>
  <c r="R45" i="179"/>
  <c r="R25" i="179"/>
  <c r="R38" i="179"/>
  <c r="R42" i="179"/>
  <c r="R46" i="179"/>
  <c r="R23" i="179"/>
  <c r="R27" i="179"/>
  <c r="R28" i="179"/>
  <c r="R36" i="179"/>
  <c r="R40" i="179"/>
  <c r="R44" i="179"/>
  <c r="R43" i="179"/>
  <c r="R114" i="179"/>
  <c r="R113" i="179"/>
  <c r="R26" i="179"/>
  <c r="R39" i="179"/>
  <c r="R115" i="179"/>
  <c r="R21" i="179"/>
  <c r="R20" i="179"/>
  <c r="R19" i="179"/>
  <c r="T19" i="179"/>
  <c r="T94" i="179"/>
  <c r="T87" i="179"/>
  <c r="T82" i="179"/>
  <c r="T74" i="179"/>
  <c r="T69" i="179"/>
  <c r="T93" i="179"/>
  <c r="T85" i="179"/>
  <c r="T55" i="179"/>
  <c r="T96" i="179"/>
  <c r="T91" i="179"/>
  <c r="T84" i="179"/>
  <c r="T80" i="179"/>
  <c r="T72" i="179"/>
  <c r="T61" i="179"/>
  <c r="T58" i="179"/>
  <c r="T52" i="179"/>
  <c r="T95" i="179"/>
  <c r="T89" i="179"/>
  <c r="T83" i="179"/>
  <c r="T57" i="179"/>
  <c r="T53" i="179"/>
  <c r="T81" i="179"/>
  <c r="T79" i="179"/>
  <c r="T71" i="179"/>
  <c r="T60" i="179"/>
  <c r="T73" i="179"/>
  <c r="T62" i="179"/>
  <c r="T97" i="179"/>
  <c r="T59" i="179"/>
  <c r="O116" i="179"/>
  <c r="P116" i="179"/>
  <c r="P111" i="179"/>
  <c r="P112" i="179"/>
  <c r="Q111" i="179"/>
  <c r="T23" i="179"/>
  <c r="T27" i="179"/>
  <c r="T36" i="179"/>
  <c r="T40" i="179"/>
  <c r="T44" i="179"/>
  <c r="T24" i="179"/>
  <c r="T28" i="179"/>
  <c r="T32" i="179"/>
  <c r="T37" i="179"/>
  <c r="T41" i="179"/>
  <c r="T45" i="179"/>
  <c r="T21" i="179"/>
  <c r="T26" i="179"/>
  <c r="T39" i="179"/>
  <c r="T43" i="179"/>
  <c r="T115" i="179"/>
  <c r="T25" i="179"/>
  <c r="T38" i="179"/>
  <c r="T114" i="179"/>
  <c r="T46" i="179"/>
  <c r="T42" i="179"/>
  <c r="T113" i="179"/>
  <c r="T20" i="179"/>
  <c r="Q112" i="179"/>
  <c r="U28" i="179"/>
  <c r="V59" i="179"/>
  <c r="V19" i="179"/>
  <c r="R112" i="179"/>
  <c r="S111" i="179"/>
  <c r="R111" i="179"/>
  <c r="Q116" i="179"/>
  <c r="R116" i="179"/>
  <c r="V21" i="179"/>
  <c r="V26" i="179"/>
  <c r="V39" i="179"/>
  <c r="V43" i="179"/>
  <c r="V23" i="179"/>
  <c r="V27" i="179"/>
  <c r="V36" i="179"/>
  <c r="V40" i="179"/>
  <c r="V44" i="179"/>
  <c r="V25" i="179"/>
  <c r="V28" i="179"/>
  <c r="V38" i="179"/>
  <c r="V42" i="179"/>
  <c r="V46" i="179"/>
  <c r="V114" i="179"/>
  <c r="V41" i="179"/>
  <c r="V115" i="179"/>
  <c r="V45" i="179"/>
  <c r="V24" i="179"/>
  <c r="V37" i="179"/>
  <c r="V113" i="179"/>
  <c r="V32" i="179"/>
  <c r="V20" i="179"/>
  <c r="S112" i="179"/>
  <c r="V94" i="179"/>
  <c r="V84" i="179"/>
  <c r="V96" i="179"/>
  <c r="V80" i="179"/>
  <c r="V55" i="179"/>
  <c r="V87" i="179"/>
  <c r="V71" i="179"/>
  <c r="V53" i="179"/>
  <c r="T112" i="179"/>
  <c r="V83" i="179"/>
  <c r="V89" i="179"/>
  <c r="V73" i="179"/>
  <c r="U111" i="179"/>
  <c r="V85" i="179"/>
  <c r="V69" i="179"/>
  <c r="V74" i="179"/>
  <c r="V61" i="179"/>
  <c r="V62" i="179"/>
  <c r="U112" i="179"/>
  <c r="V57" i="179"/>
  <c r="V97" i="179"/>
  <c r="V81" i="179"/>
  <c r="V93" i="179"/>
  <c r="V82" i="179"/>
  <c r="V60" i="179"/>
  <c r="V52" i="179"/>
  <c r="V91" i="179"/>
  <c r="V72" i="179"/>
  <c r="V95" i="179"/>
  <c r="V79" i="179"/>
  <c r="V58" i="179"/>
  <c r="S116" i="179"/>
  <c r="T116" i="179"/>
  <c r="T111" i="179"/>
  <c r="V111" i="179"/>
  <c r="U116" i="179"/>
  <c r="V116" i="179"/>
  <c r="V112" i="179"/>
  <c r="G10" i="179"/>
  <c r="G31" i="179"/>
  <c r="H31" i="179"/>
  <c r="G33" i="179"/>
  <c r="I10" i="179"/>
  <c r="I31" i="179"/>
  <c r="J31" i="179"/>
  <c r="H33" i="179"/>
  <c r="I33" i="179"/>
  <c r="J33" i="179"/>
  <c r="K10" i="179"/>
  <c r="K31" i="179"/>
  <c r="L31" i="179"/>
  <c r="M10" i="179"/>
  <c r="M31" i="179"/>
  <c r="M33" i="179"/>
  <c r="K33" i="179"/>
  <c r="L33" i="179"/>
  <c r="N31" i="179"/>
  <c r="N33" i="179"/>
  <c r="O10" i="179"/>
  <c r="O31" i="179"/>
  <c r="P31" i="179"/>
  <c r="O33" i="179"/>
  <c r="P33" i="179"/>
  <c r="Q10" i="179"/>
  <c r="Q31" i="179"/>
  <c r="R31" i="179"/>
  <c r="Q33" i="179"/>
  <c r="R33" i="179"/>
  <c r="S10" i="179"/>
  <c r="S31" i="179"/>
  <c r="T31" i="179"/>
  <c r="S33" i="179"/>
  <c r="T33" i="179"/>
  <c r="U10" i="179"/>
  <c r="U31" i="179"/>
  <c r="U33" i="179"/>
  <c r="V31" i="179"/>
  <c r="V33" i="179"/>
  <c r="C10" i="180"/>
  <c r="D21" i="180"/>
  <c r="C31" i="180"/>
  <c r="C111" i="180"/>
  <c r="D114" i="180"/>
  <c r="D41" i="180"/>
  <c r="D113" i="180"/>
  <c r="D39" i="180"/>
  <c r="D111" i="180"/>
  <c r="D45" i="180"/>
  <c r="D37" i="180"/>
  <c r="D23" i="180"/>
  <c r="D115" i="180"/>
  <c r="D43" i="180"/>
  <c r="D32" i="180"/>
  <c r="C112" i="180"/>
  <c r="D31" i="180"/>
  <c r="C33" i="180"/>
  <c r="D20" i="180"/>
  <c r="D26" i="180"/>
  <c r="D27" i="180"/>
  <c r="D28" i="180"/>
  <c r="D36" i="180"/>
  <c r="D38" i="180"/>
  <c r="D40" i="180"/>
  <c r="D42" i="180"/>
  <c r="D44" i="180"/>
  <c r="D46" i="180"/>
  <c r="D24" i="180"/>
  <c r="D25" i="180"/>
  <c r="D19" i="180"/>
  <c r="D33" i="180"/>
  <c r="D112" i="180"/>
  <c r="C116" i="180"/>
  <c r="D116" i="180"/>
  <c r="E31" i="180"/>
  <c r="E33" i="180"/>
  <c r="F19" i="180"/>
  <c r="F21" i="180"/>
  <c r="F26" i="180"/>
  <c r="F39" i="180"/>
  <c r="F43" i="180"/>
  <c r="F24" i="180"/>
  <c r="F27" i="180"/>
  <c r="F28" i="180"/>
  <c r="F42" i="180"/>
  <c r="F45" i="180"/>
  <c r="F46" i="180"/>
  <c r="F114" i="180"/>
  <c r="F25" i="180"/>
  <c r="F32" i="180"/>
  <c r="F37" i="180"/>
  <c r="F41" i="180"/>
  <c r="F115" i="180"/>
  <c r="F23" i="180"/>
  <c r="F31" i="180"/>
  <c r="F113" i="180"/>
  <c r="F40" i="180"/>
  <c r="F36" i="180"/>
  <c r="F44" i="180"/>
  <c r="F20" i="180"/>
  <c r="F38" i="180"/>
  <c r="F33" i="180"/>
  <c r="H19" i="180"/>
  <c r="E112" i="180"/>
  <c r="H25" i="180"/>
  <c r="H38" i="180"/>
  <c r="H42" i="180"/>
  <c r="H32" i="180"/>
  <c r="H36" i="180"/>
  <c r="H39" i="180"/>
  <c r="H113" i="180"/>
  <c r="H28" i="180"/>
  <c r="H40" i="180"/>
  <c r="H44" i="180"/>
  <c r="H26" i="180"/>
  <c r="H27" i="180"/>
  <c r="H37" i="180"/>
  <c r="H24" i="180"/>
  <c r="H43" i="180"/>
  <c r="H41" i="180"/>
  <c r="H23" i="180"/>
  <c r="H46" i="180"/>
  <c r="H114" i="180"/>
  <c r="H45" i="180"/>
  <c r="H115" i="180"/>
  <c r="H21" i="180"/>
  <c r="H20" i="180"/>
  <c r="E111" i="180"/>
  <c r="J19" i="180"/>
  <c r="F111" i="180"/>
  <c r="E116" i="180"/>
  <c r="F116" i="180"/>
  <c r="L19" i="180"/>
  <c r="J24" i="180"/>
  <c r="J32" i="180"/>
  <c r="J37" i="180"/>
  <c r="J41" i="180"/>
  <c r="J45" i="180"/>
  <c r="J21" i="180"/>
  <c r="J25" i="180"/>
  <c r="J40" i="180"/>
  <c r="J43" i="180"/>
  <c r="J36" i="180"/>
  <c r="J46" i="180"/>
  <c r="J113" i="180"/>
  <c r="J44" i="180"/>
  <c r="J23" i="180"/>
  <c r="J26" i="180"/>
  <c r="J38" i="180"/>
  <c r="J114" i="180"/>
  <c r="J28" i="180"/>
  <c r="J27" i="180"/>
  <c r="J39" i="180"/>
  <c r="J115" i="180"/>
  <c r="J42" i="180"/>
  <c r="J20" i="180"/>
  <c r="G112" i="180"/>
  <c r="G111" i="180"/>
  <c r="F112" i="180"/>
  <c r="L23" i="180"/>
  <c r="L27" i="180"/>
  <c r="L36" i="180"/>
  <c r="L40" i="180"/>
  <c r="L44" i="180"/>
  <c r="L26" i="180"/>
  <c r="L28" i="180"/>
  <c r="L37" i="180"/>
  <c r="L115" i="180"/>
  <c r="L24" i="180"/>
  <c r="L39" i="180"/>
  <c r="L43" i="180"/>
  <c r="L114" i="180"/>
  <c r="L32" i="180"/>
  <c r="L38" i="180"/>
  <c r="L21" i="180"/>
  <c r="L25" i="180"/>
  <c r="L41" i="180"/>
  <c r="L46" i="180"/>
  <c r="L45" i="180"/>
  <c r="L42" i="180"/>
  <c r="L113" i="180"/>
  <c r="L20" i="180"/>
  <c r="N19" i="180"/>
  <c r="G116" i="180"/>
  <c r="H116" i="180"/>
  <c r="H111" i="180"/>
  <c r="H112" i="180"/>
  <c r="I112" i="180"/>
  <c r="I111" i="180"/>
  <c r="J112" i="180"/>
  <c r="N21" i="180"/>
  <c r="N26" i="180"/>
  <c r="N39" i="180"/>
  <c r="N43" i="180"/>
  <c r="N23" i="180"/>
  <c r="N38" i="180"/>
  <c r="N41" i="180"/>
  <c r="N44" i="180"/>
  <c r="N46" i="180"/>
  <c r="N114" i="180"/>
  <c r="N27" i="180"/>
  <c r="N28" i="180"/>
  <c r="N42" i="180"/>
  <c r="N36" i="180"/>
  <c r="N37" i="180"/>
  <c r="N115" i="180"/>
  <c r="N45" i="180"/>
  <c r="N113" i="180"/>
  <c r="N25" i="180"/>
  <c r="N32" i="180"/>
  <c r="N40" i="180"/>
  <c r="N24" i="180"/>
  <c r="N20" i="180"/>
  <c r="J111" i="180"/>
  <c r="I116" i="180"/>
  <c r="J116" i="180"/>
  <c r="K112" i="180"/>
  <c r="K111" i="180"/>
  <c r="M111" i="180"/>
  <c r="P25" i="180"/>
  <c r="P38" i="180"/>
  <c r="P42" i="180"/>
  <c r="P24" i="180"/>
  <c r="P27" i="180"/>
  <c r="P45" i="180"/>
  <c r="P113" i="180"/>
  <c r="P23" i="180"/>
  <c r="P115" i="180"/>
  <c r="P28" i="180"/>
  <c r="P39" i="180"/>
  <c r="P40" i="180"/>
  <c r="P41" i="180"/>
  <c r="P46" i="180"/>
  <c r="P26" i="180"/>
  <c r="P114" i="180"/>
  <c r="P21" i="180"/>
  <c r="P37" i="180"/>
  <c r="P44" i="180"/>
  <c r="P43" i="180"/>
  <c r="P32" i="180"/>
  <c r="P36" i="180"/>
  <c r="P20" i="180"/>
  <c r="M112" i="180"/>
  <c r="K116" i="180"/>
  <c r="L116" i="180"/>
  <c r="L111" i="180"/>
  <c r="L112" i="180"/>
  <c r="P19" i="180"/>
  <c r="R19" i="180"/>
  <c r="R24" i="180"/>
  <c r="R32" i="180"/>
  <c r="R37" i="180"/>
  <c r="R41" i="180"/>
  <c r="R36" i="180"/>
  <c r="R39" i="180"/>
  <c r="R42" i="180"/>
  <c r="R21" i="180"/>
  <c r="R26" i="180"/>
  <c r="R38" i="180"/>
  <c r="R45" i="180"/>
  <c r="R43" i="180"/>
  <c r="R44" i="180"/>
  <c r="R114" i="180"/>
  <c r="R23" i="180"/>
  <c r="R28" i="180"/>
  <c r="R46" i="180"/>
  <c r="R115" i="180"/>
  <c r="R113" i="180"/>
  <c r="R25" i="180"/>
  <c r="R40" i="180"/>
  <c r="R27" i="180"/>
  <c r="R20" i="180"/>
  <c r="N111" i="180"/>
  <c r="M116" i="180"/>
  <c r="N116" i="180"/>
  <c r="O112" i="180"/>
  <c r="N112" i="180"/>
  <c r="O111" i="180"/>
  <c r="T23" i="180"/>
  <c r="T27" i="180"/>
  <c r="T36" i="180"/>
  <c r="T40" i="180"/>
  <c r="T44" i="180"/>
  <c r="T21" i="180"/>
  <c r="T25" i="180"/>
  <c r="T32" i="180"/>
  <c r="T43" i="180"/>
  <c r="T115" i="180"/>
  <c r="T37" i="180"/>
  <c r="T41" i="180"/>
  <c r="T46" i="180"/>
  <c r="T113" i="180"/>
  <c r="T42" i="180"/>
  <c r="T45" i="180"/>
  <c r="T38" i="180"/>
  <c r="T26" i="180"/>
  <c r="T28" i="180"/>
  <c r="T114" i="180"/>
  <c r="T39" i="180"/>
  <c r="T24" i="180"/>
  <c r="T20" i="180"/>
  <c r="O116" i="180"/>
  <c r="P116" i="180"/>
  <c r="P111" i="180"/>
  <c r="Q112" i="180"/>
  <c r="T19" i="180"/>
  <c r="P112" i="180"/>
  <c r="Q111" i="180"/>
  <c r="S112" i="180"/>
  <c r="R111" i="180"/>
  <c r="Q116" i="180"/>
  <c r="R116" i="180"/>
  <c r="R112" i="180"/>
  <c r="S111" i="180"/>
  <c r="S116" i="180"/>
  <c r="T116" i="180"/>
  <c r="T111" i="180"/>
  <c r="T112" i="180"/>
  <c r="G31" i="180"/>
  <c r="H31" i="180"/>
  <c r="G33" i="180"/>
  <c r="H33" i="180"/>
  <c r="I31" i="180"/>
  <c r="J31" i="180"/>
  <c r="I33" i="180"/>
  <c r="J33" i="180"/>
  <c r="K31" i="180"/>
  <c r="L31" i="180"/>
  <c r="K33" i="180"/>
  <c r="L33" i="180"/>
  <c r="M31" i="180"/>
  <c r="M33" i="180"/>
  <c r="N31" i="180"/>
  <c r="N33" i="180"/>
  <c r="O31" i="180"/>
  <c r="O33" i="180"/>
  <c r="P31" i="180"/>
  <c r="P33" i="180"/>
  <c r="Q31" i="180"/>
  <c r="Q33" i="180"/>
  <c r="R31" i="180"/>
  <c r="R33" i="180"/>
  <c r="S31" i="180"/>
  <c r="T31" i="180"/>
  <c r="S33" i="180"/>
  <c r="T33" i="180"/>
  <c r="C31" i="181"/>
  <c r="E31" i="181"/>
  <c r="G31" i="181"/>
  <c r="G33" i="181"/>
  <c r="I31" i="181"/>
  <c r="I33" i="181"/>
  <c r="K31" i="181"/>
  <c r="M31" i="181"/>
  <c r="M33" i="181"/>
  <c r="O31" i="181"/>
  <c r="O33" i="181"/>
  <c r="Q31" i="181"/>
  <c r="S31" i="181"/>
  <c r="S33" i="181"/>
  <c r="U31" i="181"/>
  <c r="C33" i="181"/>
  <c r="D19" i="181"/>
  <c r="K33" i="181"/>
  <c r="U33" i="181"/>
  <c r="E33" i="181"/>
  <c r="D33" i="181"/>
  <c r="Q33" i="181"/>
  <c r="E28" i="181"/>
  <c r="D21" i="181"/>
  <c r="D23" i="181"/>
  <c r="D39" i="181"/>
  <c r="D40" i="181"/>
  <c r="D37" i="181"/>
  <c r="D38" i="181"/>
  <c r="D45" i="181"/>
  <c r="D46" i="181"/>
  <c r="D24" i="181"/>
  <c r="D25" i="181"/>
  <c r="D32" i="181"/>
  <c r="D41" i="181"/>
  <c r="D42" i="181"/>
  <c r="D43" i="181"/>
  <c r="D115" i="181"/>
  <c r="D27" i="181"/>
  <c r="D113" i="181"/>
  <c r="D114" i="181"/>
  <c r="D20" i="181"/>
  <c r="D26" i="181"/>
  <c r="D28" i="181"/>
  <c r="D36" i="181"/>
  <c r="D44" i="181"/>
  <c r="D31" i="181"/>
  <c r="F33" i="181"/>
  <c r="F96" i="181"/>
  <c r="F91" i="181"/>
  <c r="F84" i="181"/>
  <c r="F80" i="181"/>
  <c r="F72" i="181"/>
  <c r="F61" i="181"/>
  <c r="F52" i="181"/>
  <c r="F97" i="181"/>
  <c r="F95" i="181"/>
  <c r="F89" i="181"/>
  <c r="F83" i="181"/>
  <c r="F79" i="181"/>
  <c r="F71" i="181"/>
  <c r="F60" i="181"/>
  <c r="F58" i="181"/>
  <c r="F94" i="181"/>
  <c r="F87" i="181"/>
  <c r="F82" i="181"/>
  <c r="F74" i="181"/>
  <c r="F69" i="181"/>
  <c r="F57" i="181"/>
  <c r="F93" i="181"/>
  <c r="F85" i="181"/>
  <c r="F81" i="181"/>
  <c r="F73" i="181"/>
  <c r="F62" i="181"/>
  <c r="F53" i="181"/>
  <c r="F59" i="181"/>
  <c r="F23" i="181"/>
  <c r="F25" i="181"/>
  <c r="F27" i="181"/>
  <c r="F28" i="181"/>
  <c r="F36" i="181"/>
  <c r="F38" i="181"/>
  <c r="F40" i="181"/>
  <c r="F42" i="181"/>
  <c r="F44" i="181"/>
  <c r="F46" i="181"/>
  <c r="F114" i="181"/>
  <c r="F24" i="181"/>
  <c r="F32" i="181"/>
  <c r="F41" i="181"/>
  <c r="F113" i="181"/>
  <c r="F21" i="181"/>
  <c r="F39" i="181"/>
  <c r="F26" i="181"/>
  <c r="F43" i="181"/>
  <c r="F45" i="181"/>
  <c r="F37" i="181"/>
  <c r="F115" i="181"/>
  <c r="F31" i="181"/>
  <c r="F20" i="181"/>
  <c r="G28" i="181"/>
  <c r="C112" i="181"/>
  <c r="C111" i="181"/>
  <c r="F19" i="181"/>
  <c r="H96" i="181"/>
  <c r="H95" i="181"/>
  <c r="H94" i="181"/>
  <c r="H93" i="181"/>
  <c r="H91" i="181"/>
  <c r="H89" i="181"/>
  <c r="H87" i="181"/>
  <c r="H85" i="181"/>
  <c r="H84" i="181"/>
  <c r="H83" i="181"/>
  <c r="H82" i="181"/>
  <c r="H81" i="181"/>
  <c r="H80" i="181"/>
  <c r="H79" i="181"/>
  <c r="H74" i="181"/>
  <c r="H73" i="181"/>
  <c r="H72" i="181"/>
  <c r="H71" i="181"/>
  <c r="H69" i="181"/>
  <c r="H62" i="181"/>
  <c r="H61" i="181"/>
  <c r="H60" i="181"/>
  <c r="H97" i="181"/>
  <c r="H53" i="181"/>
  <c r="H58" i="181"/>
  <c r="H52" i="181"/>
  <c r="H57" i="181"/>
  <c r="H59" i="181"/>
  <c r="H19" i="181"/>
  <c r="E111" i="181"/>
  <c r="D112" i="181"/>
  <c r="H25" i="181"/>
  <c r="H26" i="181"/>
  <c r="H42" i="181"/>
  <c r="H43" i="181"/>
  <c r="H114" i="181"/>
  <c r="H115" i="181"/>
  <c r="H23" i="181"/>
  <c r="H24" i="181"/>
  <c r="H28" i="181"/>
  <c r="H32" i="181"/>
  <c r="H40" i="181"/>
  <c r="H41" i="181"/>
  <c r="H113" i="181"/>
  <c r="H27" i="181"/>
  <c r="H36" i="181"/>
  <c r="H37" i="181"/>
  <c r="H44" i="181"/>
  <c r="H45" i="181"/>
  <c r="H21" i="181"/>
  <c r="H39" i="181"/>
  <c r="H38" i="181"/>
  <c r="H46" i="181"/>
  <c r="H31" i="181"/>
  <c r="H33" i="181"/>
  <c r="H20" i="181"/>
  <c r="C116" i="181"/>
  <c r="D116" i="181"/>
  <c r="D111" i="181"/>
  <c r="I28" i="181"/>
  <c r="E112" i="181"/>
  <c r="J97" i="181"/>
  <c r="J93" i="181"/>
  <c r="J85" i="181"/>
  <c r="J81" i="181"/>
  <c r="J73" i="181"/>
  <c r="J62" i="181"/>
  <c r="J96" i="181"/>
  <c r="J91" i="181"/>
  <c r="J84" i="181"/>
  <c r="J80" i="181"/>
  <c r="J72" i="181"/>
  <c r="J61" i="181"/>
  <c r="J58" i="181"/>
  <c r="J52" i="181"/>
  <c r="J95" i="181"/>
  <c r="J89" i="181"/>
  <c r="J83" i="181"/>
  <c r="J79" i="181"/>
  <c r="J71" i="181"/>
  <c r="J60" i="181"/>
  <c r="J57" i="181"/>
  <c r="J94" i="181"/>
  <c r="J87" i="181"/>
  <c r="J82" i="181"/>
  <c r="J74" i="181"/>
  <c r="J69" i="181"/>
  <c r="J53" i="181"/>
  <c r="J59" i="181"/>
  <c r="J19" i="181"/>
  <c r="F112" i="181"/>
  <c r="J21" i="181"/>
  <c r="J24" i="181"/>
  <c r="J26" i="181"/>
  <c r="J28" i="181"/>
  <c r="J32" i="181"/>
  <c r="J37" i="181"/>
  <c r="J39" i="181"/>
  <c r="J41" i="181"/>
  <c r="J43" i="181"/>
  <c r="J45" i="181"/>
  <c r="J113" i="181"/>
  <c r="J115" i="181"/>
  <c r="J27" i="181"/>
  <c r="J36" i="181"/>
  <c r="J44" i="181"/>
  <c r="J25" i="181"/>
  <c r="J42" i="181"/>
  <c r="J114" i="181"/>
  <c r="J38" i="181"/>
  <c r="J46" i="181"/>
  <c r="J40" i="181"/>
  <c r="J23" i="181"/>
  <c r="J33" i="181"/>
  <c r="J31" i="181"/>
  <c r="J20" i="181"/>
  <c r="F111" i="181"/>
  <c r="E116" i="181"/>
  <c r="F116" i="181"/>
  <c r="G112" i="181"/>
  <c r="K28" i="181"/>
  <c r="G111" i="181"/>
  <c r="L97" i="181"/>
  <c r="L58" i="181"/>
  <c r="L57" i="181"/>
  <c r="L53" i="181"/>
  <c r="L96" i="181"/>
  <c r="L91" i="181"/>
  <c r="L84" i="181"/>
  <c r="L80" i="181"/>
  <c r="L72" i="181"/>
  <c r="L61" i="181"/>
  <c r="L52" i="181"/>
  <c r="L95" i="181"/>
  <c r="L89" i="181"/>
  <c r="L83" i="181"/>
  <c r="L79" i="181"/>
  <c r="L71" i="181"/>
  <c r="L60" i="181"/>
  <c r="L94" i="181"/>
  <c r="L87" i="181"/>
  <c r="L82" i="181"/>
  <c r="L74" i="181"/>
  <c r="L69" i="181"/>
  <c r="L93" i="181"/>
  <c r="L85" i="181"/>
  <c r="L81" i="181"/>
  <c r="L73" i="181"/>
  <c r="L62" i="181"/>
  <c r="L59" i="181"/>
  <c r="L19" i="181"/>
  <c r="H112" i="181"/>
  <c r="M28" i="181"/>
  <c r="H111" i="181"/>
  <c r="G116" i="181"/>
  <c r="H116" i="181"/>
  <c r="I111" i="181"/>
  <c r="I112" i="181"/>
  <c r="L28" i="181"/>
  <c r="L37" i="181"/>
  <c r="L38" i="181"/>
  <c r="L45" i="181"/>
  <c r="L46" i="181"/>
  <c r="L26" i="181"/>
  <c r="L27" i="181"/>
  <c r="L36" i="181"/>
  <c r="L43" i="181"/>
  <c r="L44" i="181"/>
  <c r="L115" i="181"/>
  <c r="L21" i="181"/>
  <c r="L23" i="181"/>
  <c r="L39" i="181"/>
  <c r="L40" i="181"/>
  <c r="L24" i="181"/>
  <c r="L41" i="181"/>
  <c r="L42" i="181"/>
  <c r="L25" i="181"/>
  <c r="L113" i="181"/>
  <c r="L114" i="181"/>
  <c r="L32" i="181"/>
  <c r="L31" i="181"/>
  <c r="L33" i="181"/>
  <c r="L20" i="181"/>
  <c r="N58" i="181"/>
  <c r="N57" i="181"/>
  <c r="N53" i="181"/>
  <c r="N52" i="181"/>
  <c r="N96" i="181"/>
  <c r="N95" i="181"/>
  <c r="N94" i="181"/>
  <c r="N93" i="181"/>
  <c r="N91" i="181"/>
  <c r="N89" i="181"/>
  <c r="N87" i="181"/>
  <c r="N85" i="181"/>
  <c r="N84" i="181"/>
  <c r="N83" i="181"/>
  <c r="N82" i="181"/>
  <c r="N81" i="181"/>
  <c r="N80" i="181"/>
  <c r="N79" i="181"/>
  <c r="N74" i="181"/>
  <c r="N73" i="181"/>
  <c r="N72" i="181"/>
  <c r="N71" i="181"/>
  <c r="N69" i="181"/>
  <c r="N62" i="181"/>
  <c r="N61" i="181"/>
  <c r="N60" i="181"/>
  <c r="N97" i="181"/>
  <c r="N59" i="181"/>
  <c r="N19" i="181"/>
  <c r="J112" i="181"/>
  <c r="K111" i="181"/>
  <c r="K112" i="181"/>
  <c r="O28" i="181"/>
  <c r="P19" i="181"/>
  <c r="J111" i="181"/>
  <c r="I116" i="181"/>
  <c r="J116" i="181"/>
  <c r="N23" i="181"/>
  <c r="N25" i="181"/>
  <c r="N27" i="181"/>
  <c r="N28" i="181"/>
  <c r="N36" i="181"/>
  <c r="N38" i="181"/>
  <c r="N40" i="181"/>
  <c r="N42" i="181"/>
  <c r="N44" i="181"/>
  <c r="N46" i="181"/>
  <c r="N114" i="181"/>
  <c r="N21" i="181"/>
  <c r="N39" i="181"/>
  <c r="N37" i="181"/>
  <c r="N45" i="181"/>
  <c r="N24" i="181"/>
  <c r="N32" i="181"/>
  <c r="N41" i="181"/>
  <c r="N26" i="181"/>
  <c r="N43" i="181"/>
  <c r="N113" i="181"/>
  <c r="N115" i="181"/>
  <c r="N33" i="181"/>
  <c r="N31" i="181"/>
  <c r="N20" i="181"/>
  <c r="P96" i="181"/>
  <c r="P95" i="181"/>
  <c r="P94" i="181"/>
  <c r="P93" i="181"/>
  <c r="P91" i="181"/>
  <c r="P89" i="181"/>
  <c r="P87" i="181"/>
  <c r="P85" i="181"/>
  <c r="P84" i="181"/>
  <c r="P83" i="181"/>
  <c r="P82" i="181"/>
  <c r="P81" i="181"/>
  <c r="P80" i="181"/>
  <c r="P79" i="181"/>
  <c r="P74" i="181"/>
  <c r="P73" i="181"/>
  <c r="P72" i="181"/>
  <c r="P71" i="181"/>
  <c r="P69" i="181"/>
  <c r="P62" i="181"/>
  <c r="P61" i="181"/>
  <c r="P60" i="181"/>
  <c r="P97" i="181"/>
  <c r="P58" i="181"/>
  <c r="P57" i="181"/>
  <c r="P53" i="181"/>
  <c r="P52" i="181"/>
  <c r="P59" i="181"/>
  <c r="L111" i="181"/>
  <c r="K116" i="181"/>
  <c r="L116" i="181"/>
  <c r="M111" i="181"/>
  <c r="M112" i="181"/>
  <c r="P23" i="181"/>
  <c r="P24" i="181"/>
  <c r="P32" i="181"/>
  <c r="P40" i="181"/>
  <c r="P41" i="181"/>
  <c r="P113" i="181"/>
  <c r="P21" i="181"/>
  <c r="P38" i="181"/>
  <c r="P39" i="181"/>
  <c r="P46" i="181"/>
  <c r="P25" i="181"/>
  <c r="P26" i="181"/>
  <c r="P28" i="181"/>
  <c r="P42" i="181"/>
  <c r="P43" i="181"/>
  <c r="P36" i="181"/>
  <c r="P45" i="181"/>
  <c r="P44" i="181"/>
  <c r="P114" i="181"/>
  <c r="P115" i="181"/>
  <c r="P27" i="181"/>
  <c r="P31" i="181"/>
  <c r="P37" i="181"/>
  <c r="P33" i="181"/>
  <c r="P20" i="181"/>
  <c r="L112" i="181"/>
  <c r="Q28" i="181"/>
  <c r="R95" i="181"/>
  <c r="R89" i="181"/>
  <c r="R83" i="181"/>
  <c r="R79" i="181"/>
  <c r="R71" i="181"/>
  <c r="R60" i="181"/>
  <c r="R57" i="181"/>
  <c r="R94" i="181"/>
  <c r="R87" i="181"/>
  <c r="R82" i="181"/>
  <c r="R74" i="181"/>
  <c r="R69" i="181"/>
  <c r="R53" i="181"/>
  <c r="R97" i="181"/>
  <c r="R93" i="181"/>
  <c r="R85" i="181"/>
  <c r="R81" i="181"/>
  <c r="R73" i="181"/>
  <c r="R62" i="181"/>
  <c r="R52" i="181"/>
  <c r="R96" i="181"/>
  <c r="R91" i="181"/>
  <c r="R84" i="181"/>
  <c r="R80" i="181"/>
  <c r="R72" i="181"/>
  <c r="R61" i="181"/>
  <c r="R58" i="181"/>
  <c r="R59" i="181"/>
  <c r="R19" i="181"/>
  <c r="O112" i="181"/>
  <c r="R21" i="181"/>
  <c r="R24" i="181"/>
  <c r="R26" i="181"/>
  <c r="R28" i="181"/>
  <c r="R32" i="181"/>
  <c r="R37" i="181"/>
  <c r="R39" i="181"/>
  <c r="R41" i="181"/>
  <c r="R43" i="181"/>
  <c r="R45" i="181"/>
  <c r="R113" i="181"/>
  <c r="R115" i="181"/>
  <c r="R25" i="181"/>
  <c r="R42" i="181"/>
  <c r="R114" i="181"/>
  <c r="R23" i="181"/>
  <c r="R40" i="181"/>
  <c r="R27" i="181"/>
  <c r="R36" i="181"/>
  <c r="R44" i="181"/>
  <c r="R38" i="181"/>
  <c r="R46" i="181"/>
  <c r="R31" i="181"/>
  <c r="R33" i="181"/>
  <c r="R20" i="181"/>
  <c r="O111" i="181"/>
  <c r="N112" i="181"/>
  <c r="N111" i="181"/>
  <c r="M116" i="181"/>
  <c r="N116" i="181"/>
  <c r="S28" i="181"/>
  <c r="T97" i="181"/>
  <c r="T58" i="181"/>
  <c r="T57" i="181"/>
  <c r="T53" i="181"/>
  <c r="T52" i="181"/>
  <c r="T94" i="181"/>
  <c r="T87" i="181"/>
  <c r="T82" i="181"/>
  <c r="T74" i="181"/>
  <c r="T69" i="181"/>
  <c r="T93" i="181"/>
  <c r="T85" i="181"/>
  <c r="T81" i="181"/>
  <c r="T73" i="181"/>
  <c r="T62" i="181"/>
  <c r="T96" i="181"/>
  <c r="T91" i="181"/>
  <c r="T84" i="181"/>
  <c r="T80" i="181"/>
  <c r="T72" i="181"/>
  <c r="T61" i="181"/>
  <c r="T95" i="181"/>
  <c r="T89" i="181"/>
  <c r="T83" i="181"/>
  <c r="T79" i="181"/>
  <c r="T71" i="181"/>
  <c r="T60" i="181"/>
  <c r="T59" i="181"/>
  <c r="O116" i="181"/>
  <c r="P116" i="181"/>
  <c r="P111" i="181"/>
  <c r="U28" i="181"/>
  <c r="V59" i="181"/>
  <c r="T26" i="181"/>
  <c r="T27" i="181"/>
  <c r="T36" i="181"/>
  <c r="T43" i="181"/>
  <c r="T44" i="181"/>
  <c r="T115" i="181"/>
  <c r="T24" i="181"/>
  <c r="T25" i="181"/>
  <c r="T32" i="181"/>
  <c r="T41" i="181"/>
  <c r="T42" i="181"/>
  <c r="T113" i="181"/>
  <c r="T114" i="181"/>
  <c r="T37" i="181"/>
  <c r="T38" i="181"/>
  <c r="T45" i="181"/>
  <c r="T46" i="181"/>
  <c r="T40" i="181"/>
  <c r="T21" i="181"/>
  <c r="T23" i="181"/>
  <c r="T39" i="181"/>
  <c r="T28" i="181"/>
  <c r="T31" i="181"/>
  <c r="T33" i="181"/>
  <c r="T20" i="181"/>
  <c r="Q111" i="181"/>
  <c r="T19" i="181"/>
  <c r="Q112" i="181"/>
  <c r="P112" i="181"/>
  <c r="V19" i="181"/>
  <c r="R111" i="181"/>
  <c r="Q116" i="181"/>
  <c r="R116" i="181"/>
  <c r="V23" i="181"/>
  <c r="V25" i="181"/>
  <c r="V27" i="181"/>
  <c r="V28" i="181"/>
  <c r="V36" i="181"/>
  <c r="V38" i="181"/>
  <c r="V40" i="181"/>
  <c r="V42" i="181"/>
  <c r="V44" i="181"/>
  <c r="V46" i="181"/>
  <c r="V114" i="181"/>
  <c r="V37" i="181"/>
  <c r="V45" i="181"/>
  <c r="V26" i="181"/>
  <c r="V43" i="181"/>
  <c r="V115" i="181"/>
  <c r="V21" i="181"/>
  <c r="V39" i="181"/>
  <c r="V113" i="181"/>
  <c r="V24" i="181"/>
  <c r="V32" i="181"/>
  <c r="V41" i="181"/>
  <c r="V31" i="181"/>
  <c r="V33" i="181"/>
  <c r="V20" i="181"/>
  <c r="R112" i="181"/>
  <c r="S112" i="181"/>
  <c r="S111" i="181"/>
  <c r="T112" i="181"/>
  <c r="V72" i="181"/>
  <c r="V96" i="181"/>
  <c r="V83" i="181"/>
  <c r="V97" i="181"/>
  <c r="V81" i="181"/>
  <c r="V82" i="181"/>
  <c r="T111" i="181"/>
  <c r="S116" i="181"/>
  <c r="T116" i="181"/>
  <c r="V52" i="181"/>
  <c r="V60" i="181"/>
  <c r="V80" i="181"/>
  <c r="V95" i="181"/>
  <c r="V79" i="181"/>
  <c r="V93" i="181"/>
  <c r="V61" i="181"/>
  <c r="V94" i="181"/>
  <c r="V62" i="181"/>
  <c r="U112" i="181"/>
  <c r="V84" i="181"/>
  <c r="V87" i="181"/>
  <c r="V71" i="181"/>
  <c r="V85" i="181"/>
  <c r="V69" i="181"/>
  <c r="V53" i="181"/>
  <c r="V91" i="181"/>
  <c r="U111" i="181"/>
  <c r="V89" i="181"/>
  <c r="V73" i="181"/>
  <c r="V57" i="181"/>
  <c r="V74" i="181"/>
  <c r="V58" i="181"/>
  <c r="V111" i="181"/>
  <c r="U116" i="181"/>
  <c r="V116" i="181"/>
  <c r="V112" i="181"/>
  <c r="I31" i="182"/>
  <c r="Q31" i="182"/>
  <c r="E28" i="182"/>
  <c r="G28" i="182"/>
  <c r="C31" i="182"/>
  <c r="E31" i="182"/>
  <c r="G31" i="182"/>
  <c r="K31" i="182"/>
  <c r="M31" i="182"/>
  <c r="O31" i="182"/>
  <c r="S31" i="182"/>
  <c r="U31" i="182"/>
  <c r="E33" i="182"/>
  <c r="I33" i="182"/>
  <c r="M33" i="182"/>
  <c r="Q33" i="182"/>
  <c r="U33" i="182"/>
  <c r="H81" i="182"/>
  <c r="E111" i="182"/>
  <c r="F114" i="182"/>
  <c r="H27" i="182"/>
  <c r="H93" i="182"/>
  <c r="H67" i="182"/>
  <c r="H89" i="182"/>
  <c r="H66" i="182"/>
  <c r="F28" i="182"/>
  <c r="F27" i="182"/>
  <c r="H78" i="182"/>
  <c r="F111" i="182"/>
  <c r="F78" i="182"/>
  <c r="F94" i="182"/>
  <c r="F86" i="182"/>
  <c r="F91" i="182"/>
  <c r="F74" i="182"/>
  <c r="F99" i="182"/>
  <c r="F81" i="182"/>
  <c r="F70" i="182"/>
  <c r="F104" i="182"/>
  <c r="F101" i="182"/>
  <c r="F98" i="182"/>
  <c r="F89" i="182"/>
  <c r="F83" i="182"/>
  <c r="F77" i="182"/>
  <c r="F69" i="182"/>
  <c r="F65" i="182"/>
  <c r="F60" i="182"/>
  <c r="F56" i="182"/>
  <c r="F52" i="182"/>
  <c r="F43" i="182"/>
  <c r="F39" i="182"/>
  <c r="F24" i="182"/>
  <c r="F103" i="182"/>
  <c r="F100" i="182"/>
  <c r="F96" i="182"/>
  <c r="F93" i="182"/>
  <c r="F90" i="182"/>
  <c r="F88" i="182"/>
  <c r="F85" i="182"/>
  <c r="F82" i="182"/>
  <c r="F79" i="182"/>
  <c r="F76" i="182"/>
  <c r="F72" i="182"/>
  <c r="F68" i="182"/>
  <c r="F64" i="182"/>
  <c r="F58" i="182"/>
  <c r="F55" i="182"/>
  <c r="F46" i="182"/>
  <c r="F42" i="182"/>
  <c r="F38" i="182"/>
  <c r="F57" i="182"/>
  <c r="F53" i="182"/>
  <c r="F44" i="182"/>
  <c r="F40" i="182"/>
  <c r="F32" i="182"/>
  <c r="F113" i="182"/>
  <c r="F80" i="182"/>
  <c r="F73" i="182"/>
  <c r="F67" i="182"/>
  <c r="F115" i="182"/>
  <c r="F102" i="182"/>
  <c r="F95" i="182"/>
  <c r="F92" i="182"/>
  <c r="F87" i="182"/>
  <c r="F84" i="182"/>
  <c r="F75" i="182"/>
  <c r="F71" i="182"/>
  <c r="F66" i="182"/>
  <c r="F63" i="182"/>
  <c r="F61" i="182"/>
  <c r="F54" i="182"/>
  <c r="F45" i="182"/>
  <c r="F41" i="182"/>
  <c r="F31" i="182"/>
  <c r="F23" i="182"/>
  <c r="F97" i="182"/>
  <c r="F59" i="182"/>
  <c r="F21" i="182"/>
  <c r="F37" i="182"/>
  <c r="F36" i="182"/>
  <c r="H97" i="182"/>
  <c r="H59" i="182"/>
  <c r="F25" i="182"/>
  <c r="H85" i="182"/>
  <c r="H101" i="182"/>
  <c r="H62" i="182"/>
  <c r="G112" i="182"/>
  <c r="S33" i="182"/>
  <c r="C33" i="182"/>
  <c r="H21" i="182"/>
  <c r="H23" i="182"/>
  <c r="H28" i="182"/>
  <c r="H26" i="182"/>
  <c r="H32" i="182"/>
  <c r="H37" i="182"/>
  <c r="H39" i="182"/>
  <c r="H41" i="182"/>
  <c r="H43" i="182"/>
  <c r="H45" i="182"/>
  <c r="H113" i="182"/>
  <c r="H115" i="182"/>
  <c r="H24" i="182"/>
  <c r="H25" i="182"/>
  <c r="H42" i="182"/>
  <c r="H40" i="182"/>
  <c r="H44" i="182"/>
  <c r="H114" i="182"/>
  <c r="H36" i="182"/>
  <c r="H46" i="182"/>
  <c r="H38" i="182"/>
  <c r="O33" i="182"/>
  <c r="F33" i="182"/>
  <c r="H20" i="182"/>
  <c r="H19" i="182"/>
  <c r="H31" i="182"/>
  <c r="G33" i="182"/>
  <c r="H33" i="182"/>
  <c r="K33" i="182"/>
  <c r="F19" i="182"/>
  <c r="F26" i="182"/>
  <c r="F20" i="182"/>
  <c r="E105" i="182"/>
  <c r="F105" i="182"/>
  <c r="E112" i="182"/>
  <c r="F62" i="182"/>
  <c r="H90" i="182"/>
  <c r="H79" i="182"/>
  <c r="H58" i="182"/>
  <c r="H57" i="182"/>
  <c r="C28" i="182"/>
  <c r="H100" i="182"/>
  <c r="H72" i="182"/>
  <c r="H104" i="182"/>
  <c r="H71" i="182"/>
  <c r="H102" i="182"/>
  <c r="H86" i="182"/>
  <c r="H64" i="182"/>
  <c r="H91" i="182"/>
  <c r="H74" i="182"/>
  <c r="H52" i="182"/>
  <c r="G105" i="182"/>
  <c r="H105" i="182"/>
  <c r="H69" i="182"/>
  <c r="H53" i="182"/>
  <c r="H112" i="182"/>
  <c r="I28" i="182"/>
  <c r="J27" i="182"/>
  <c r="H84" i="182"/>
  <c r="H88" i="182"/>
  <c r="H56" i="182"/>
  <c r="H94" i="182"/>
  <c r="H75" i="182"/>
  <c r="H54" i="182"/>
  <c r="H99" i="182"/>
  <c r="H83" i="182"/>
  <c r="H63" i="182"/>
  <c r="H77" i="182"/>
  <c r="H61" i="182"/>
  <c r="H76" i="182"/>
  <c r="H80" i="182"/>
  <c r="H70" i="182"/>
  <c r="H95" i="182"/>
  <c r="H73" i="182"/>
  <c r="H92" i="182"/>
  <c r="H55" i="182"/>
  <c r="H96" i="182"/>
  <c r="H60" i="182"/>
  <c r="H98" i="182"/>
  <c r="H82" i="182"/>
  <c r="G111" i="182"/>
  <c r="H103" i="182"/>
  <c r="H87" i="182"/>
  <c r="H68" i="182"/>
  <c r="H65" i="182"/>
  <c r="J19" i="182"/>
  <c r="D19" i="182"/>
  <c r="D27" i="182"/>
  <c r="E107" i="182"/>
  <c r="F107" i="182"/>
  <c r="F112" i="182"/>
  <c r="E116" i="182"/>
  <c r="F116" i="182"/>
  <c r="D97" i="182"/>
  <c r="D59" i="182"/>
  <c r="D33" i="182"/>
  <c r="J97" i="182"/>
  <c r="J59" i="182"/>
  <c r="H111" i="182"/>
  <c r="G116" i="182"/>
  <c r="H116" i="182"/>
  <c r="K28" i="182"/>
  <c r="L27" i="182"/>
  <c r="J21" i="182"/>
  <c r="J24" i="182"/>
  <c r="J25" i="182"/>
  <c r="J36" i="182"/>
  <c r="J38" i="182"/>
  <c r="J40" i="182"/>
  <c r="J42" i="182"/>
  <c r="J44" i="182"/>
  <c r="J46" i="182"/>
  <c r="J114" i="182"/>
  <c r="J23" i="182"/>
  <c r="J28" i="182"/>
  <c r="J32" i="182"/>
  <c r="J39" i="182"/>
  <c r="J113" i="182"/>
  <c r="J41" i="182"/>
  <c r="J43" i="182"/>
  <c r="J115" i="182"/>
  <c r="J26" i="182"/>
  <c r="J45" i="182"/>
  <c r="J31" i="182"/>
  <c r="J37" i="182"/>
  <c r="J33" i="182"/>
  <c r="G107" i="182"/>
  <c r="H107" i="182"/>
  <c r="D23" i="182"/>
  <c r="D28" i="182"/>
  <c r="D24" i="182"/>
  <c r="D25" i="182"/>
  <c r="D36" i="182"/>
  <c r="D38" i="182"/>
  <c r="D40" i="182"/>
  <c r="D42" i="182"/>
  <c r="D44" i="182"/>
  <c r="D46" i="182"/>
  <c r="D114" i="182"/>
  <c r="D32" i="182"/>
  <c r="D26" i="182"/>
  <c r="D43" i="182"/>
  <c r="D45" i="182"/>
  <c r="D37" i="182"/>
  <c r="D115" i="182"/>
  <c r="D39" i="182"/>
  <c r="D113" i="182"/>
  <c r="D21" i="182"/>
  <c r="D41" i="182"/>
  <c r="D20" i="182"/>
  <c r="D31" i="182"/>
  <c r="J20" i="182"/>
  <c r="L19" i="182"/>
  <c r="L97" i="182"/>
  <c r="L59" i="182"/>
  <c r="D75" i="182"/>
  <c r="D85" i="182"/>
  <c r="D95" i="182"/>
  <c r="D79" i="182"/>
  <c r="D100" i="182"/>
  <c r="D84" i="182"/>
  <c r="D67" i="182"/>
  <c r="D62" i="182"/>
  <c r="C112" i="182"/>
  <c r="J104" i="182"/>
  <c r="J100" i="182"/>
  <c r="J96" i="182"/>
  <c r="J92" i="182"/>
  <c r="J88" i="182"/>
  <c r="J84" i="182"/>
  <c r="J80" i="182"/>
  <c r="J72" i="182"/>
  <c r="J68" i="182"/>
  <c r="J64" i="182"/>
  <c r="J60" i="182"/>
  <c r="I105" i="182"/>
  <c r="J52" i="182"/>
  <c r="D69" i="182"/>
  <c r="D91" i="182"/>
  <c r="D52" i="182"/>
  <c r="C105" i="182"/>
  <c r="D96" i="182"/>
  <c r="D61" i="182"/>
  <c r="D74" i="182"/>
  <c r="D58" i="182"/>
  <c r="J103" i="182"/>
  <c r="J99" i="182"/>
  <c r="J95" i="182"/>
  <c r="J91" i="182"/>
  <c r="J83" i="182"/>
  <c r="J79" i="182"/>
  <c r="J75" i="182"/>
  <c r="J71" i="182"/>
  <c r="J67" i="182"/>
  <c r="J63" i="182"/>
  <c r="I111" i="182"/>
  <c r="J55" i="182"/>
  <c r="D55" i="182"/>
  <c r="D94" i="182"/>
  <c r="D90" i="182"/>
  <c r="D60" i="182"/>
  <c r="D101" i="182"/>
  <c r="D64" i="182"/>
  <c r="D103" i="182"/>
  <c r="D87" i="182"/>
  <c r="D68" i="182"/>
  <c r="D92" i="182"/>
  <c r="D56" i="182"/>
  <c r="D70" i="182"/>
  <c r="D54" i="182"/>
  <c r="D76" i="182"/>
  <c r="D71" i="182"/>
  <c r="C111" i="182"/>
  <c r="D93" i="182"/>
  <c r="D53" i="182"/>
  <c r="D99" i="182"/>
  <c r="D83" i="182"/>
  <c r="D63" i="182"/>
  <c r="D104" i="182"/>
  <c r="D88" i="182"/>
  <c r="D72" i="182"/>
  <c r="D66" i="182"/>
  <c r="J101" i="182"/>
  <c r="J93" i="182"/>
  <c r="J89" i="182"/>
  <c r="J85" i="182"/>
  <c r="J81" i="182"/>
  <c r="J77" i="182"/>
  <c r="J73" i="182"/>
  <c r="J69" i="182"/>
  <c r="J65" i="182"/>
  <c r="J61" i="182"/>
  <c r="J57" i="182"/>
  <c r="J53" i="182"/>
  <c r="D98" i="182"/>
  <c r="D102" i="182"/>
  <c r="D89" i="182"/>
  <c r="D57" i="182"/>
  <c r="D78" i="182"/>
  <c r="J76" i="182"/>
  <c r="J56" i="182"/>
  <c r="M28" i="182"/>
  <c r="D82" i="182"/>
  <c r="D86" i="182"/>
  <c r="D81" i="182"/>
  <c r="D73" i="182"/>
  <c r="D80" i="182"/>
  <c r="J87" i="182"/>
  <c r="D65" i="182"/>
  <c r="D77" i="182"/>
  <c r="J102" i="182"/>
  <c r="J98" i="182"/>
  <c r="J94" i="182"/>
  <c r="J90" i="182"/>
  <c r="J86" i="182"/>
  <c r="J82" i="182"/>
  <c r="J78" i="182"/>
  <c r="J74" i="182"/>
  <c r="J70" i="182"/>
  <c r="J66" i="182"/>
  <c r="I112" i="182"/>
  <c r="J62" i="182"/>
  <c r="J58" i="182"/>
  <c r="J54" i="182"/>
  <c r="L23" i="182"/>
  <c r="L21" i="182"/>
  <c r="L24" i="182"/>
  <c r="L28" i="182"/>
  <c r="L25" i="182"/>
  <c r="L36" i="182"/>
  <c r="L38" i="182"/>
  <c r="L40" i="182"/>
  <c r="L42" i="182"/>
  <c r="L44" i="182"/>
  <c r="L46" i="182"/>
  <c r="L114" i="182"/>
  <c r="L26" i="182"/>
  <c r="L41" i="182"/>
  <c r="L37" i="182"/>
  <c r="L39" i="182"/>
  <c r="L115" i="182"/>
  <c r="L113" i="182"/>
  <c r="L45" i="182"/>
  <c r="L32" i="182"/>
  <c r="L43" i="182"/>
  <c r="L31" i="182"/>
  <c r="L33" i="182"/>
  <c r="L20" i="182"/>
  <c r="N20" i="182"/>
  <c r="N27" i="182"/>
  <c r="N19" i="182"/>
  <c r="N97" i="182"/>
  <c r="N59" i="182"/>
  <c r="L103" i="182"/>
  <c r="L70" i="182"/>
  <c r="L74" i="182"/>
  <c r="L81" i="182"/>
  <c r="L62" i="182"/>
  <c r="K112" i="182"/>
  <c r="L63" i="182"/>
  <c r="L102" i="182"/>
  <c r="L94" i="182"/>
  <c r="L69" i="182"/>
  <c r="L79" i="182"/>
  <c r="L52" i="182"/>
  <c r="K105" i="182"/>
  <c r="L83" i="182"/>
  <c r="L96" i="182"/>
  <c r="L80" i="182"/>
  <c r="L58" i="182"/>
  <c r="L101" i="182"/>
  <c r="L85" i="182"/>
  <c r="L76" i="182"/>
  <c r="L67" i="182"/>
  <c r="N23" i="182"/>
  <c r="N26" i="182"/>
  <c r="N32" i="182"/>
  <c r="N37" i="182"/>
  <c r="N39" i="182"/>
  <c r="N41" i="182"/>
  <c r="N43" i="182"/>
  <c r="N45" i="182"/>
  <c r="N113" i="182"/>
  <c r="N115" i="182"/>
  <c r="N21" i="182"/>
  <c r="N24" i="182"/>
  <c r="N28" i="182"/>
  <c r="N31" i="182"/>
  <c r="N36" i="182"/>
  <c r="N44" i="182"/>
  <c r="N38" i="182"/>
  <c r="N25" i="182"/>
  <c r="N40" i="182"/>
  <c r="N42" i="182"/>
  <c r="N114" i="182"/>
  <c r="N46" i="182"/>
  <c r="N33" i="182"/>
  <c r="D105" i="182"/>
  <c r="C107" i="182"/>
  <c r="D107" i="182"/>
  <c r="J105" i="182"/>
  <c r="I107" i="182"/>
  <c r="J107" i="182"/>
  <c r="D112" i="182"/>
  <c r="L98" i="182"/>
  <c r="J112" i="182"/>
  <c r="L66" i="182"/>
  <c r="D111" i="182"/>
  <c r="C116" i="182"/>
  <c r="D116" i="182"/>
  <c r="J111" i="182"/>
  <c r="I116" i="182"/>
  <c r="J116" i="182"/>
  <c r="L53" i="182"/>
  <c r="L68" i="182"/>
  <c r="L92" i="182"/>
  <c r="L57" i="182"/>
  <c r="L86" i="182"/>
  <c r="L95" i="182"/>
  <c r="L99" i="182"/>
  <c r="L65" i="182"/>
  <c r="L104" i="182"/>
  <c r="L88" i="182"/>
  <c r="L73" i="182"/>
  <c r="L56" i="182"/>
  <c r="L93" i="182"/>
  <c r="L78" i="182"/>
  <c r="L61" i="182"/>
  <c r="L75" i="182"/>
  <c r="K111" i="182"/>
  <c r="L82" i="182"/>
  <c r="L90" i="182"/>
  <c r="L87" i="182"/>
  <c r="L64" i="182"/>
  <c r="L91" i="182"/>
  <c r="L54" i="182"/>
  <c r="L100" i="182"/>
  <c r="L84" i="182"/>
  <c r="L72" i="182"/>
  <c r="L89" i="182"/>
  <c r="L77" i="182"/>
  <c r="L60" i="182"/>
  <c r="L71" i="182"/>
  <c r="L55" i="182"/>
  <c r="O28" i="182"/>
  <c r="P27" i="182"/>
  <c r="P19" i="182"/>
  <c r="P97" i="182"/>
  <c r="P59" i="182"/>
  <c r="N104" i="182"/>
  <c r="N100" i="182"/>
  <c r="N96" i="182"/>
  <c r="N92" i="182"/>
  <c r="N88" i="182"/>
  <c r="N84" i="182"/>
  <c r="N80" i="182"/>
  <c r="N76" i="182"/>
  <c r="N72" i="182"/>
  <c r="N68" i="182"/>
  <c r="N64" i="182"/>
  <c r="N60" i="182"/>
  <c r="N56" i="182"/>
  <c r="M105" i="182"/>
  <c r="N52" i="182"/>
  <c r="N102" i="182"/>
  <c r="N98" i="182"/>
  <c r="N94" i="182"/>
  <c r="N90" i="182"/>
  <c r="N86" i="182"/>
  <c r="N82" i="182"/>
  <c r="N78" i="182"/>
  <c r="N74" i="182"/>
  <c r="N70" i="182"/>
  <c r="N66" i="182"/>
  <c r="M112" i="182"/>
  <c r="N62" i="182"/>
  <c r="N58" i="182"/>
  <c r="N54" i="182"/>
  <c r="L105" i="182"/>
  <c r="K107" i="182"/>
  <c r="L107" i="182"/>
  <c r="L112" i="182"/>
  <c r="P21" i="182"/>
  <c r="P28" i="182"/>
  <c r="P26" i="182"/>
  <c r="P32" i="182"/>
  <c r="P37" i="182"/>
  <c r="P39" i="182"/>
  <c r="P41" i="182"/>
  <c r="P43" i="182"/>
  <c r="P45" i="182"/>
  <c r="P113" i="182"/>
  <c r="P115" i="182"/>
  <c r="P25" i="182"/>
  <c r="P38" i="182"/>
  <c r="P46" i="182"/>
  <c r="P23" i="182"/>
  <c r="P24" i="182"/>
  <c r="P40" i="182"/>
  <c r="P44" i="182"/>
  <c r="P114" i="182"/>
  <c r="P42" i="182"/>
  <c r="P36" i="182"/>
  <c r="P31" i="182"/>
  <c r="P33" i="182"/>
  <c r="L111" i="182"/>
  <c r="K116" i="182"/>
  <c r="L116" i="182"/>
  <c r="N101" i="182"/>
  <c r="N93" i="182"/>
  <c r="N89" i="182"/>
  <c r="N85" i="182"/>
  <c r="N81" i="182"/>
  <c r="N77" i="182"/>
  <c r="N73" i="182"/>
  <c r="N69" i="182"/>
  <c r="N65" i="182"/>
  <c r="N61" i="182"/>
  <c r="N57" i="182"/>
  <c r="N53" i="182"/>
  <c r="Q28" i="182"/>
  <c r="N103" i="182"/>
  <c r="N99" i="182"/>
  <c r="N95" i="182"/>
  <c r="N91" i="182"/>
  <c r="N87" i="182"/>
  <c r="N83" i="182"/>
  <c r="N79" i="182"/>
  <c r="N75" i="182"/>
  <c r="N71" i="182"/>
  <c r="N67" i="182"/>
  <c r="N63" i="182"/>
  <c r="M111" i="182"/>
  <c r="N55" i="182"/>
  <c r="P20" i="182"/>
  <c r="R19" i="182"/>
  <c r="R27" i="182"/>
  <c r="R97" i="182"/>
  <c r="R59" i="182"/>
  <c r="R20" i="182"/>
  <c r="P63" i="182"/>
  <c r="P68" i="182"/>
  <c r="P80" i="182"/>
  <c r="P56" i="182"/>
  <c r="P104" i="182"/>
  <c r="P78" i="182"/>
  <c r="P100" i="182"/>
  <c r="P90" i="182"/>
  <c r="P71" i="182"/>
  <c r="P95" i="182"/>
  <c r="P79" i="182"/>
  <c r="O111" i="182"/>
  <c r="P69" i="182"/>
  <c r="P53" i="182"/>
  <c r="N105" i="182"/>
  <c r="M107" i="182"/>
  <c r="N107" i="182"/>
  <c r="P81" i="182"/>
  <c r="P85" i="182"/>
  <c r="P89" i="182"/>
  <c r="P96" i="182"/>
  <c r="P58" i="182"/>
  <c r="P92" i="182"/>
  <c r="P62" i="182"/>
  <c r="O112" i="182"/>
  <c r="P102" i="182"/>
  <c r="P86" i="182"/>
  <c r="P66" i="182"/>
  <c r="P91" i="182"/>
  <c r="P75" i="182"/>
  <c r="P54" i="182"/>
  <c r="P65" i="182"/>
  <c r="N112" i="182"/>
  <c r="S28" i="182"/>
  <c r="T27" i="182"/>
  <c r="P74" i="182"/>
  <c r="P94" i="182"/>
  <c r="P76" i="182"/>
  <c r="P55" i="182"/>
  <c r="P99" i="182"/>
  <c r="P83" i="182"/>
  <c r="P64" i="182"/>
  <c r="P73" i="182"/>
  <c r="P57" i="182"/>
  <c r="P101" i="182"/>
  <c r="P67" i="182"/>
  <c r="M116" i="182"/>
  <c r="N116" i="182"/>
  <c r="N111" i="182"/>
  <c r="R21" i="182"/>
  <c r="R24" i="182"/>
  <c r="R25" i="182"/>
  <c r="R36" i="182"/>
  <c r="R38" i="182"/>
  <c r="R40" i="182"/>
  <c r="R42" i="182"/>
  <c r="R44" i="182"/>
  <c r="R46" i="182"/>
  <c r="R114" i="182"/>
  <c r="R23" i="182"/>
  <c r="R28" i="182"/>
  <c r="R32" i="182"/>
  <c r="R43" i="182"/>
  <c r="R26" i="182"/>
  <c r="R45" i="182"/>
  <c r="R37" i="182"/>
  <c r="R39" i="182"/>
  <c r="R115" i="182"/>
  <c r="R113" i="182"/>
  <c r="R41" i="182"/>
  <c r="R33" i="182"/>
  <c r="R31" i="182"/>
  <c r="P52" i="182"/>
  <c r="O105" i="182"/>
  <c r="P93" i="182"/>
  <c r="P72" i="182"/>
  <c r="P88" i="182"/>
  <c r="P84" i="182"/>
  <c r="P98" i="182"/>
  <c r="P82" i="182"/>
  <c r="P60" i="182"/>
  <c r="P103" i="182"/>
  <c r="P87" i="182"/>
  <c r="P70" i="182"/>
  <c r="P77" i="182"/>
  <c r="P61" i="182"/>
  <c r="T20" i="182"/>
  <c r="T97" i="182"/>
  <c r="T59" i="182"/>
  <c r="R103" i="182"/>
  <c r="R99" i="182"/>
  <c r="R95" i="182"/>
  <c r="R91" i="182"/>
  <c r="R87" i="182"/>
  <c r="R83" i="182"/>
  <c r="R79" i="182"/>
  <c r="R75" i="182"/>
  <c r="R71" i="182"/>
  <c r="R67" i="182"/>
  <c r="R63" i="182"/>
  <c r="Q111" i="182"/>
  <c r="R55" i="182"/>
  <c r="R102" i="182"/>
  <c r="R94" i="182"/>
  <c r="R78" i="182"/>
  <c r="P111" i="182"/>
  <c r="O116" i="182"/>
  <c r="P116" i="182"/>
  <c r="P105" i="182"/>
  <c r="O107" i="182"/>
  <c r="P107" i="182"/>
  <c r="R104" i="182"/>
  <c r="R100" i="182"/>
  <c r="R96" i="182"/>
  <c r="R92" i="182"/>
  <c r="R88" i="182"/>
  <c r="R84" i="182"/>
  <c r="R80" i="182"/>
  <c r="R76" i="182"/>
  <c r="R72" i="182"/>
  <c r="R68" i="182"/>
  <c r="R64" i="182"/>
  <c r="R60" i="182"/>
  <c r="R56" i="182"/>
  <c r="Q105" i="182"/>
  <c r="R52" i="182"/>
  <c r="T23" i="182"/>
  <c r="T28" i="182"/>
  <c r="T25" i="182"/>
  <c r="T36" i="182"/>
  <c r="T38" i="182"/>
  <c r="T40" i="182"/>
  <c r="T42" i="182"/>
  <c r="T44" i="182"/>
  <c r="T46" i="182"/>
  <c r="T114" i="182"/>
  <c r="T24" i="182"/>
  <c r="T26" i="182"/>
  <c r="T37" i="182"/>
  <c r="T45" i="182"/>
  <c r="T21" i="182"/>
  <c r="T41" i="182"/>
  <c r="T39" i="182"/>
  <c r="T43" i="182"/>
  <c r="T32" i="182"/>
  <c r="T115" i="182"/>
  <c r="T113" i="182"/>
  <c r="T31" i="182"/>
  <c r="T33" i="182"/>
  <c r="P112" i="182"/>
  <c r="R98" i="182"/>
  <c r="R90" i="182"/>
  <c r="R86" i="182"/>
  <c r="R82" i="182"/>
  <c r="R74" i="182"/>
  <c r="R70" i="182"/>
  <c r="R66" i="182"/>
  <c r="Q112" i="182"/>
  <c r="R62" i="182"/>
  <c r="R58" i="182"/>
  <c r="R54" i="182"/>
  <c r="T19" i="182"/>
  <c r="R101" i="182"/>
  <c r="R93" i="182"/>
  <c r="R89" i="182"/>
  <c r="R85" i="182"/>
  <c r="R81" i="182"/>
  <c r="R77" i="182"/>
  <c r="R73" i="182"/>
  <c r="R69" i="182"/>
  <c r="R65" i="182"/>
  <c r="R61" i="182"/>
  <c r="R57" i="182"/>
  <c r="R53" i="182"/>
  <c r="U28" i="182"/>
  <c r="V59" i="182"/>
  <c r="V20" i="182"/>
  <c r="T98" i="182"/>
  <c r="T99" i="182"/>
  <c r="T87" i="182"/>
  <c r="T104" i="182"/>
  <c r="T88" i="182"/>
  <c r="T69" i="182"/>
  <c r="T52" i="182"/>
  <c r="S105" i="182"/>
  <c r="T89" i="182"/>
  <c r="T73" i="182"/>
  <c r="T56" i="182"/>
  <c r="T67" i="182"/>
  <c r="V23" i="182"/>
  <c r="V24" i="182"/>
  <c r="V26" i="182"/>
  <c r="V32" i="182"/>
  <c r="V37" i="182"/>
  <c r="V39" i="182"/>
  <c r="V41" i="182"/>
  <c r="V43" i="182"/>
  <c r="V45" i="182"/>
  <c r="V113" i="182"/>
  <c r="V115" i="182"/>
  <c r="V21" i="182"/>
  <c r="V28" i="182"/>
  <c r="V40" i="182"/>
  <c r="V31" i="182"/>
  <c r="V36" i="182"/>
  <c r="V46" i="182"/>
  <c r="V114" i="182"/>
  <c r="V38" i="182"/>
  <c r="V25" i="182"/>
  <c r="V27" i="182"/>
  <c r="V42" i="182"/>
  <c r="V44" i="182"/>
  <c r="V33" i="182"/>
  <c r="T78" i="182"/>
  <c r="T82" i="182"/>
  <c r="T102" i="182"/>
  <c r="T79" i="182"/>
  <c r="T100" i="182"/>
  <c r="T68" i="182"/>
  <c r="T101" i="182"/>
  <c r="T85" i="182"/>
  <c r="T72" i="182"/>
  <c r="T63" i="182"/>
  <c r="R105" i="182"/>
  <c r="Q107" i="182"/>
  <c r="R107" i="182"/>
  <c r="R111" i="182"/>
  <c r="Q116" i="182"/>
  <c r="R116" i="182"/>
  <c r="V19" i="182"/>
  <c r="T66" i="182"/>
  <c r="T62" i="182"/>
  <c r="S112" i="182"/>
  <c r="T64" i="182"/>
  <c r="T86" i="182"/>
  <c r="T83" i="182"/>
  <c r="T103" i="182"/>
  <c r="T61" i="182"/>
  <c r="T96" i="182"/>
  <c r="T80" i="182"/>
  <c r="T54" i="182"/>
  <c r="T81" i="182"/>
  <c r="T58" i="182"/>
  <c r="T75" i="182"/>
  <c r="S111" i="182"/>
  <c r="R112" i="182"/>
  <c r="T94" i="182"/>
  <c r="T76" i="182"/>
  <c r="T91" i="182"/>
  <c r="T84" i="182"/>
  <c r="T65" i="182"/>
  <c r="T90" i="182"/>
  <c r="T60" i="182"/>
  <c r="T77" i="182"/>
  <c r="T95" i="182"/>
  <c r="T92" i="182"/>
  <c r="T70" i="182"/>
  <c r="T53" i="182"/>
  <c r="T93" i="182"/>
  <c r="T74" i="182"/>
  <c r="T57" i="182"/>
  <c r="T71" i="182"/>
  <c r="T55" i="182"/>
  <c r="V104" i="182"/>
  <c r="V101" i="182"/>
  <c r="V97" i="182"/>
  <c r="V93" i="182"/>
  <c r="V89" i="182"/>
  <c r="V85" i="182"/>
  <c r="V81" i="182"/>
  <c r="V77" i="182"/>
  <c r="V73" i="182"/>
  <c r="V69" i="182"/>
  <c r="V65" i="182"/>
  <c r="V61" i="182"/>
  <c r="V57" i="182"/>
  <c r="V53" i="182"/>
  <c r="V96" i="182"/>
  <c r="V88" i="182"/>
  <c r="V80" i="182"/>
  <c r="V72" i="182"/>
  <c r="T111" i="182"/>
  <c r="S116" i="182"/>
  <c r="T116" i="182"/>
  <c r="V103" i="182"/>
  <c r="V99" i="182"/>
  <c r="V95" i="182"/>
  <c r="V91" i="182"/>
  <c r="V87" i="182"/>
  <c r="V83" i="182"/>
  <c r="V79" i="182"/>
  <c r="V75" i="182"/>
  <c r="V71" i="182"/>
  <c r="V67" i="182"/>
  <c r="V63" i="182"/>
  <c r="U111" i="182"/>
  <c r="V55" i="182"/>
  <c r="T105" i="182"/>
  <c r="S107" i="182"/>
  <c r="T107" i="182"/>
  <c r="T112" i="182"/>
  <c r="V100" i="182"/>
  <c r="V92" i="182"/>
  <c r="V84" i="182"/>
  <c r="V76" i="182"/>
  <c r="V68" i="182"/>
  <c r="V64" i="182"/>
  <c r="V60" i="182"/>
  <c r="V56" i="182"/>
  <c r="U105" i="182"/>
  <c r="V52" i="182"/>
  <c r="V102" i="182"/>
  <c r="V98" i="182"/>
  <c r="V94" i="182"/>
  <c r="V90" i="182"/>
  <c r="V86" i="182"/>
  <c r="V82" i="182"/>
  <c r="V78" i="182"/>
  <c r="V74" i="182"/>
  <c r="V70" i="182"/>
  <c r="V66" i="182"/>
  <c r="U112" i="182"/>
  <c r="V62" i="182"/>
  <c r="V58" i="182"/>
  <c r="V54" i="182"/>
  <c r="V105" i="182"/>
  <c r="U107" i="182"/>
  <c r="V107" i="182"/>
  <c r="V112" i="182"/>
  <c r="U116" i="182"/>
  <c r="V116" i="182"/>
  <c r="V111" i="182"/>
  <c r="C31" i="183"/>
  <c r="C33" i="183"/>
  <c r="K31" i="183"/>
  <c r="M31" i="183"/>
  <c r="U31" i="183"/>
  <c r="G31" i="183"/>
  <c r="G33" i="183"/>
  <c r="I31" i="183"/>
  <c r="I33" i="183"/>
  <c r="O31" i="183"/>
  <c r="Q31" i="183"/>
  <c r="Q33" i="183"/>
  <c r="S31" i="183"/>
  <c r="U33" i="183"/>
  <c r="M33" i="183"/>
  <c r="S33" i="183"/>
  <c r="O33" i="183"/>
  <c r="K33" i="183"/>
  <c r="E31" i="183"/>
  <c r="D19" i="183"/>
  <c r="E28" i="183"/>
  <c r="E33" i="183"/>
  <c r="F96" i="183"/>
  <c r="F91" i="183"/>
  <c r="F84" i="183"/>
  <c r="F80" i="183"/>
  <c r="F72" i="183"/>
  <c r="F61" i="183"/>
  <c r="F52" i="183"/>
  <c r="F97" i="183"/>
  <c r="F95" i="183"/>
  <c r="F89" i="183"/>
  <c r="F83" i="183"/>
  <c r="F79" i="183"/>
  <c r="F71" i="183"/>
  <c r="F60" i="183"/>
  <c r="F93" i="183"/>
  <c r="F62" i="183"/>
  <c r="F69" i="183"/>
  <c r="F94" i="183"/>
  <c r="F87" i="183"/>
  <c r="F82" i="183"/>
  <c r="F53" i="183"/>
  <c r="F85" i="183"/>
  <c r="F81" i="183"/>
  <c r="F73" i="183"/>
  <c r="F57" i="183"/>
  <c r="F74" i="183"/>
  <c r="F58" i="183"/>
  <c r="F59" i="183"/>
  <c r="F20" i="183"/>
  <c r="F31" i="183"/>
  <c r="F19" i="183"/>
  <c r="F33" i="183"/>
  <c r="G28" i="183"/>
  <c r="H59" i="183"/>
  <c r="D21" i="183"/>
  <c r="D24" i="183"/>
  <c r="D26" i="183"/>
  <c r="D32" i="183"/>
  <c r="D37" i="183"/>
  <c r="D39" i="183"/>
  <c r="D41" i="183"/>
  <c r="D43" i="183"/>
  <c r="D45" i="183"/>
  <c r="D113" i="183"/>
  <c r="D115" i="183"/>
  <c r="D28" i="183"/>
  <c r="D114" i="183"/>
  <c r="D23" i="183"/>
  <c r="D25" i="183"/>
  <c r="D27" i="183"/>
  <c r="D36" i="183"/>
  <c r="D38" i="183"/>
  <c r="D40" i="183"/>
  <c r="D42" i="183"/>
  <c r="D44" i="183"/>
  <c r="D46" i="183"/>
  <c r="D33" i="183"/>
  <c r="D31" i="183"/>
  <c r="D20" i="183"/>
  <c r="F27" i="183"/>
  <c r="F36" i="183"/>
  <c r="F40" i="183"/>
  <c r="F44" i="183"/>
  <c r="F21" i="183"/>
  <c r="F24" i="183"/>
  <c r="F26" i="183"/>
  <c r="F32" i="183"/>
  <c r="F37" i="183"/>
  <c r="F39" i="183"/>
  <c r="F41" i="183"/>
  <c r="F43" i="183"/>
  <c r="F45" i="183"/>
  <c r="F113" i="183"/>
  <c r="F115" i="183"/>
  <c r="F25" i="183"/>
  <c r="F38" i="183"/>
  <c r="F23" i="183"/>
  <c r="F28" i="183"/>
  <c r="F42" i="183"/>
  <c r="F46" i="183"/>
  <c r="F114" i="183"/>
  <c r="H20" i="183"/>
  <c r="H95" i="183"/>
  <c r="H89" i="183"/>
  <c r="H83" i="183"/>
  <c r="H79" i="183"/>
  <c r="H71" i="183"/>
  <c r="H60" i="183"/>
  <c r="H58" i="183"/>
  <c r="H94" i="183"/>
  <c r="H87" i="183"/>
  <c r="H82" i="183"/>
  <c r="H53" i="183"/>
  <c r="H52" i="183"/>
  <c r="H69" i="183"/>
  <c r="H96" i="183"/>
  <c r="H91" i="183"/>
  <c r="H84" i="183"/>
  <c r="H80" i="183"/>
  <c r="H93" i="183"/>
  <c r="H85" i="183"/>
  <c r="H81" i="183"/>
  <c r="H73" i="183"/>
  <c r="H72" i="183"/>
  <c r="H62" i="183"/>
  <c r="H61" i="183"/>
  <c r="H57" i="183"/>
  <c r="H74" i="183"/>
  <c r="H97" i="183"/>
  <c r="H19" i="183"/>
  <c r="C112" i="183"/>
  <c r="I28" i="183"/>
  <c r="J59" i="183"/>
  <c r="C111" i="183"/>
  <c r="E111" i="183"/>
  <c r="E112" i="183"/>
  <c r="H23" i="183"/>
  <c r="H25" i="183"/>
  <c r="H27" i="183"/>
  <c r="H36" i="183"/>
  <c r="H38" i="183"/>
  <c r="H40" i="183"/>
  <c r="H42" i="183"/>
  <c r="H44" i="183"/>
  <c r="H46" i="183"/>
  <c r="H114" i="183"/>
  <c r="H33" i="183"/>
  <c r="H28" i="183"/>
  <c r="H115" i="183"/>
  <c r="H21" i="183"/>
  <c r="H24" i="183"/>
  <c r="H26" i="183"/>
  <c r="H32" i="183"/>
  <c r="H37" i="183"/>
  <c r="H39" i="183"/>
  <c r="H41" i="183"/>
  <c r="H43" i="183"/>
  <c r="H45" i="183"/>
  <c r="H113" i="183"/>
  <c r="H31" i="183"/>
  <c r="J94" i="183"/>
  <c r="J87" i="183"/>
  <c r="J82" i="183"/>
  <c r="J74" i="183"/>
  <c r="J69" i="183"/>
  <c r="J57" i="183"/>
  <c r="J93" i="183"/>
  <c r="J85" i="183"/>
  <c r="J81" i="183"/>
  <c r="J95" i="183"/>
  <c r="J89" i="183"/>
  <c r="J83" i="183"/>
  <c r="J79" i="183"/>
  <c r="J73" i="183"/>
  <c r="J72" i="183"/>
  <c r="J62" i="183"/>
  <c r="J61" i="183"/>
  <c r="J96" i="183"/>
  <c r="J84" i="183"/>
  <c r="J80" i="183"/>
  <c r="J71" i="183"/>
  <c r="J60" i="183"/>
  <c r="J91" i="183"/>
  <c r="J58" i="183"/>
  <c r="J53" i="183"/>
  <c r="J52" i="183"/>
  <c r="J97" i="183"/>
  <c r="J20" i="183"/>
  <c r="J21" i="183"/>
  <c r="J31" i="183"/>
  <c r="J32" i="183"/>
  <c r="J37" i="183"/>
  <c r="J45" i="183"/>
  <c r="J113" i="183"/>
  <c r="J23" i="183"/>
  <c r="J25" i="183"/>
  <c r="J27" i="183"/>
  <c r="J36" i="183"/>
  <c r="J38" i="183"/>
  <c r="J40" i="183"/>
  <c r="J42" i="183"/>
  <c r="J44" i="183"/>
  <c r="J46" i="183"/>
  <c r="J114" i="183"/>
  <c r="J26" i="183"/>
  <c r="J28" i="183"/>
  <c r="J39" i="183"/>
  <c r="J41" i="183"/>
  <c r="J24" i="183"/>
  <c r="J43" i="183"/>
  <c r="J115" i="183"/>
  <c r="J33" i="183"/>
  <c r="K28" i="183"/>
  <c r="F112" i="183"/>
  <c r="D112" i="183"/>
  <c r="G111" i="183"/>
  <c r="E116" i="183"/>
  <c r="F116" i="183"/>
  <c r="F111" i="183"/>
  <c r="G112" i="183"/>
  <c r="D111" i="183"/>
  <c r="C116" i="183"/>
  <c r="D116" i="183"/>
  <c r="J19" i="183"/>
  <c r="L93" i="183"/>
  <c r="L85" i="183"/>
  <c r="L81" i="183"/>
  <c r="L73" i="183"/>
  <c r="L62" i="183"/>
  <c r="L53" i="183"/>
  <c r="L96" i="183"/>
  <c r="L91" i="183"/>
  <c r="L84" i="183"/>
  <c r="L80" i="183"/>
  <c r="L94" i="183"/>
  <c r="L87" i="183"/>
  <c r="L82" i="183"/>
  <c r="L57" i="183"/>
  <c r="L71" i="183"/>
  <c r="L52" i="183"/>
  <c r="L72" i="183"/>
  <c r="L61" i="183"/>
  <c r="L74" i="183"/>
  <c r="L69" i="183"/>
  <c r="L58" i="183"/>
  <c r="L60" i="183"/>
  <c r="L95" i="183"/>
  <c r="L89" i="183"/>
  <c r="L83" i="183"/>
  <c r="L79" i="183"/>
  <c r="L97" i="183"/>
  <c r="L59" i="183"/>
  <c r="L20" i="183"/>
  <c r="H111" i="183"/>
  <c r="G116" i="183"/>
  <c r="H116" i="183"/>
  <c r="M28" i="183"/>
  <c r="N20" i="183"/>
  <c r="H112" i="183"/>
  <c r="L19" i="183"/>
  <c r="I111" i="183"/>
  <c r="L21" i="183"/>
  <c r="L24" i="183"/>
  <c r="L26" i="183"/>
  <c r="L32" i="183"/>
  <c r="L37" i="183"/>
  <c r="L39" i="183"/>
  <c r="L41" i="183"/>
  <c r="L43" i="183"/>
  <c r="L45" i="183"/>
  <c r="L113" i="183"/>
  <c r="L115" i="183"/>
  <c r="L28" i="183"/>
  <c r="L23" i="183"/>
  <c r="L25" i="183"/>
  <c r="L27" i="183"/>
  <c r="L36" i="183"/>
  <c r="L38" i="183"/>
  <c r="L40" i="183"/>
  <c r="L42" i="183"/>
  <c r="L44" i="183"/>
  <c r="L46" i="183"/>
  <c r="L114" i="183"/>
  <c r="L31" i="183"/>
  <c r="L33" i="183"/>
  <c r="I112" i="183"/>
  <c r="N59" i="183"/>
  <c r="N96" i="183"/>
  <c r="N91" i="183"/>
  <c r="N84" i="183"/>
  <c r="N80" i="183"/>
  <c r="N72" i="183"/>
  <c r="N61" i="183"/>
  <c r="N52" i="183"/>
  <c r="N95" i="183"/>
  <c r="N89" i="183"/>
  <c r="N83" i="183"/>
  <c r="N79" i="183"/>
  <c r="N93" i="183"/>
  <c r="N85" i="183"/>
  <c r="N81" i="183"/>
  <c r="N74" i="183"/>
  <c r="N69" i="183"/>
  <c r="N58" i="183"/>
  <c r="N53" i="183"/>
  <c r="N94" i="183"/>
  <c r="N87" i="183"/>
  <c r="N82" i="183"/>
  <c r="N73" i="183"/>
  <c r="N57" i="183"/>
  <c r="N71" i="183"/>
  <c r="N60" i="183"/>
  <c r="N62" i="183"/>
  <c r="N97" i="183"/>
  <c r="N19" i="183"/>
  <c r="I116" i="183"/>
  <c r="J116" i="183"/>
  <c r="J111" i="183"/>
  <c r="O28" i="183"/>
  <c r="J112" i="183"/>
  <c r="K111" i="183"/>
  <c r="K112" i="183"/>
  <c r="N23" i="183"/>
  <c r="N28" i="183"/>
  <c r="N21" i="183"/>
  <c r="N24" i="183"/>
  <c r="N26" i="183"/>
  <c r="N32" i="183"/>
  <c r="N37" i="183"/>
  <c r="N39" i="183"/>
  <c r="N41" i="183"/>
  <c r="N43" i="183"/>
  <c r="N45" i="183"/>
  <c r="N113" i="183"/>
  <c r="N115" i="183"/>
  <c r="N27" i="183"/>
  <c r="N36" i="183"/>
  <c r="N40" i="183"/>
  <c r="N42" i="183"/>
  <c r="N46" i="183"/>
  <c r="N114" i="183"/>
  <c r="N25" i="183"/>
  <c r="N38" i="183"/>
  <c r="N44" i="183"/>
  <c r="N31" i="183"/>
  <c r="N33" i="183"/>
  <c r="P19" i="183"/>
  <c r="P95" i="183"/>
  <c r="P89" i="183"/>
  <c r="P83" i="183"/>
  <c r="P79" i="183"/>
  <c r="P71" i="183"/>
  <c r="P60" i="183"/>
  <c r="P58" i="183"/>
  <c r="P94" i="183"/>
  <c r="P87" i="183"/>
  <c r="P82" i="183"/>
  <c r="P73" i="183"/>
  <c r="P72" i="183"/>
  <c r="P57" i="183"/>
  <c r="P74" i="183"/>
  <c r="P96" i="183"/>
  <c r="P91" i="183"/>
  <c r="P84" i="183"/>
  <c r="P80" i="183"/>
  <c r="P53" i="183"/>
  <c r="P52" i="183"/>
  <c r="P62" i="183"/>
  <c r="P61" i="183"/>
  <c r="P93" i="183"/>
  <c r="P85" i="183"/>
  <c r="P81" i="183"/>
  <c r="P69" i="183"/>
  <c r="P97" i="183"/>
  <c r="P59" i="183"/>
  <c r="P20" i="183"/>
  <c r="P23" i="183"/>
  <c r="P25" i="183"/>
  <c r="P27" i="183"/>
  <c r="P36" i="183"/>
  <c r="P38" i="183"/>
  <c r="P40" i="183"/>
  <c r="P42" i="183"/>
  <c r="P44" i="183"/>
  <c r="P46" i="183"/>
  <c r="P114" i="183"/>
  <c r="P28" i="183"/>
  <c r="P113" i="183"/>
  <c r="P21" i="183"/>
  <c r="P24" i="183"/>
  <c r="P26" i="183"/>
  <c r="P32" i="183"/>
  <c r="P37" i="183"/>
  <c r="P39" i="183"/>
  <c r="P41" i="183"/>
  <c r="P43" i="183"/>
  <c r="P45" i="183"/>
  <c r="P115" i="183"/>
  <c r="P31" i="183"/>
  <c r="P33" i="183"/>
  <c r="L112" i="183"/>
  <c r="M112" i="183"/>
  <c r="M111" i="183"/>
  <c r="L111" i="183"/>
  <c r="K116" i="183"/>
  <c r="L116" i="183"/>
  <c r="Q28" i="183"/>
  <c r="R94" i="183"/>
  <c r="R87" i="183"/>
  <c r="R82" i="183"/>
  <c r="R74" i="183"/>
  <c r="R69" i="183"/>
  <c r="R57" i="183"/>
  <c r="R93" i="183"/>
  <c r="R85" i="183"/>
  <c r="R81" i="183"/>
  <c r="R96" i="183"/>
  <c r="R91" i="183"/>
  <c r="R84" i="183"/>
  <c r="R80" i="183"/>
  <c r="R71" i="183"/>
  <c r="R60" i="183"/>
  <c r="R53" i="183"/>
  <c r="R52" i="183"/>
  <c r="R89" i="183"/>
  <c r="R73" i="183"/>
  <c r="R72" i="183"/>
  <c r="R62" i="183"/>
  <c r="R61" i="183"/>
  <c r="R95" i="183"/>
  <c r="R83" i="183"/>
  <c r="R79" i="183"/>
  <c r="R58" i="183"/>
  <c r="R97" i="183"/>
  <c r="R59" i="183"/>
  <c r="R24" i="183"/>
  <c r="R41" i="183"/>
  <c r="R23" i="183"/>
  <c r="R25" i="183"/>
  <c r="R27" i="183"/>
  <c r="R36" i="183"/>
  <c r="R38" i="183"/>
  <c r="R40" i="183"/>
  <c r="R42" i="183"/>
  <c r="R44" i="183"/>
  <c r="R46" i="183"/>
  <c r="R114" i="183"/>
  <c r="R21" i="183"/>
  <c r="R31" i="183"/>
  <c r="R32" i="183"/>
  <c r="R37" i="183"/>
  <c r="R43" i="183"/>
  <c r="R45" i="183"/>
  <c r="R113" i="183"/>
  <c r="R115" i="183"/>
  <c r="R26" i="183"/>
  <c r="R28" i="183"/>
  <c r="R39" i="183"/>
  <c r="R33" i="183"/>
  <c r="R20" i="183"/>
  <c r="R19" i="183"/>
  <c r="N112" i="183"/>
  <c r="O111" i="183"/>
  <c r="S28" i="183"/>
  <c r="M116" i="183"/>
  <c r="N116" i="183"/>
  <c r="N111" i="183"/>
  <c r="O112" i="183"/>
  <c r="T93" i="183"/>
  <c r="T85" i="183"/>
  <c r="T81" i="183"/>
  <c r="T73" i="183"/>
  <c r="T62" i="183"/>
  <c r="T53" i="183"/>
  <c r="T96" i="183"/>
  <c r="T91" i="183"/>
  <c r="T84" i="183"/>
  <c r="T80" i="183"/>
  <c r="T72" i="183"/>
  <c r="T61" i="183"/>
  <c r="T82" i="183"/>
  <c r="T74" i="183"/>
  <c r="T58" i="183"/>
  <c r="T52" i="183"/>
  <c r="T95" i="183"/>
  <c r="T89" i="183"/>
  <c r="T83" i="183"/>
  <c r="T79" i="183"/>
  <c r="T57" i="183"/>
  <c r="T94" i="183"/>
  <c r="T87" i="183"/>
  <c r="T69" i="183"/>
  <c r="T71" i="183"/>
  <c r="T60" i="183"/>
  <c r="T97" i="183"/>
  <c r="T59" i="183"/>
  <c r="T20" i="183"/>
  <c r="U28" i="183"/>
  <c r="V59" i="183"/>
  <c r="P111" i="183"/>
  <c r="O116" i="183"/>
  <c r="P116" i="183"/>
  <c r="T19" i="183"/>
  <c r="P112" i="183"/>
  <c r="T21" i="183"/>
  <c r="T24" i="183"/>
  <c r="T26" i="183"/>
  <c r="T32" i="183"/>
  <c r="T37" i="183"/>
  <c r="T39" i="183"/>
  <c r="T41" i="183"/>
  <c r="T43" i="183"/>
  <c r="T45" i="183"/>
  <c r="T113" i="183"/>
  <c r="T115" i="183"/>
  <c r="T28" i="183"/>
  <c r="T114" i="183"/>
  <c r="T23" i="183"/>
  <c r="T25" i="183"/>
  <c r="T27" i="183"/>
  <c r="T36" i="183"/>
  <c r="T38" i="183"/>
  <c r="T40" i="183"/>
  <c r="T42" i="183"/>
  <c r="T44" i="183"/>
  <c r="T46" i="183"/>
  <c r="T31" i="183"/>
  <c r="T33" i="183"/>
  <c r="Q111" i="183"/>
  <c r="Q112" i="183"/>
  <c r="V20" i="183"/>
  <c r="R112" i="183"/>
  <c r="Q116" i="183"/>
  <c r="R116" i="183"/>
  <c r="R111" i="183"/>
  <c r="S111" i="183"/>
  <c r="V25" i="183"/>
  <c r="V27" i="183"/>
  <c r="V38" i="183"/>
  <c r="V42" i="183"/>
  <c r="V46" i="183"/>
  <c r="V114" i="183"/>
  <c r="V21" i="183"/>
  <c r="V24" i="183"/>
  <c r="V26" i="183"/>
  <c r="V32" i="183"/>
  <c r="V37" i="183"/>
  <c r="V39" i="183"/>
  <c r="V41" i="183"/>
  <c r="V43" i="183"/>
  <c r="V45" i="183"/>
  <c r="V113" i="183"/>
  <c r="V115" i="183"/>
  <c r="V23" i="183"/>
  <c r="V28" i="183"/>
  <c r="V44" i="183"/>
  <c r="V36" i="183"/>
  <c r="V40" i="183"/>
  <c r="V31" i="183"/>
  <c r="V33" i="183"/>
  <c r="S112" i="183"/>
  <c r="V19" i="183"/>
  <c r="V96" i="183"/>
  <c r="V91" i="183"/>
  <c r="V82" i="183"/>
  <c r="V61" i="183"/>
  <c r="V57" i="183"/>
  <c r="V53" i="183"/>
  <c r="V85" i="183"/>
  <c r="V80" i="183"/>
  <c r="V72" i="183"/>
  <c r="T111" i="183"/>
  <c r="S116" i="183"/>
  <c r="T116" i="183"/>
  <c r="V95" i="183"/>
  <c r="V60" i="183"/>
  <c r="V52" i="183"/>
  <c r="V93" i="183"/>
  <c r="V84" i="183"/>
  <c r="V79" i="183"/>
  <c r="V71" i="183"/>
  <c r="V94" i="183"/>
  <c r="V87" i="183"/>
  <c r="U111" i="183"/>
  <c r="V89" i="183"/>
  <c r="V83" i="183"/>
  <c r="V74" i="183"/>
  <c r="V69" i="183"/>
  <c r="T112" i="183"/>
  <c r="V97" i="183"/>
  <c r="V62" i="183"/>
  <c r="U112" i="183"/>
  <c r="V58" i="183"/>
  <c r="V81" i="183"/>
  <c r="V73" i="183"/>
  <c r="V112" i="183"/>
  <c r="U116" i="183"/>
  <c r="V116" i="183"/>
  <c r="V111" i="183"/>
  <c r="C10" i="184"/>
  <c r="C31" i="184"/>
  <c r="C33" i="184"/>
  <c r="D19" i="184"/>
  <c r="D23" i="184"/>
  <c r="D25" i="184"/>
  <c r="D27" i="184"/>
  <c r="D36" i="184"/>
  <c r="D38" i="184"/>
  <c r="D40" i="184"/>
  <c r="D42" i="184"/>
  <c r="D44" i="184"/>
  <c r="D46" i="184"/>
  <c r="D21" i="184"/>
  <c r="D39" i="184"/>
  <c r="D31" i="184"/>
  <c r="D37" i="184"/>
  <c r="D45" i="184"/>
  <c r="D114" i="184"/>
  <c r="D24" i="184"/>
  <c r="D32" i="184"/>
  <c r="D33" i="184"/>
  <c r="D41" i="184"/>
  <c r="D113" i="184"/>
  <c r="D115" i="184"/>
  <c r="D28" i="184"/>
  <c r="D43" i="184"/>
  <c r="D26" i="184"/>
  <c r="D20" i="184"/>
  <c r="C111" i="184"/>
  <c r="C112" i="184"/>
  <c r="D111" i="184"/>
  <c r="C116" i="184"/>
  <c r="D116" i="184"/>
  <c r="D112" i="184"/>
  <c r="E10" i="184"/>
  <c r="E28" i="184"/>
  <c r="E31" i="184"/>
  <c r="E33" i="184"/>
  <c r="F94" i="184"/>
  <c r="F87" i="184"/>
  <c r="F82" i="184"/>
  <c r="F74" i="184"/>
  <c r="F69" i="184"/>
  <c r="F93" i="184"/>
  <c r="F85" i="184"/>
  <c r="F58" i="184"/>
  <c r="F96" i="184"/>
  <c r="F91" i="184"/>
  <c r="F84" i="184"/>
  <c r="F79" i="184"/>
  <c r="F71" i="184"/>
  <c r="F60" i="184"/>
  <c r="F55" i="184"/>
  <c r="F95" i="184"/>
  <c r="F89" i="184"/>
  <c r="F83" i="184"/>
  <c r="F80" i="184"/>
  <c r="F72" i="184"/>
  <c r="F61" i="184"/>
  <c r="F52" i="184"/>
  <c r="F81" i="184"/>
  <c r="F73" i="184"/>
  <c r="F62" i="184"/>
  <c r="F57" i="184"/>
  <c r="F53" i="184"/>
  <c r="F97" i="184"/>
  <c r="F36" i="184"/>
  <c r="F59" i="184"/>
  <c r="F32" i="184"/>
  <c r="F21" i="184"/>
  <c r="F26" i="184"/>
  <c r="F39" i="184"/>
  <c r="F43" i="184"/>
  <c r="F115" i="184"/>
  <c r="F20" i="184"/>
  <c r="F23" i="184"/>
  <c r="F38" i="184"/>
  <c r="F41" i="184"/>
  <c r="F44" i="184"/>
  <c r="F31" i="184"/>
  <c r="F37" i="184"/>
  <c r="F40" i="184"/>
  <c r="F114" i="184"/>
  <c r="F24" i="184"/>
  <c r="F27" i="184"/>
  <c r="F28" i="184"/>
  <c r="F42" i="184"/>
  <c r="F45" i="184"/>
  <c r="F19" i="184"/>
  <c r="F46" i="184"/>
  <c r="F25" i="184"/>
  <c r="F113" i="184"/>
  <c r="F33" i="184"/>
  <c r="E112" i="184"/>
  <c r="G28" i="184"/>
  <c r="H19" i="184"/>
  <c r="E111" i="184"/>
  <c r="H93" i="184"/>
  <c r="H85" i="184"/>
  <c r="H81" i="184"/>
  <c r="H73" i="184"/>
  <c r="H62" i="184"/>
  <c r="H55" i="184"/>
  <c r="H96" i="184"/>
  <c r="H91" i="184"/>
  <c r="H84" i="184"/>
  <c r="H82" i="184"/>
  <c r="H79" i="184"/>
  <c r="H74" i="184"/>
  <c r="H71" i="184"/>
  <c r="H69" i="184"/>
  <c r="H60" i="184"/>
  <c r="H95" i="184"/>
  <c r="H89" i="184"/>
  <c r="H83" i="184"/>
  <c r="H80" i="184"/>
  <c r="H72" i="184"/>
  <c r="H61" i="184"/>
  <c r="H52" i="184"/>
  <c r="H57" i="184"/>
  <c r="H53" i="184"/>
  <c r="H94" i="184"/>
  <c r="H87" i="184"/>
  <c r="H58" i="184"/>
  <c r="H97" i="184"/>
  <c r="H20" i="184"/>
  <c r="I28" i="184"/>
  <c r="J59" i="184"/>
  <c r="H59" i="184"/>
  <c r="H25" i="184"/>
  <c r="H38" i="184"/>
  <c r="H42" i="184"/>
  <c r="H46" i="184"/>
  <c r="H114" i="184"/>
  <c r="H24" i="184"/>
  <c r="H27" i="184"/>
  <c r="H28" i="184"/>
  <c r="H45" i="184"/>
  <c r="H115" i="184"/>
  <c r="H23" i="184"/>
  <c r="H26" i="184"/>
  <c r="H41" i="184"/>
  <c r="H44" i="184"/>
  <c r="H32" i="184"/>
  <c r="H36" i="184"/>
  <c r="H39" i="184"/>
  <c r="H113" i="184"/>
  <c r="H40" i="184"/>
  <c r="H43" i="184"/>
  <c r="H37" i="184"/>
  <c r="H21" i="184"/>
  <c r="F111" i="184"/>
  <c r="E116" i="184"/>
  <c r="F116" i="184"/>
  <c r="F112" i="184"/>
  <c r="J55" i="184"/>
  <c r="J96" i="184"/>
  <c r="J91" i="184"/>
  <c r="J84" i="184"/>
  <c r="J80" i="184"/>
  <c r="J72" i="184"/>
  <c r="J61" i="184"/>
  <c r="J58" i="184"/>
  <c r="J53" i="184"/>
  <c r="J95" i="184"/>
  <c r="J89" i="184"/>
  <c r="J83" i="184"/>
  <c r="J93" i="184"/>
  <c r="J85" i="184"/>
  <c r="J52" i="184"/>
  <c r="J57" i="184"/>
  <c r="J94" i="184"/>
  <c r="J87" i="184"/>
  <c r="J81" i="184"/>
  <c r="J73" i="184"/>
  <c r="J62" i="184"/>
  <c r="J82" i="184"/>
  <c r="J79" i="184"/>
  <c r="J74" i="184"/>
  <c r="J71" i="184"/>
  <c r="J69" i="184"/>
  <c r="J60" i="184"/>
  <c r="J97" i="184"/>
  <c r="J24" i="184"/>
  <c r="J32" i="184"/>
  <c r="J37" i="184"/>
  <c r="J41" i="184"/>
  <c r="J45" i="184"/>
  <c r="J113" i="184"/>
  <c r="J36" i="184"/>
  <c r="J39" i="184"/>
  <c r="J42" i="184"/>
  <c r="J27" i="184"/>
  <c r="J38" i="184"/>
  <c r="J115" i="184"/>
  <c r="J21" i="184"/>
  <c r="J25" i="184"/>
  <c r="J40" i="184"/>
  <c r="J43" i="184"/>
  <c r="J46" i="184"/>
  <c r="J26" i="184"/>
  <c r="J28" i="184"/>
  <c r="J114" i="184"/>
  <c r="J23" i="184"/>
  <c r="J44" i="184"/>
  <c r="J20" i="184"/>
  <c r="J19" i="184"/>
  <c r="G111" i="184"/>
  <c r="G112" i="184"/>
  <c r="K28" i="184"/>
  <c r="L19" i="184"/>
  <c r="L95" i="184"/>
  <c r="L89" i="184"/>
  <c r="L83" i="184"/>
  <c r="L79" i="184"/>
  <c r="L71" i="184"/>
  <c r="L60" i="184"/>
  <c r="L57" i="184"/>
  <c r="L52" i="184"/>
  <c r="L97" i="184"/>
  <c r="L94" i="184"/>
  <c r="L87" i="184"/>
  <c r="L96" i="184"/>
  <c r="L91" i="184"/>
  <c r="L84" i="184"/>
  <c r="L80" i="184"/>
  <c r="L72" i="184"/>
  <c r="L61" i="184"/>
  <c r="L55" i="184"/>
  <c r="L81" i="184"/>
  <c r="L73" i="184"/>
  <c r="L62" i="184"/>
  <c r="L53" i="184"/>
  <c r="L82" i="184"/>
  <c r="L74" i="184"/>
  <c r="L69" i="184"/>
  <c r="L58" i="184"/>
  <c r="L93" i="184"/>
  <c r="L85" i="184"/>
  <c r="L59" i="184"/>
  <c r="L20" i="184"/>
  <c r="I112" i="184"/>
  <c r="I111" i="184"/>
  <c r="H112" i="184"/>
  <c r="G116" i="184"/>
  <c r="H116" i="184"/>
  <c r="H111" i="184"/>
  <c r="L23" i="184"/>
  <c r="L27" i="184"/>
  <c r="L36" i="184"/>
  <c r="L40" i="184"/>
  <c r="L44" i="184"/>
  <c r="L21" i="184"/>
  <c r="L25" i="184"/>
  <c r="L32" i="184"/>
  <c r="L43" i="184"/>
  <c r="L46" i="184"/>
  <c r="L113" i="184"/>
  <c r="L24" i="184"/>
  <c r="L39" i="184"/>
  <c r="L42" i="184"/>
  <c r="L45" i="184"/>
  <c r="L26" i="184"/>
  <c r="L28" i="184"/>
  <c r="L37" i="184"/>
  <c r="L114" i="184"/>
  <c r="L115" i="184"/>
  <c r="L38" i="184"/>
  <c r="L41" i="184"/>
  <c r="M28" i="184"/>
  <c r="N94" i="184"/>
  <c r="N87" i="184"/>
  <c r="N82" i="184"/>
  <c r="N74" i="184"/>
  <c r="N69" i="184"/>
  <c r="N93" i="184"/>
  <c r="N85" i="184"/>
  <c r="N55" i="184"/>
  <c r="N95" i="184"/>
  <c r="N89" i="184"/>
  <c r="N83" i="184"/>
  <c r="N81" i="184"/>
  <c r="N73" i="184"/>
  <c r="N62" i="184"/>
  <c r="N57" i="184"/>
  <c r="N53" i="184"/>
  <c r="N58" i="184"/>
  <c r="N79" i="184"/>
  <c r="N71" i="184"/>
  <c r="N60" i="184"/>
  <c r="N96" i="184"/>
  <c r="N91" i="184"/>
  <c r="N84" i="184"/>
  <c r="N80" i="184"/>
  <c r="N72" i="184"/>
  <c r="N61" i="184"/>
  <c r="N52" i="184"/>
  <c r="N97" i="184"/>
  <c r="N59" i="184"/>
  <c r="K111" i="184"/>
  <c r="N21" i="184"/>
  <c r="N26" i="184"/>
  <c r="N39" i="184"/>
  <c r="N43" i="184"/>
  <c r="N115" i="184"/>
  <c r="N37" i="184"/>
  <c r="N40" i="184"/>
  <c r="N114" i="184"/>
  <c r="N25" i="184"/>
  <c r="N28" i="184"/>
  <c r="N32" i="184"/>
  <c r="N36" i="184"/>
  <c r="N46" i="184"/>
  <c r="N113" i="184"/>
  <c r="N23" i="184"/>
  <c r="N38" i="184"/>
  <c r="N41" i="184"/>
  <c r="N44" i="184"/>
  <c r="N42" i="184"/>
  <c r="N45" i="184"/>
  <c r="N27" i="184"/>
  <c r="N24" i="184"/>
  <c r="K112" i="184"/>
  <c r="I116" i="184"/>
  <c r="J116" i="184"/>
  <c r="J111" i="184"/>
  <c r="N20" i="184"/>
  <c r="O28" i="184"/>
  <c r="J112" i="184"/>
  <c r="N19" i="184"/>
  <c r="P20" i="184"/>
  <c r="P93" i="184"/>
  <c r="P85" i="184"/>
  <c r="P81" i="184"/>
  <c r="P73" i="184"/>
  <c r="P62" i="184"/>
  <c r="P55" i="184"/>
  <c r="P96" i="184"/>
  <c r="P91" i="184"/>
  <c r="P84" i="184"/>
  <c r="P58" i="184"/>
  <c r="P94" i="184"/>
  <c r="P87" i="184"/>
  <c r="P82" i="184"/>
  <c r="P79" i="184"/>
  <c r="P74" i="184"/>
  <c r="P71" i="184"/>
  <c r="P69" i="184"/>
  <c r="P60" i="184"/>
  <c r="P80" i="184"/>
  <c r="P72" i="184"/>
  <c r="P61" i="184"/>
  <c r="P52" i="184"/>
  <c r="P95" i="184"/>
  <c r="P89" i="184"/>
  <c r="P83" i="184"/>
  <c r="P57" i="184"/>
  <c r="P53" i="184"/>
  <c r="P97" i="184"/>
  <c r="P59" i="184"/>
  <c r="P19" i="184"/>
  <c r="L112" i="184"/>
  <c r="M112" i="184"/>
  <c r="L111" i="184"/>
  <c r="K116" i="184"/>
  <c r="L116" i="184"/>
  <c r="P25" i="184"/>
  <c r="P38" i="184"/>
  <c r="P42" i="184"/>
  <c r="P46" i="184"/>
  <c r="P114" i="184"/>
  <c r="P23" i="184"/>
  <c r="P26" i="184"/>
  <c r="P41" i="184"/>
  <c r="P44" i="184"/>
  <c r="P21" i="184"/>
  <c r="P37" i="184"/>
  <c r="P40" i="184"/>
  <c r="P43" i="184"/>
  <c r="P24" i="184"/>
  <c r="P27" i="184"/>
  <c r="P45" i="184"/>
  <c r="P115" i="184"/>
  <c r="P32" i="184"/>
  <c r="P113" i="184"/>
  <c r="P36" i="184"/>
  <c r="P39" i="184"/>
  <c r="P28" i="184"/>
  <c r="Q28" i="184"/>
  <c r="M111" i="184"/>
  <c r="R55" i="184"/>
  <c r="R96" i="184"/>
  <c r="R91" i="184"/>
  <c r="R84" i="184"/>
  <c r="R80" i="184"/>
  <c r="R72" i="184"/>
  <c r="R61" i="184"/>
  <c r="R58" i="184"/>
  <c r="R53" i="184"/>
  <c r="R95" i="184"/>
  <c r="R89" i="184"/>
  <c r="R83" i="184"/>
  <c r="R94" i="184"/>
  <c r="R87" i="184"/>
  <c r="R82" i="184"/>
  <c r="R79" i="184"/>
  <c r="R74" i="184"/>
  <c r="R71" i="184"/>
  <c r="R69" i="184"/>
  <c r="R60" i="184"/>
  <c r="R52" i="184"/>
  <c r="R93" i="184"/>
  <c r="R85" i="184"/>
  <c r="R57" i="184"/>
  <c r="R81" i="184"/>
  <c r="R73" i="184"/>
  <c r="R62" i="184"/>
  <c r="R97" i="184"/>
  <c r="R59" i="184"/>
  <c r="R24" i="184"/>
  <c r="R32" i="184"/>
  <c r="R37" i="184"/>
  <c r="R41" i="184"/>
  <c r="R45" i="184"/>
  <c r="R113" i="184"/>
  <c r="R27" i="184"/>
  <c r="R28" i="184"/>
  <c r="R38" i="184"/>
  <c r="R115" i="184"/>
  <c r="R23" i="184"/>
  <c r="R26" i="184"/>
  <c r="R44" i="184"/>
  <c r="R114" i="184"/>
  <c r="R36" i="184"/>
  <c r="R39" i="184"/>
  <c r="R42" i="184"/>
  <c r="R40" i="184"/>
  <c r="R21" i="184"/>
  <c r="R43" i="184"/>
  <c r="R25" i="184"/>
  <c r="R46" i="184"/>
  <c r="S28" i="184"/>
  <c r="O111" i="184"/>
  <c r="R19" i="184"/>
  <c r="O112" i="184"/>
  <c r="R20" i="184"/>
  <c r="M116" i="184"/>
  <c r="N116" i="184"/>
  <c r="N111" i="184"/>
  <c r="N112" i="184"/>
  <c r="T19" i="184"/>
  <c r="T95" i="184"/>
  <c r="T89" i="184"/>
  <c r="T83" i="184"/>
  <c r="T79" i="184"/>
  <c r="T71" i="184"/>
  <c r="T60" i="184"/>
  <c r="T57" i="184"/>
  <c r="T52" i="184"/>
  <c r="T94" i="184"/>
  <c r="T87" i="184"/>
  <c r="T82" i="184"/>
  <c r="T93" i="184"/>
  <c r="T85" i="184"/>
  <c r="T80" i="184"/>
  <c r="T72" i="184"/>
  <c r="T61" i="184"/>
  <c r="T96" i="184"/>
  <c r="T91" i="184"/>
  <c r="T84" i="184"/>
  <c r="T81" i="184"/>
  <c r="T73" i="184"/>
  <c r="T62" i="184"/>
  <c r="T53" i="184"/>
  <c r="T55" i="184"/>
  <c r="T74" i="184"/>
  <c r="T69" i="184"/>
  <c r="T58" i="184"/>
  <c r="T97" i="184"/>
  <c r="T59" i="184"/>
  <c r="T20" i="184"/>
  <c r="U28" i="184"/>
  <c r="T23" i="184"/>
  <c r="T27" i="184"/>
  <c r="T36" i="184"/>
  <c r="T40" i="184"/>
  <c r="T44" i="184"/>
  <c r="T24" i="184"/>
  <c r="T39" i="184"/>
  <c r="T42" i="184"/>
  <c r="T45" i="184"/>
  <c r="T28" i="184"/>
  <c r="T38" i="184"/>
  <c r="T41" i="184"/>
  <c r="T115" i="184"/>
  <c r="T21" i="184"/>
  <c r="T25" i="184"/>
  <c r="T32" i="184"/>
  <c r="T43" i="184"/>
  <c r="T46" i="184"/>
  <c r="T113" i="184"/>
  <c r="T37" i="184"/>
  <c r="T114" i="184"/>
  <c r="T26" i="184"/>
  <c r="P111" i="184"/>
  <c r="O116" i="184"/>
  <c r="P116" i="184"/>
  <c r="Q111" i="184"/>
  <c r="P112" i="184"/>
  <c r="Q112" i="184"/>
  <c r="V19" i="184"/>
  <c r="V59" i="184"/>
  <c r="V20" i="184"/>
  <c r="R111" i="184"/>
  <c r="Q116" i="184"/>
  <c r="R116" i="184"/>
  <c r="V21" i="184"/>
  <c r="V26" i="184"/>
  <c r="V39" i="184"/>
  <c r="V43" i="184"/>
  <c r="V115" i="184"/>
  <c r="V25" i="184"/>
  <c r="V32" i="184"/>
  <c r="V36" i="184"/>
  <c r="V46" i="184"/>
  <c r="V113" i="184"/>
  <c r="V24" i="184"/>
  <c r="V27" i="184"/>
  <c r="V42" i="184"/>
  <c r="V45" i="184"/>
  <c r="V28" i="184"/>
  <c r="V37" i="184"/>
  <c r="V40" i="184"/>
  <c r="V114" i="184"/>
  <c r="V23" i="184"/>
  <c r="V44" i="184"/>
  <c r="V38" i="184"/>
  <c r="V41" i="184"/>
  <c r="S111" i="184"/>
  <c r="R112" i="184"/>
  <c r="S112" i="184"/>
  <c r="V87" i="184"/>
  <c r="V81" i="184"/>
  <c r="V84" i="184"/>
  <c r="V60" i="184"/>
  <c r="V52" i="184"/>
  <c r="S116" i="184"/>
  <c r="T116" i="184"/>
  <c r="T111" i="184"/>
  <c r="V61" i="184"/>
  <c r="V83" i="184"/>
  <c r="V95" i="184"/>
  <c r="V89" i="184"/>
  <c r="V57" i="184"/>
  <c r="V94" i="184"/>
  <c r="U112" i="184"/>
  <c r="V62" i="184"/>
  <c r="V55" i="184"/>
  <c r="V93" i="184"/>
  <c r="V53" i="184"/>
  <c r="V69" i="184"/>
  <c r="V79" i="184"/>
  <c r="V73" i="184"/>
  <c r="V82" i="184"/>
  <c r="V74" i="184"/>
  <c r="V58" i="184"/>
  <c r="V85" i="184"/>
  <c r="T112" i="184"/>
  <c r="V91" i="184"/>
  <c r="U111" i="184"/>
  <c r="V71" i="184"/>
  <c r="V97" i="184"/>
  <c r="V96" i="184"/>
  <c r="V80" i="184"/>
  <c r="V72" i="184"/>
  <c r="V111" i="184"/>
  <c r="U116" i="184"/>
  <c r="V116" i="184"/>
  <c r="V112" i="184"/>
  <c r="G10" i="184"/>
  <c r="G31" i="184"/>
  <c r="G33" i="184"/>
  <c r="H33" i="184"/>
  <c r="H31" i="184"/>
  <c r="I10" i="184"/>
  <c r="I31" i="184"/>
  <c r="J31" i="184"/>
  <c r="I33" i="184"/>
  <c r="J33" i="184"/>
  <c r="K10" i="184"/>
  <c r="K31" i="184"/>
  <c r="L31" i="184"/>
  <c r="M10" i="184"/>
  <c r="M31" i="184"/>
  <c r="N31" i="184"/>
  <c r="M33" i="184"/>
  <c r="N33" i="184"/>
  <c r="K33" i="184"/>
  <c r="O10" i="184"/>
  <c r="O31" i="184"/>
  <c r="P31" i="184"/>
  <c r="Q10" i="184"/>
  <c r="Q31" i="184"/>
  <c r="Q33" i="184"/>
  <c r="R31" i="184"/>
  <c r="O33" i="184"/>
  <c r="L33" i="184"/>
  <c r="R33" i="184"/>
  <c r="S10" i="184"/>
  <c r="S31" i="184"/>
  <c r="S33" i="184"/>
  <c r="U10" i="184"/>
  <c r="U31" i="184"/>
  <c r="V31" i="184"/>
  <c r="U33" i="184"/>
  <c r="T31" i="184"/>
  <c r="T33" i="184"/>
  <c r="P33" i="184"/>
  <c r="V33" i="184"/>
  <c r="C10" i="185"/>
  <c r="C31" i="185"/>
  <c r="C33" i="185"/>
  <c r="D19" i="185"/>
  <c r="D21" i="185"/>
  <c r="D24" i="185"/>
  <c r="D26" i="185"/>
  <c r="D32" i="185"/>
  <c r="D37" i="185"/>
  <c r="D39" i="185"/>
  <c r="D41" i="185"/>
  <c r="D43" i="185"/>
  <c r="D45" i="185"/>
  <c r="D20" i="185"/>
  <c r="D23" i="185"/>
  <c r="D25" i="185"/>
  <c r="D27" i="185"/>
  <c r="D36" i="185"/>
  <c r="D38" i="185"/>
  <c r="D40" i="185"/>
  <c r="D42" i="185"/>
  <c r="D44" i="185"/>
  <c r="D46" i="185"/>
  <c r="D31" i="185"/>
  <c r="D113" i="185"/>
  <c r="D115" i="185"/>
  <c r="D28" i="185"/>
  <c r="D114" i="185"/>
  <c r="D33" i="185"/>
  <c r="C112" i="185"/>
  <c r="C111" i="185"/>
  <c r="D112" i="185"/>
  <c r="D111" i="185"/>
  <c r="C116" i="185"/>
  <c r="D116" i="185"/>
  <c r="E31" i="185"/>
  <c r="E33" i="185"/>
  <c r="F19" i="185"/>
  <c r="F21" i="185"/>
  <c r="F26" i="185"/>
  <c r="F39" i="185"/>
  <c r="F43" i="185"/>
  <c r="F115" i="185"/>
  <c r="F23" i="185"/>
  <c r="F27" i="185"/>
  <c r="F36" i="185"/>
  <c r="F40" i="185"/>
  <c r="F44" i="185"/>
  <c r="F25" i="185"/>
  <c r="F28" i="185"/>
  <c r="F38" i="185"/>
  <c r="F42" i="185"/>
  <c r="F46" i="185"/>
  <c r="F114" i="185"/>
  <c r="F45" i="185"/>
  <c r="F32" i="185"/>
  <c r="F113" i="185"/>
  <c r="F41" i="185"/>
  <c r="F24" i="185"/>
  <c r="F37" i="185"/>
  <c r="F20" i="185"/>
  <c r="F31" i="185"/>
  <c r="F33" i="185"/>
  <c r="H19" i="185"/>
  <c r="E111" i="185"/>
  <c r="E112" i="185"/>
  <c r="H25" i="185"/>
  <c r="H38" i="185"/>
  <c r="H42" i="185"/>
  <c r="H46" i="185"/>
  <c r="H114" i="185"/>
  <c r="H21" i="185"/>
  <c r="H26" i="185"/>
  <c r="H28" i="185"/>
  <c r="H39" i="185"/>
  <c r="H43" i="185"/>
  <c r="H115" i="185"/>
  <c r="H24" i="185"/>
  <c r="H32" i="185"/>
  <c r="H37" i="185"/>
  <c r="H41" i="185"/>
  <c r="H45" i="185"/>
  <c r="H113" i="185"/>
  <c r="H23" i="185"/>
  <c r="H36" i="185"/>
  <c r="H27" i="185"/>
  <c r="H40" i="185"/>
  <c r="H44" i="185"/>
  <c r="H20" i="185"/>
  <c r="J19" i="185"/>
  <c r="F112" i="185"/>
  <c r="G112" i="185"/>
  <c r="E116" i="185"/>
  <c r="F116" i="185"/>
  <c r="F111" i="185"/>
  <c r="J24" i="185"/>
  <c r="J32" i="185"/>
  <c r="J37" i="185"/>
  <c r="J41" i="185"/>
  <c r="J45" i="185"/>
  <c r="J113" i="185"/>
  <c r="J25" i="185"/>
  <c r="J38" i="185"/>
  <c r="J42" i="185"/>
  <c r="J46" i="185"/>
  <c r="J114" i="185"/>
  <c r="J23" i="185"/>
  <c r="J27" i="185"/>
  <c r="J28" i="185"/>
  <c r="J36" i="185"/>
  <c r="J40" i="185"/>
  <c r="J44" i="185"/>
  <c r="J43" i="185"/>
  <c r="J26" i="185"/>
  <c r="J39" i="185"/>
  <c r="J21" i="185"/>
  <c r="J115" i="185"/>
  <c r="J20" i="185"/>
  <c r="G111" i="185"/>
  <c r="L19" i="185"/>
  <c r="I112" i="185"/>
  <c r="L23" i="185"/>
  <c r="L27" i="185"/>
  <c r="L36" i="185"/>
  <c r="L40" i="185"/>
  <c r="L44" i="185"/>
  <c r="L24" i="185"/>
  <c r="L28" i="185"/>
  <c r="L32" i="185"/>
  <c r="L37" i="185"/>
  <c r="L41" i="185"/>
  <c r="L45" i="185"/>
  <c r="L113" i="185"/>
  <c r="L21" i="185"/>
  <c r="L26" i="185"/>
  <c r="L39" i="185"/>
  <c r="L43" i="185"/>
  <c r="L115" i="185"/>
  <c r="L114" i="185"/>
  <c r="L25" i="185"/>
  <c r="L38" i="185"/>
  <c r="L46" i="185"/>
  <c r="L42" i="185"/>
  <c r="L20" i="185"/>
  <c r="N19" i="185"/>
  <c r="H111" i="185"/>
  <c r="G116" i="185"/>
  <c r="H116" i="185"/>
  <c r="H112" i="185"/>
  <c r="I111" i="185"/>
  <c r="K112" i="185"/>
  <c r="P19" i="185"/>
  <c r="K111" i="185"/>
  <c r="I116" i="185"/>
  <c r="J116" i="185"/>
  <c r="J111" i="185"/>
  <c r="N21" i="185"/>
  <c r="N26" i="185"/>
  <c r="N39" i="185"/>
  <c r="N43" i="185"/>
  <c r="N115" i="185"/>
  <c r="N23" i="185"/>
  <c r="N27" i="185"/>
  <c r="N36" i="185"/>
  <c r="N40" i="185"/>
  <c r="N44" i="185"/>
  <c r="N25" i="185"/>
  <c r="N28" i="185"/>
  <c r="N38" i="185"/>
  <c r="N42" i="185"/>
  <c r="N46" i="185"/>
  <c r="N114" i="185"/>
  <c r="N41" i="185"/>
  <c r="N45" i="185"/>
  <c r="N24" i="185"/>
  <c r="N37" i="185"/>
  <c r="N32" i="185"/>
  <c r="N113" i="185"/>
  <c r="N20" i="185"/>
  <c r="J112" i="185"/>
  <c r="M112" i="185"/>
  <c r="P25" i="185"/>
  <c r="P38" i="185"/>
  <c r="P42" i="185"/>
  <c r="P46" i="185"/>
  <c r="P114" i="185"/>
  <c r="P21" i="185"/>
  <c r="P26" i="185"/>
  <c r="P28" i="185"/>
  <c r="P39" i="185"/>
  <c r="P43" i="185"/>
  <c r="P115" i="185"/>
  <c r="P24" i="185"/>
  <c r="P32" i="185"/>
  <c r="P37" i="185"/>
  <c r="P41" i="185"/>
  <c r="P45" i="185"/>
  <c r="P113" i="185"/>
  <c r="P23" i="185"/>
  <c r="P36" i="185"/>
  <c r="P44" i="185"/>
  <c r="P27" i="185"/>
  <c r="P40" i="185"/>
  <c r="P20" i="185"/>
  <c r="M111" i="185"/>
  <c r="L111" i="185"/>
  <c r="K116" i="185"/>
  <c r="L116" i="185"/>
  <c r="L112" i="185"/>
  <c r="R19" i="185"/>
  <c r="M116" i="185"/>
  <c r="N116" i="185"/>
  <c r="N111" i="185"/>
  <c r="O112" i="185"/>
  <c r="R24" i="185"/>
  <c r="R32" i="185"/>
  <c r="R37" i="185"/>
  <c r="R41" i="185"/>
  <c r="R45" i="185"/>
  <c r="R113" i="185"/>
  <c r="R25" i="185"/>
  <c r="R38" i="185"/>
  <c r="R42" i="185"/>
  <c r="R46" i="185"/>
  <c r="R114" i="185"/>
  <c r="R23" i="185"/>
  <c r="R27" i="185"/>
  <c r="R28" i="185"/>
  <c r="R36" i="185"/>
  <c r="R40" i="185"/>
  <c r="R44" i="185"/>
  <c r="R26" i="185"/>
  <c r="R39" i="185"/>
  <c r="R43" i="185"/>
  <c r="R21" i="185"/>
  <c r="R115" i="185"/>
  <c r="R20" i="185"/>
  <c r="O111" i="185"/>
  <c r="N112" i="185"/>
  <c r="T19" i="185"/>
  <c r="Q112" i="185"/>
  <c r="U28" i="185"/>
  <c r="P112" i="185"/>
  <c r="P111" i="185"/>
  <c r="O116" i="185"/>
  <c r="P116" i="185"/>
  <c r="Q111" i="185"/>
  <c r="T23" i="185"/>
  <c r="T27" i="185"/>
  <c r="T36" i="185"/>
  <c r="T40" i="185"/>
  <c r="T44" i="185"/>
  <c r="T24" i="185"/>
  <c r="T28" i="185"/>
  <c r="T32" i="185"/>
  <c r="T37" i="185"/>
  <c r="T41" i="185"/>
  <c r="T45" i="185"/>
  <c r="T113" i="185"/>
  <c r="T21" i="185"/>
  <c r="T26" i="185"/>
  <c r="T39" i="185"/>
  <c r="T43" i="185"/>
  <c r="T115" i="185"/>
  <c r="T46" i="185"/>
  <c r="T114" i="185"/>
  <c r="T42" i="185"/>
  <c r="T25" i="185"/>
  <c r="T38" i="185"/>
  <c r="T20" i="185"/>
  <c r="V59" i="185"/>
  <c r="R112" i="185"/>
  <c r="V21" i="185"/>
  <c r="V26" i="185"/>
  <c r="V39" i="185"/>
  <c r="V43" i="185"/>
  <c r="V115" i="185"/>
  <c r="V23" i="185"/>
  <c r="V27" i="185"/>
  <c r="V36" i="185"/>
  <c r="V40" i="185"/>
  <c r="V44" i="185"/>
  <c r="V25" i="185"/>
  <c r="V28" i="185"/>
  <c r="V38" i="185"/>
  <c r="V42" i="185"/>
  <c r="V46" i="185"/>
  <c r="V114" i="185"/>
  <c r="V24" i="185"/>
  <c r="V37" i="185"/>
  <c r="V41" i="185"/>
  <c r="V32" i="185"/>
  <c r="V113" i="185"/>
  <c r="V45" i="185"/>
  <c r="V20" i="185"/>
  <c r="S112" i="185"/>
  <c r="S111" i="185"/>
  <c r="Q116" i="185"/>
  <c r="R116" i="185"/>
  <c r="R111" i="185"/>
  <c r="V19" i="185"/>
  <c r="V82" i="185"/>
  <c r="V74" i="185"/>
  <c r="V58" i="185"/>
  <c r="V55" i="185"/>
  <c r="V97" i="185"/>
  <c r="V93" i="185"/>
  <c r="V61" i="185"/>
  <c r="V91" i="185"/>
  <c r="U111" i="185"/>
  <c r="V96" i="185"/>
  <c r="V80" i="185"/>
  <c r="V72" i="185"/>
  <c r="T111" i="185"/>
  <c r="S116" i="185"/>
  <c r="T116" i="185"/>
  <c r="V87" i="185"/>
  <c r="V73" i="185"/>
  <c r="V69" i="185"/>
  <c r="V79" i="185"/>
  <c r="V89" i="185"/>
  <c r="V57" i="185"/>
  <c r="V85" i="185"/>
  <c r="V53" i="185"/>
  <c r="V83" i="185"/>
  <c r="V94" i="185"/>
  <c r="U112" i="185"/>
  <c r="V62" i="185"/>
  <c r="V95" i="185"/>
  <c r="T112" i="185"/>
  <c r="V71" i="185"/>
  <c r="V81" i="185"/>
  <c r="V84" i="185"/>
  <c r="V60" i="185"/>
  <c r="V52" i="185"/>
  <c r="U116" i="185"/>
  <c r="V116" i="185"/>
  <c r="V111" i="185"/>
  <c r="V112" i="185"/>
  <c r="G31" i="185"/>
  <c r="H31" i="185"/>
  <c r="G33" i="185"/>
  <c r="H33" i="185"/>
  <c r="I31" i="185"/>
  <c r="J31" i="185"/>
  <c r="I33" i="185"/>
  <c r="J33" i="185"/>
  <c r="K31" i="185"/>
  <c r="L31" i="185"/>
  <c r="K33" i="185"/>
  <c r="L33" i="185"/>
  <c r="M31" i="185"/>
  <c r="N31" i="185"/>
  <c r="M33" i="185"/>
  <c r="N33" i="185"/>
  <c r="O31" i="185"/>
  <c r="P31" i="185"/>
  <c r="O33" i="185"/>
  <c r="P33" i="185"/>
  <c r="Q31" i="185"/>
  <c r="R31" i="185"/>
  <c r="Q33" i="185"/>
  <c r="R33" i="185"/>
  <c r="S31" i="185"/>
  <c r="T31" i="185"/>
  <c r="S33" i="185"/>
  <c r="T33" i="185"/>
  <c r="U31" i="185"/>
  <c r="V31" i="185"/>
  <c r="U33" i="185"/>
  <c r="V33" i="185"/>
  <c r="C10" i="186"/>
  <c r="C31" i="186"/>
  <c r="C33" i="186"/>
  <c r="D33" i="186"/>
  <c r="D28" i="186"/>
  <c r="D23" i="186"/>
  <c r="D24" i="186"/>
  <c r="D36" i="186"/>
  <c r="D38" i="186"/>
  <c r="D40" i="186"/>
  <c r="D42" i="186"/>
  <c r="D44" i="186"/>
  <c r="D46" i="186"/>
  <c r="D26" i="186"/>
  <c r="D37" i="186"/>
  <c r="D45" i="186"/>
  <c r="D32" i="186"/>
  <c r="D43" i="186"/>
  <c r="D113" i="186"/>
  <c r="D41" i="186"/>
  <c r="D25" i="186"/>
  <c r="D27" i="186"/>
  <c r="D39" i="186"/>
  <c r="D114" i="186"/>
  <c r="D115" i="186"/>
  <c r="D21" i="186"/>
  <c r="D31" i="186"/>
  <c r="D20" i="186"/>
  <c r="D19" i="186"/>
  <c r="C112" i="186"/>
  <c r="C111" i="186"/>
  <c r="D111" i="186"/>
  <c r="C116" i="186"/>
  <c r="D116" i="186"/>
  <c r="D112" i="186"/>
  <c r="G31" i="186"/>
  <c r="G33" i="186"/>
  <c r="I31" i="186"/>
  <c r="O31" i="186"/>
  <c r="E31" i="186"/>
  <c r="E33" i="186"/>
  <c r="K31" i="186"/>
  <c r="K33" i="186"/>
  <c r="M31" i="186"/>
  <c r="M33" i="186"/>
  <c r="Q31" i="186"/>
  <c r="S31" i="186"/>
  <c r="S33" i="186"/>
  <c r="U31" i="186"/>
  <c r="U33" i="186"/>
  <c r="O33" i="186"/>
  <c r="Q33" i="186"/>
  <c r="I33" i="186"/>
  <c r="E28" i="186"/>
  <c r="F19" i="186"/>
  <c r="F97" i="186"/>
  <c r="F95" i="186"/>
  <c r="F89" i="186"/>
  <c r="F83" i="186"/>
  <c r="F79" i="186"/>
  <c r="F71" i="186"/>
  <c r="F60" i="186"/>
  <c r="F58" i="186"/>
  <c r="F94" i="186"/>
  <c r="F87" i="186"/>
  <c r="F82" i="186"/>
  <c r="F74" i="186"/>
  <c r="F93" i="186"/>
  <c r="F85" i="186"/>
  <c r="F81" i="186"/>
  <c r="F73" i="186"/>
  <c r="F62" i="186"/>
  <c r="F53" i="186"/>
  <c r="F96" i="186"/>
  <c r="F91" i="186"/>
  <c r="F84" i="186"/>
  <c r="F80" i="186"/>
  <c r="F57" i="186"/>
  <c r="F52" i="186"/>
  <c r="F72" i="186"/>
  <c r="F61" i="186"/>
  <c r="F69" i="186"/>
  <c r="F20" i="186"/>
  <c r="F59" i="186"/>
  <c r="F33" i="186"/>
  <c r="F31" i="186"/>
  <c r="G28" i="186"/>
  <c r="F24" i="186"/>
  <c r="F32" i="186"/>
  <c r="F37" i="186"/>
  <c r="F41" i="186"/>
  <c r="F45" i="186"/>
  <c r="F23" i="186"/>
  <c r="F26" i="186"/>
  <c r="F38" i="186"/>
  <c r="F21" i="186"/>
  <c r="F42" i="186"/>
  <c r="F46" i="186"/>
  <c r="F39" i="186"/>
  <c r="F43" i="186"/>
  <c r="F25" i="186"/>
  <c r="F28" i="186"/>
  <c r="F114" i="186"/>
  <c r="F36" i="186"/>
  <c r="F44" i="186"/>
  <c r="F115" i="186"/>
  <c r="F40" i="186"/>
  <c r="F27" i="186"/>
  <c r="F113" i="186"/>
  <c r="H94" i="186"/>
  <c r="H87" i="186"/>
  <c r="H82" i="186"/>
  <c r="H74" i="186"/>
  <c r="H69" i="186"/>
  <c r="H57" i="186"/>
  <c r="H93" i="186"/>
  <c r="H85" i="186"/>
  <c r="H81" i="186"/>
  <c r="H96" i="186"/>
  <c r="H91" i="186"/>
  <c r="H84" i="186"/>
  <c r="H80" i="186"/>
  <c r="H72" i="186"/>
  <c r="H61" i="186"/>
  <c r="H52" i="186"/>
  <c r="H95" i="186"/>
  <c r="H89" i="186"/>
  <c r="H83" i="186"/>
  <c r="H79" i="186"/>
  <c r="H71" i="186"/>
  <c r="H60" i="186"/>
  <c r="H53" i="186"/>
  <c r="H73" i="186"/>
  <c r="H62" i="186"/>
  <c r="H58" i="186"/>
  <c r="H97" i="186"/>
  <c r="H59" i="186"/>
  <c r="I28" i="186"/>
  <c r="E112" i="186"/>
  <c r="H23" i="186"/>
  <c r="H27" i="186"/>
  <c r="H36" i="186"/>
  <c r="H40" i="186"/>
  <c r="H44" i="186"/>
  <c r="H28" i="186"/>
  <c r="H39" i="186"/>
  <c r="H42" i="186"/>
  <c r="H45" i="186"/>
  <c r="H20" i="186"/>
  <c r="H25" i="186"/>
  <c r="H38" i="186"/>
  <c r="H21" i="186"/>
  <c r="H26" i="186"/>
  <c r="H46" i="186"/>
  <c r="H24" i="186"/>
  <c r="H37" i="186"/>
  <c r="H41" i="186"/>
  <c r="H113" i="186"/>
  <c r="H115" i="186"/>
  <c r="H114" i="186"/>
  <c r="H31" i="186"/>
  <c r="H32" i="186"/>
  <c r="H43" i="186"/>
  <c r="H33" i="186"/>
  <c r="E111" i="186"/>
  <c r="H19" i="186"/>
  <c r="J93" i="186"/>
  <c r="J85" i="186"/>
  <c r="J81" i="186"/>
  <c r="J73" i="186"/>
  <c r="J62" i="186"/>
  <c r="J53" i="186"/>
  <c r="J96" i="186"/>
  <c r="J91" i="186"/>
  <c r="J84" i="186"/>
  <c r="J80" i="186"/>
  <c r="J95" i="186"/>
  <c r="J89" i="186"/>
  <c r="J83" i="186"/>
  <c r="J79" i="186"/>
  <c r="J71" i="186"/>
  <c r="J60" i="186"/>
  <c r="J58" i="186"/>
  <c r="J94" i="186"/>
  <c r="J87" i="186"/>
  <c r="J82" i="186"/>
  <c r="J69" i="186"/>
  <c r="J72" i="186"/>
  <c r="J61" i="186"/>
  <c r="J74" i="186"/>
  <c r="J52" i="186"/>
  <c r="J57" i="186"/>
  <c r="J97" i="186"/>
  <c r="J59" i="186"/>
  <c r="J19" i="186"/>
  <c r="F111" i="186"/>
  <c r="E116" i="186"/>
  <c r="F116" i="186"/>
  <c r="G111" i="186"/>
  <c r="G112" i="186"/>
  <c r="F112" i="186"/>
  <c r="J21" i="186"/>
  <c r="J26" i="186"/>
  <c r="J39" i="186"/>
  <c r="J43" i="186"/>
  <c r="J24" i="186"/>
  <c r="J27" i="186"/>
  <c r="J32" i="186"/>
  <c r="J36" i="186"/>
  <c r="J46" i="186"/>
  <c r="J37" i="186"/>
  <c r="J41" i="186"/>
  <c r="J45" i="186"/>
  <c r="J20" i="186"/>
  <c r="J25" i="186"/>
  <c r="J28" i="186"/>
  <c r="J38" i="186"/>
  <c r="J42" i="186"/>
  <c r="J40" i="186"/>
  <c r="J44" i="186"/>
  <c r="J23" i="186"/>
  <c r="J115" i="186"/>
  <c r="J113" i="186"/>
  <c r="J114" i="186"/>
  <c r="J31" i="186"/>
  <c r="J33" i="186"/>
  <c r="K28" i="186"/>
  <c r="L96" i="186"/>
  <c r="L91" i="186"/>
  <c r="L84" i="186"/>
  <c r="L80" i="186"/>
  <c r="L72" i="186"/>
  <c r="L61" i="186"/>
  <c r="L52" i="186"/>
  <c r="L95" i="186"/>
  <c r="L89" i="186"/>
  <c r="L83" i="186"/>
  <c r="L79" i="186"/>
  <c r="L94" i="186"/>
  <c r="L87" i="186"/>
  <c r="L82" i="186"/>
  <c r="L74" i="186"/>
  <c r="L69" i="186"/>
  <c r="L57" i="186"/>
  <c r="L93" i="186"/>
  <c r="L85" i="186"/>
  <c r="L81" i="186"/>
  <c r="L53" i="186"/>
  <c r="L58" i="186"/>
  <c r="L73" i="186"/>
  <c r="L62" i="186"/>
  <c r="L71" i="186"/>
  <c r="L60" i="186"/>
  <c r="L97" i="186"/>
  <c r="M28" i="186"/>
  <c r="N59" i="186"/>
  <c r="L59" i="186"/>
  <c r="L19" i="186"/>
  <c r="I112" i="186"/>
  <c r="G116" i="186"/>
  <c r="H116" i="186"/>
  <c r="H111" i="186"/>
  <c r="I111" i="186"/>
  <c r="L25" i="186"/>
  <c r="L38" i="186"/>
  <c r="L42" i="186"/>
  <c r="L46" i="186"/>
  <c r="L37" i="186"/>
  <c r="L40" i="186"/>
  <c r="L43" i="186"/>
  <c r="L24" i="186"/>
  <c r="L44" i="186"/>
  <c r="L41" i="186"/>
  <c r="L45" i="186"/>
  <c r="L23" i="186"/>
  <c r="L27" i="186"/>
  <c r="L28" i="186"/>
  <c r="L32" i="186"/>
  <c r="L36" i="186"/>
  <c r="L115" i="186"/>
  <c r="L21" i="186"/>
  <c r="L113" i="186"/>
  <c r="L20" i="186"/>
  <c r="L26" i="186"/>
  <c r="L31" i="186"/>
  <c r="L39" i="186"/>
  <c r="L114" i="186"/>
  <c r="L33" i="186"/>
  <c r="H112" i="186"/>
  <c r="N19" i="186"/>
  <c r="N95" i="186"/>
  <c r="N89" i="186"/>
  <c r="N83" i="186"/>
  <c r="N79" i="186"/>
  <c r="N71" i="186"/>
  <c r="N60" i="186"/>
  <c r="N58" i="186"/>
  <c r="N94" i="186"/>
  <c r="N87" i="186"/>
  <c r="N82" i="186"/>
  <c r="N74" i="186"/>
  <c r="N93" i="186"/>
  <c r="N85" i="186"/>
  <c r="N81" i="186"/>
  <c r="N73" i="186"/>
  <c r="N62" i="186"/>
  <c r="N53" i="186"/>
  <c r="N96" i="186"/>
  <c r="N91" i="186"/>
  <c r="N84" i="186"/>
  <c r="N80" i="186"/>
  <c r="N52" i="186"/>
  <c r="N57" i="186"/>
  <c r="N69" i="186"/>
  <c r="N72" i="186"/>
  <c r="N61" i="186"/>
  <c r="N97" i="186"/>
  <c r="J111" i="186"/>
  <c r="I116" i="186"/>
  <c r="J116" i="186"/>
  <c r="K111" i="186"/>
  <c r="J112" i="186"/>
  <c r="N24" i="186"/>
  <c r="N32" i="186"/>
  <c r="N37" i="186"/>
  <c r="N41" i="186"/>
  <c r="N45" i="186"/>
  <c r="N21" i="186"/>
  <c r="N25" i="186"/>
  <c r="N28" i="186"/>
  <c r="N44" i="186"/>
  <c r="N23" i="186"/>
  <c r="N27" i="186"/>
  <c r="N31" i="186"/>
  <c r="N36" i="186"/>
  <c r="N40" i="186"/>
  <c r="N20" i="186"/>
  <c r="N26" i="186"/>
  <c r="N39" i="186"/>
  <c r="N43" i="186"/>
  <c r="N114" i="186"/>
  <c r="N38" i="186"/>
  <c r="N42" i="186"/>
  <c r="N113" i="186"/>
  <c r="N46" i="186"/>
  <c r="N115" i="186"/>
  <c r="N33" i="186"/>
  <c r="K112" i="186"/>
  <c r="O28" i="186"/>
  <c r="P19" i="186"/>
  <c r="P94" i="186"/>
  <c r="P87" i="186"/>
  <c r="P82" i="186"/>
  <c r="P74" i="186"/>
  <c r="P69" i="186"/>
  <c r="P57" i="186"/>
  <c r="P93" i="186"/>
  <c r="P85" i="186"/>
  <c r="P81" i="186"/>
  <c r="P96" i="186"/>
  <c r="P91" i="186"/>
  <c r="P84" i="186"/>
  <c r="P80" i="186"/>
  <c r="P72" i="186"/>
  <c r="P61" i="186"/>
  <c r="P52" i="186"/>
  <c r="P95" i="186"/>
  <c r="P89" i="186"/>
  <c r="P83" i="186"/>
  <c r="P79" i="186"/>
  <c r="P73" i="186"/>
  <c r="P62" i="186"/>
  <c r="P71" i="186"/>
  <c r="P53" i="186"/>
  <c r="P58" i="186"/>
  <c r="P60" i="186"/>
  <c r="P97" i="186"/>
  <c r="P59" i="186"/>
  <c r="Q28" i="186"/>
  <c r="P23" i="186"/>
  <c r="P27" i="186"/>
  <c r="P36" i="186"/>
  <c r="P40" i="186"/>
  <c r="P44" i="186"/>
  <c r="P26" i="186"/>
  <c r="P38" i="186"/>
  <c r="P41" i="186"/>
  <c r="P32" i="186"/>
  <c r="P39" i="186"/>
  <c r="P43" i="186"/>
  <c r="P24" i="186"/>
  <c r="P28" i="186"/>
  <c r="P37" i="186"/>
  <c r="P21" i="186"/>
  <c r="P42" i="186"/>
  <c r="P46" i="186"/>
  <c r="P113" i="186"/>
  <c r="P25" i="186"/>
  <c r="P114" i="186"/>
  <c r="P45" i="186"/>
  <c r="P115" i="186"/>
  <c r="P31" i="186"/>
  <c r="P20" i="186"/>
  <c r="P33" i="186"/>
  <c r="L112" i="186"/>
  <c r="M112" i="186"/>
  <c r="M111" i="186"/>
  <c r="K116" i="186"/>
  <c r="L116" i="186"/>
  <c r="L111" i="186"/>
  <c r="R93" i="186"/>
  <c r="R85" i="186"/>
  <c r="R81" i="186"/>
  <c r="R73" i="186"/>
  <c r="R62" i="186"/>
  <c r="R53" i="186"/>
  <c r="R96" i="186"/>
  <c r="R91" i="186"/>
  <c r="R84" i="186"/>
  <c r="R80" i="186"/>
  <c r="R95" i="186"/>
  <c r="R89" i="186"/>
  <c r="R83" i="186"/>
  <c r="R79" i="186"/>
  <c r="R71" i="186"/>
  <c r="R60" i="186"/>
  <c r="R58" i="186"/>
  <c r="R94" i="186"/>
  <c r="R87" i="186"/>
  <c r="R82" i="186"/>
  <c r="R74" i="186"/>
  <c r="R72" i="186"/>
  <c r="R61" i="186"/>
  <c r="R57" i="186"/>
  <c r="R69" i="186"/>
  <c r="R52" i="186"/>
  <c r="R97" i="186"/>
  <c r="R59" i="186"/>
  <c r="R19" i="186"/>
  <c r="O111" i="186"/>
  <c r="S28" i="186"/>
  <c r="N111" i="186"/>
  <c r="M116" i="186"/>
  <c r="N116" i="186"/>
  <c r="O112" i="186"/>
  <c r="N112" i="186"/>
  <c r="R21" i="186"/>
  <c r="R26" i="186"/>
  <c r="R39" i="186"/>
  <c r="R43" i="186"/>
  <c r="R23" i="186"/>
  <c r="R42" i="186"/>
  <c r="R45" i="186"/>
  <c r="R46" i="186"/>
  <c r="R27" i="186"/>
  <c r="R32" i="186"/>
  <c r="R36" i="186"/>
  <c r="R40" i="186"/>
  <c r="R44" i="186"/>
  <c r="R25" i="186"/>
  <c r="R38" i="186"/>
  <c r="R31" i="186"/>
  <c r="R41" i="186"/>
  <c r="R115" i="186"/>
  <c r="R28" i="186"/>
  <c r="R114" i="186"/>
  <c r="R24" i="186"/>
  <c r="R37" i="186"/>
  <c r="R33" i="186"/>
  <c r="R113" i="186"/>
  <c r="R20" i="186"/>
  <c r="T96" i="186"/>
  <c r="T91" i="186"/>
  <c r="T84" i="186"/>
  <c r="T80" i="186"/>
  <c r="T72" i="186"/>
  <c r="T61" i="186"/>
  <c r="T52" i="186"/>
  <c r="T95" i="186"/>
  <c r="T89" i="186"/>
  <c r="T83" i="186"/>
  <c r="T79" i="186"/>
  <c r="T94" i="186"/>
  <c r="T87" i="186"/>
  <c r="T82" i="186"/>
  <c r="T74" i="186"/>
  <c r="T69" i="186"/>
  <c r="T57" i="186"/>
  <c r="T93" i="186"/>
  <c r="T85" i="186"/>
  <c r="T81" i="186"/>
  <c r="T58" i="186"/>
  <c r="T53" i="186"/>
  <c r="T71" i="186"/>
  <c r="T60" i="186"/>
  <c r="T73" i="186"/>
  <c r="T62" i="186"/>
  <c r="T97" i="186"/>
  <c r="T19" i="186"/>
  <c r="T59" i="186"/>
  <c r="Q111" i="186"/>
  <c r="Q112" i="186"/>
  <c r="P112" i="186"/>
  <c r="T25" i="186"/>
  <c r="T38" i="186"/>
  <c r="T42" i="186"/>
  <c r="T46" i="186"/>
  <c r="T24" i="186"/>
  <c r="T27" i="186"/>
  <c r="T31" i="186"/>
  <c r="T32" i="186"/>
  <c r="T36" i="186"/>
  <c r="T39" i="186"/>
  <c r="T21" i="186"/>
  <c r="T26" i="186"/>
  <c r="T23" i="186"/>
  <c r="T43" i="186"/>
  <c r="T28" i="186"/>
  <c r="T37" i="186"/>
  <c r="T41" i="186"/>
  <c r="T45" i="186"/>
  <c r="T115" i="186"/>
  <c r="T44" i="186"/>
  <c r="T40" i="186"/>
  <c r="T113" i="186"/>
  <c r="T114" i="186"/>
  <c r="T33" i="186"/>
  <c r="T20" i="186"/>
  <c r="O116" i="186"/>
  <c r="P116" i="186"/>
  <c r="P111" i="186"/>
  <c r="U28" i="186"/>
  <c r="V59" i="186"/>
  <c r="V19" i="186"/>
  <c r="V24" i="186"/>
  <c r="V32" i="186"/>
  <c r="V37" i="186"/>
  <c r="V41" i="186"/>
  <c r="V45" i="186"/>
  <c r="V40" i="186"/>
  <c r="V43" i="186"/>
  <c r="V46" i="186"/>
  <c r="V25" i="186"/>
  <c r="V28" i="186"/>
  <c r="V38" i="186"/>
  <c r="V42" i="186"/>
  <c r="V21" i="186"/>
  <c r="V26" i="186"/>
  <c r="V39" i="186"/>
  <c r="V44" i="186"/>
  <c r="V114" i="186"/>
  <c r="V113" i="186"/>
  <c r="V115" i="186"/>
  <c r="V27" i="186"/>
  <c r="V36" i="186"/>
  <c r="V23" i="186"/>
  <c r="V31" i="186"/>
  <c r="V33" i="186"/>
  <c r="V20" i="186"/>
  <c r="S111" i="186"/>
  <c r="R112" i="186"/>
  <c r="S112" i="186"/>
  <c r="R111" i="186"/>
  <c r="Q116" i="186"/>
  <c r="R116" i="186"/>
  <c r="T112" i="186"/>
  <c r="V91" i="186"/>
  <c r="V81" i="186"/>
  <c r="V58" i="186"/>
  <c r="V69" i="186"/>
  <c r="V82" i="186"/>
  <c r="V74" i="186"/>
  <c r="V62" i="186"/>
  <c r="U112" i="186"/>
  <c r="V61" i="186"/>
  <c r="V53" i="186"/>
  <c r="V93" i="186"/>
  <c r="V73" i="186"/>
  <c r="V87" i="186"/>
  <c r="V97" i="186"/>
  <c r="V79" i="186"/>
  <c r="V80" i="186"/>
  <c r="V72" i="186"/>
  <c r="U111" i="186"/>
  <c r="V85" i="186"/>
  <c r="V52" i="186"/>
  <c r="V71" i="186"/>
  <c r="V57" i="186"/>
  <c r="S116" i="186"/>
  <c r="T116" i="186"/>
  <c r="T111" i="186"/>
  <c r="V96" i="186"/>
  <c r="V94" i="186"/>
  <c r="V83" i="186"/>
  <c r="V95" i="186"/>
  <c r="V89" i="186"/>
  <c r="V60" i="186"/>
  <c r="V84" i="186"/>
  <c r="V112" i="186"/>
  <c r="V111" i="186"/>
  <c r="U116" i="186"/>
  <c r="V116" i="186"/>
  <c r="C10" i="187"/>
  <c r="C31" i="187"/>
  <c r="C33" i="187"/>
  <c r="D23" i="187"/>
  <c r="D25" i="187"/>
  <c r="D27" i="187"/>
  <c r="D36" i="187"/>
  <c r="D38" i="187"/>
  <c r="D40" i="187"/>
  <c r="D42" i="187"/>
  <c r="D44" i="187"/>
  <c r="D46" i="187"/>
  <c r="D21" i="187"/>
  <c r="D39" i="187"/>
  <c r="D114" i="187"/>
  <c r="D26" i="187"/>
  <c r="D28" i="187"/>
  <c r="D31" i="187"/>
  <c r="D41" i="187"/>
  <c r="D113" i="187"/>
  <c r="D24" i="187"/>
  <c r="D33" i="187"/>
  <c r="D37" i="187"/>
  <c r="D45" i="187"/>
  <c r="D115" i="187"/>
  <c r="D43" i="187"/>
  <c r="D32" i="187"/>
  <c r="D20" i="187"/>
  <c r="D19" i="187"/>
  <c r="C112" i="187"/>
  <c r="C111" i="187"/>
  <c r="D112" i="187"/>
  <c r="C116" i="187"/>
  <c r="D116" i="187"/>
  <c r="D111" i="187"/>
  <c r="E10" i="187"/>
  <c r="E31" i="187"/>
  <c r="E33" i="187"/>
  <c r="E28" i="187"/>
  <c r="F96" i="187"/>
  <c r="F91" i="187"/>
  <c r="F84" i="187"/>
  <c r="F80" i="187"/>
  <c r="F72" i="187"/>
  <c r="F61" i="187"/>
  <c r="F53" i="187"/>
  <c r="F95" i="187"/>
  <c r="F89" i="187"/>
  <c r="F83" i="187"/>
  <c r="F93" i="187"/>
  <c r="F85" i="187"/>
  <c r="F81" i="187"/>
  <c r="F73" i="187"/>
  <c r="F62" i="187"/>
  <c r="F57" i="187"/>
  <c r="F82" i="187"/>
  <c r="F74" i="187"/>
  <c r="F69" i="187"/>
  <c r="F58" i="187"/>
  <c r="F79" i="187"/>
  <c r="F71" i="187"/>
  <c r="F60" i="187"/>
  <c r="F52" i="187"/>
  <c r="F55" i="187"/>
  <c r="F97" i="187"/>
  <c r="F94" i="187"/>
  <c r="F87" i="187"/>
  <c r="F59" i="187"/>
  <c r="F19" i="187"/>
  <c r="G28" i="187"/>
  <c r="F21" i="187"/>
  <c r="F26" i="187"/>
  <c r="F39" i="187"/>
  <c r="F43" i="187"/>
  <c r="F25" i="187"/>
  <c r="F32" i="187"/>
  <c r="F36" i="187"/>
  <c r="F46" i="187"/>
  <c r="F24" i="187"/>
  <c r="F27" i="187"/>
  <c r="F28" i="187"/>
  <c r="F42" i="187"/>
  <c r="F45" i="187"/>
  <c r="F23" i="187"/>
  <c r="F38" i="187"/>
  <c r="F41" i="187"/>
  <c r="F44" i="187"/>
  <c r="F40" i="187"/>
  <c r="F31" i="187"/>
  <c r="F20" i="187"/>
  <c r="F37" i="187"/>
  <c r="F114" i="187"/>
  <c r="F113" i="187"/>
  <c r="F115" i="187"/>
  <c r="F33" i="187"/>
  <c r="H95" i="187"/>
  <c r="H89" i="187"/>
  <c r="H83" i="187"/>
  <c r="H79" i="187"/>
  <c r="H71" i="187"/>
  <c r="H60" i="187"/>
  <c r="H58" i="187"/>
  <c r="H52" i="187"/>
  <c r="H94" i="187"/>
  <c r="H87" i="187"/>
  <c r="H82" i="187"/>
  <c r="H74" i="187"/>
  <c r="H69" i="187"/>
  <c r="H96" i="187"/>
  <c r="H91" i="187"/>
  <c r="H84" i="187"/>
  <c r="H55" i="187"/>
  <c r="H93" i="187"/>
  <c r="H85" i="187"/>
  <c r="H81" i="187"/>
  <c r="H80" i="187"/>
  <c r="H73" i="187"/>
  <c r="H72" i="187"/>
  <c r="H62" i="187"/>
  <c r="H61" i="187"/>
  <c r="H57" i="187"/>
  <c r="H53" i="187"/>
  <c r="H97" i="187"/>
  <c r="H59" i="187"/>
  <c r="H19" i="187"/>
  <c r="E111" i="187"/>
  <c r="E112" i="187"/>
  <c r="H25" i="187"/>
  <c r="H38" i="187"/>
  <c r="H42" i="187"/>
  <c r="H46" i="187"/>
  <c r="H21" i="187"/>
  <c r="H37" i="187"/>
  <c r="H40" i="187"/>
  <c r="H43" i="187"/>
  <c r="H32" i="187"/>
  <c r="H36" i="187"/>
  <c r="H39" i="187"/>
  <c r="H24" i="187"/>
  <c r="H27" i="187"/>
  <c r="H28" i="187"/>
  <c r="H45" i="187"/>
  <c r="H23" i="187"/>
  <c r="H26" i="187"/>
  <c r="H44" i="187"/>
  <c r="H113" i="187"/>
  <c r="H41" i="187"/>
  <c r="H114" i="187"/>
  <c r="H115" i="187"/>
  <c r="H20" i="187"/>
  <c r="I28" i="187"/>
  <c r="J19" i="187"/>
  <c r="J94" i="187"/>
  <c r="J87" i="187"/>
  <c r="J82" i="187"/>
  <c r="J74" i="187"/>
  <c r="J69" i="187"/>
  <c r="J57" i="187"/>
  <c r="J55" i="187"/>
  <c r="J93" i="187"/>
  <c r="J85" i="187"/>
  <c r="J97" i="187"/>
  <c r="J96" i="187"/>
  <c r="J91" i="187"/>
  <c r="J84" i="187"/>
  <c r="J58" i="187"/>
  <c r="J79" i="187"/>
  <c r="J71" i="187"/>
  <c r="J60" i="187"/>
  <c r="J52" i="187"/>
  <c r="J95" i="187"/>
  <c r="J89" i="187"/>
  <c r="J83" i="187"/>
  <c r="J81" i="187"/>
  <c r="J80" i="187"/>
  <c r="J73" i="187"/>
  <c r="J72" i="187"/>
  <c r="J62" i="187"/>
  <c r="J61" i="187"/>
  <c r="J53" i="187"/>
  <c r="J59" i="187"/>
  <c r="K28" i="187"/>
  <c r="G111" i="187"/>
  <c r="G112" i="187"/>
  <c r="F112" i="187"/>
  <c r="J24" i="187"/>
  <c r="J32" i="187"/>
  <c r="J37" i="187"/>
  <c r="J41" i="187"/>
  <c r="J45" i="187"/>
  <c r="J23" i="187"/>
  <c r="J26" i="187"/>
  <c r="J28" i="187"/>
  <c r="J44" i="187"/>
  <c r="J21" i="187"/>
  <c r="J25" i="187"/>
  <c r="J40" i="187"/>
  <c r="J43" i="187"/>
  <c r="J36" i="187"/>
  <c r="J39" i="187"/>
  <c r="J42" i="187"/>
  <c r="J38" i="187"/>
  <c r="J27" i="187"/>
  <c r="J46" i="187"/>
  <c r="J114" i="187"/>
  <c r="J113" i="187"/>
  <c r="J115" i="187"/>
  <c r="J20" i="187"/>
  <c r="F111" i="187"/>
  <c r="E116" i="187"/>
  <c r="F116" i="187"/>
  <c r="L21" i="187"/>
  <c r="L55" i="187"/>
  <c r="L93" i="187"/>
  <c r="L85" i="187"/>
  <c r="L81" i="187"/>
  <c r="L73" i="187"/>
  <c r="L62" i="187"/>
  <c r="L96" i="187"/>
  <c r="L91" i="187"/>
  <c r="L84" i="187"/>
  <c r="L79" i="187"/>
  <c r="L71" i="187"/>
  <c r="L60" i="187"/>
  <c r="L52" i="187"/>
  <c r="L95" i="187"/>
  <c r="L89" i="187"/>
  <c r="L83" i="187"/>
  <c r="L80" i="187"/>
  <c r="L72" i="187"/>
  <c r="L61" i="187"/>
  <c r="L53" i="187"/>
  <c r="L94" i="187"/>
  <c r="L87" i="187"/>
  <c r="L57" i="187"/>
  <c r="L82" i="187"/>
  <c r="L74" i="187"/>
  <c r="L69" i="187"/>
  <c r="L58" i="187"/>
  <c r="L97" i="187"/>
  <c r="L59" i="187"/>
  <c r="L19" i="187"/>
  <c r="M28" i="187"/>
  <c r="I111" i="187"/>
  <c r="G116" i="187"/>
  <c r="H116" i="187"/>
  <c r="H111" i="187"/>
  <c r="H112" i="187"/>
  <c r="L23" i="187"/>
  <c r="L27" i="187"/>
  <c r="L36" i="187"/>
  <c r="L40" i="187"/>
  <c r="L44" i="187"/>
  <c r="L38" i="187"/>
  <c r="L41" i="187"/>
  <c r="L26" i="187"/>
  <c r="L28" i="187"/>
  <c r="L37" i="187"/>
  <c r="L25" i="187"/>
  <c r="L32" i="187"/>
  <c r="L43" i="187"/>
  <c r="L42" i="187"/>
  <c r="L46" i="187"/>
  <c r="L45" i="187"/>
  <c r="L39" i="187"/>
  <c r="L115" i="187"/>
  <c r="L113" i="187"/>
  <c r="L24" i="187"/>
  <c r="L114" i="187"/>
  <c r="L20" i="187"/>
  <c r="I112" i="187"/>
  <c r="N97" i="187"/>
  <c r="N96" i="187"/>
  <c r="N91" i="187"/>
  <c r="N84" i="187"/>
  <c r="N80" i="187"/>
  <c r="N72" i="187"/>
  <c r="N61" i="187"/>
  <c r="N53" i="187"/>
  <c r="N95" i="187"/>
  <c r="N89" i="187"/>
  <c r="N83" i="187"/>
  <c r="N55" i="187"/>
  <c r="N94" i="187"/>
  <c r="N87" i="187"/>
  <c r="N81" i="187"/>
  <c r="N73" i="187"/>
  <c r="N62" i="187"/>
  <c r="N57" i="187"/>
  <c r="N93" i="187"/>
  <c r="N85" i="187"/>
  <c r="N82" i="187"/>
  <c r="N74" i="187"/>
  <c r="N69" i="187"/>
  <c r="N58" i="187"/>
  <c r="N79" i="187"/>
  <c r="N71" i="187"/>
  <c r="N60" i="187"/>
  <c r="N52" i="187"/>
  <c r="N59" i="187"/>
  <c r="K112" i="187"/>
  <c r="N21" i="187"/>
  <c r="N26" i="187"/>
  <c r="N39" i="187"/>
  <c r="N43" i="187"/>
  <c r="N24" i="187"/>
  <c r="N27" i="187"/>
  <c r="N42" i="187"/>
  <c r="N45" i="187"/>
  <c r="N23" i="187"/>
  <c r="N38" i="187"/>
  <c r="N41" i="187"/>
  <c r="N44" i="187"/>
  <c r="N37" i="187"/>
  <c r="N40" i="187"/>
  <c r="N25" i="187"/>
  <c r="N32" i="187"/>
  <c r="N46" i="187"/>
  <c r="N114" i="187"/>
  <c r="N115" i="187"/>
  <c r="N28" i="187"/>
  <c r="N36" i="187"/>
  <c r="N113" i="187"/>
  <c r="N20" i="187"/>
  <c r="J112" i="187"/>
  <c r="N19" i="187"/>
  <c r="O28" i="187"/>
  <c r="K111" i="187"/>
  <c r="J111" i="187"/>
  <c r="I116" i="187"/>
  <c r="J116" i="187"/>
  <c r="P19" i="187"/>
  <c r="P95" i="187"/>
  <c r="P89" i="187"/>
  <c r="P83" i="187"/>
  <c r="P79" i="187"/>
  <c r="P71" i="187"/>
  <c r="P60" i="187"/>
  <c r="P58" i="187"/>
  <c r="P52" i="187"/>
  <c r="P94" i="187"/>
  <c r="P87" i="187"/>
  <c r="P55" i="187"/>
  <c r="P81" i="187"/>
  <c r="P80" i="187"/>
  <c r="P73" i="187"/>
  <c r="P72" i="187"/>
  <c r="P62" i="187"/>
  <c r="P61" i="187"/>
  <c r="P57" i="187"/>
  <c r="P53" i="187"/>
  <c r="P93" i="187"/>
  <c r="P85" i="187"/>
  <c r="P82" i="187"/>
  <c r="P74" i="187"/>
  <c r="P69" i="187"/>
  <c r="P96" i="187"/>
  <c r="P91" i="187"/>
  <c r="P84" i="187"/>
  <c r="P97" i="187"/>
  <c r="P59" i="187"/>
  <c r="P25" i="187"/>
  <c r="P38" i="187"/>
  <c r="P42" i="187"/>
  <c r="P46" i="187"/>
  <c r="P28" i="187"/>
  <c r="P32" i="187"/>
  <c r="P36" i="187"/>
  <c r="P39" i="187"/>
  <c r="P24" i="187"/>
  <c r="P27" i="187"/>
  <c r="P45" i="187"/>
  <c r="P23" i="187"/>
  <c r="P26" i="187"/>
  <c r="P41" i="187"/>
  <c r="P44" i="187"/>
  <c r="P37" i="187"/>
  <c r="P40" i="187"/>
  <c r="P21" i="187"/>
  <c r="P113" i="187"/>
  <c r="P115" i="187"/>
  <c r="P43" i="187"/>
  <c r="P114" i="187"/>
  <c r="P20" i="187"/>
  <c r="K116" i="187"/>
  <c r="L116" i="187"/>
  <c r="L111" i="187"/>
  <c r="Q28" i="187"/>
  <c r="L112" i="187"/>
  <c r="M111" i="187"/>
  <c r="M112" i="187"/>
  <c r="R19" i="187"/>
  <c r="R94" i="187"/>
  <c r="R87" i="187"/>
  <c r="R82" i="187"/>
  <c r="R74" i="187"/>
  <c r="R69" i="187"/>
  <c r="R57" i="187"/>
  <c r="R55" i="187"/>
  <c r="R97" i="187"/>
  <c r="R93" i="187"/>
  <c r="R85" i="187"/>
  <c r="R95" i="187"/>
  <c r="R89" i="187"/>
  <c r="R83" i="187"/>
  <c r="R58" i="187"/>
  <c r="R96" i="187"/>
  <c r="R91" i="187"/>
  <c r="R84" i="187"/>
  <c r="R79" i="187"/>
  <c r="R71" i="187"/>
  <c r="R60" i="187"/>
  <c r="R52" i="187"/>
  <c r="R81" i="187"/>
  <c r="R80" i="187"/>
  <c r="R73" i="187"/>
  <c r="R72" i="187"/>
  <c r="R62" i="187"/>
  <c r="R61" i="187"/>
  <c r="R53" i="187"/>
  <c r="R59" i="187"/>
  <c r="N112" i="187"/>
  <c r="S28" i="187"/>
  <c r="O111" i="187"/>
  <c r="R24" i="187"/>
  <c r="R32" i="187"/>
  <c r="R37" i="187"/>
  <c r="R41" i="187"/>
  <c r="R45" i="187"/>
  <c r="R21" i="187"/>
  <c r="R25" i="187"/>
  <c r="R40" i="187"/>
  <c r="R43" i="187"/>
  <c r="R46" i="187"/>
  <c r="R36" i="187"/>
  <c r="R39" i="187"/>
  <c r="R42" i="187"/>
  <c r="R27" i="187"/>
  <c r="R28" i="187"/>
  <c r="R38" i="187"/>
  <c r="R44" i="187"/>
  <c r="R23" i="187"/>
  <c r="R113" i="187"/>
  <c r="R115" i="187"/>
  <c r="R26" i="187"/>
  <c r="R114" i="187"/>
  <c r="R20" i="187"/>
  <c r="N111" i="187"/>
  <c r="M116" i="187"/>
  <c r="N116" i="187"/>
  <c r="O112" i="187"/>
  <c r="T19" i="187"/>
  <c r="T55" i="187"/>
  <c r="T93" i="187"/>
  <c r="T85" i="187"/>
  <c r="T81" i="187"/>
  <c r="T73" i="187"/>
  <c r="T62" i="187"/>
  <c r="T96" i="187"/>
  <c r="T91" i="187"/>
  <c r="T84" i="187"/>
  <c r="T94" i="187"/>
  <c r="T87" i="187"/>
  <c r="T82" i="187"/>
  <c r="T74" i="187"/>
  <c r="T69" i="187"/>
  <c r="T58" i="187"/>
  <c r="T79" i="187"/>
  <c r="T71" i="187"/>
  <c r="T60" i="187"/>
  <c r="T52" i="187"/>
  <c r="T80" i="187"/>
  <c r="T72" i="187"/>
  <c r="T61" i="187"/>
  <c r="T53" i="187"/>
  <c r="T95" i="187"/>
  <c r="T89" i="187"/>
  <c r="T83" i="187"/>
  <c r="T57" i="187"/>
  <c r="T97" i="187"/>
  <c r="T59" i="187"/>
  <c r="P112" i="187"/>
  <c r="Q111" i="187"/>
  <c r="Q112" i="187"/>
  <c r="O116" i="187"/>
  <c r="P116" i="187"/>
  <c r="P111" i="187"/>
  <c r="U28" i="187"/>
  <c r="T23" i="187"/>
  <c r="T27" i="187"/>
  <c r="T36" i="187"/>
  <c r="T40" i="187"/>
  <c r="T44" i="187"/>
  <c r="T26" i="187"/>
  <c r="T37" i="187"/>
  <c r="T21" i="187"/>
  <c r="T25" i="187"/>
  <c r="T32" i="187"/>
  <c r="T43" i="187"/>
  <c r="T24" i="187"/>
  <c r="T39" i="187"/>
  <c r="T42" i="187"/>
  <c r="T45" i="187"/>
  <c r="T28" i="187"/>
  <c r="T41" i="187"/>
  <c r="T115" i="187"/>
  <c r="T38" i="187"/>
  <c r="T46" i="187"/>
  <c r="T114" i="187"/>
  <c r="T113" i="187"/>
  <c r="T20" i="187"/>
  <c r="V19" i="187"/>
  <c r="V59" i="187"/>
  <c r="R112" i="187"/>
  <c r="S111" i="187"/>
  <c r="S112" i="187"/>
  <c r="V21" i="187"/>
  <c r="V26" i="187"/>
  <c r="V39" i="187"/>
  <c r="V43" i="187"/>
  <c r="V23" i="187"/>
  <c r="V38" i="187"/>
  <c r="V41" i="187"/>
  <c r="V44" i="187"/>
  <c r="V28" i="187"/>
  <c r="V37" i="187"/>
  <c r="V40" i="187"/>
  <c r="V25" i="187"/>
  <c r="V32" i="187"/>
  <c r="V36" i="187"/>
  <c r="V27" i="187"/>
  <c r="V42" i="187"/>
  <c r="V24" i="187"/>
  <c r="V46" i="187"/>
  <c r="V114" i="187"/>
  <c r="V45" i="187"/>
  <c r="V115" i="187"/>
  <c r="V113" i="187"/>
  <c r="V20" i="187"/>
  <c r="R111" i="187"/>
  <c r="Q116" i="187"/>
  <c r="R116" i="187"/>
  <c r="V61" i="187"/>
  <c r="S116" i="187"/>
  <c r="T116" i="187"/>
  <c r="T111" i="187"/>
  <c r="V97" i="187"/>
  <c r="V89" i="187"/>
  <c r="V71" i="187"/>
  <c r="V85" i="187"/>
  <c r="V96" i="187"/>
  <c r="V55" i="187"/>
  <c r="V82" i="187"/>
  <c r="V62" i="187"/>
  <c r="U112" i="187"/>
  <c r="V95" i="187"/>
  <c r="V81" i="187"/>
  <c r="V91" i="187"/>
  <c r="V69" i="187"/>
  <c r="V80" i="187"/>
  <c r="U111" i="187"/>
  <c r="V53" i="187"/>
  <c r="V60" i="187"/>
  <c r="V52" i="187"/>
  <c r="V87" i="187"/>
  <c r="V74" i="187"/>
  <c r="V79" i="187"/>
  <c r="V93" i="187"/>
  <c r="V57" i="187"/>
  <c r="V73" i="187"/>
  <c r="V84" i="187"/>
  <c r="V72" i="187"/>
  <c r="V83" i="187"/>
  <c r="V94" i="187"/>
  <c r="V58" i="187"/>
  <c r="T112" i="187"/>
  <c r="V112" i="187"/>
  <c r="V111" i="187"/>
  <c r="U116" i="187"/>
  <c r="V116" i="187"/>
  <c r="G10" i="187"/>
  <c r="G31" i="187"/>
  <c r="H31" i="187"/>
  <c r="I10" i="187"/>
  <c r="I31" i="187"/>
  <c r="I33" i="187"/>
  <c r="G33" i="187"/>
  <c r="H33" i="187"/>
  <c r="J33" i="187"/>
  <c r="J31" i="187"/>
  <c r="K10" i="187"/>
  <c r="K31" i="187"/>
  <c r="K33" i="187"/>
  <c r="L31" i="187"/>
  <c r="M10" i="187"/>
  <c r="M31" i="187"/>
  <c r="N31" i="187"/>
  <c r="L33" i="187"/>
  <c r="M33" i="187"/>
  <c r="N33" i="187"/>
  <c r="O10" i="187"/>
  <c r="O31" i="187"/>
  <c r="O33" i="187"/>
  <c r="P33" i="187"/>
  <c r="P31" i="187"/>
  <c r="Q10" i="187"/>
  <c r="Q31" i="187"/>
  <c r="Q33" i="187"/>
  <c r="R31" i="187"/>
  <c r="R33" i="187"/>
  <c r="S10" i="187"/>
  <c r="S31" i="187"/>
  <c r="T31" i="187"/>
  <c r="U10" i="187"/>
  <c r="U31" i="187"/>
  <c r="U33" i="187"/>
  <c r="V31" i="187"/>
  <c r="S33" i="187"/>
  <c r="V33" i="187"/>
  <c r="T33" i="187"/>
  <c r="C31" i="189"/>
  <c r="C33" i="189"/>
  <c r="D19" i="189"/>
  <c r="D33" i="189"/>
  <c r="D21" i="189"/>
  <c r="D24" i="189"/>
  <c r="D26" i="189"/>
  <c r="D32" i="189"/>
  <c r="D37" i="189"/>
  <c r="D39" i="189"/>
  <c r="D41" i="189"/>
  <c r="D43" i="189"/>
  <c r="D45" i="189"/>
  <c r="D23" i="189"/>
  <c r="D25" i="189"/>
  <c r="D27" i="189"/>
  <c r="D36" i="189"/>
  <c r="D38" i="189"/>
  <c r="D40" i="189"/>
  <c r="D42" i="189"/>
  <c r="D44" i="189"/>
  <c r="D46" i="189"/>
  <c r="D31" i="189"/>
  <c r="D20" i="189"/>
  <c r="D28" i="189"/>
  <c r="D114" i="189"/>
  <c r="D113" i="189"/>
  <c r="D115" i="189"/>
  <c r="C112" i="189"/>
  <c r="D112" i="189"/>
  <c r="C111" i="189"/>
  <c r="D111" i="189"/>
  <c r="C116" i="189"/>
  <c r="D116" i="189"/>
  <c r="E10" i="189"/>
  <c r="E31" i="189"/>
  <c r="E33" i="189"/>
  <c r="E28" i="189"/>
  <c r="F93" i="189"/>
  <c r="F89" i="189"/>
  <c r="F85" i="189"/>
  <c r="F81" i="189"/>
  <c r="F72" i="189"/>
  <c r="F61" i="189"/>
  <c r="F96" i="189"/>
  <c r="F84" i="189"/>
  <c r="F55" i="189"/>
  <c r="F95" i="189"/>
  <c r="F91" i="189"/>
  <c r="F87" i="189"/>
  <c r="F83" i="189"/>
  <c r="F79" i="189"/>
  <c r="F94" i="189"/>
  <c r="F80" i="189"/>
  <c r="F73" i="189"/>
  <c r="F62" i="189"/>
  <c r="F57" i="189"/>
  <c r="F53" i="189"/>
  <c r="F52" i="189"/>
  <c r="F82" i="189"/>
  <c r="F58" i="189"/>
  <c r="F74" i="189"/>
  <c r="F71" i="189"/>
  <c r="F69" i="189"/>
  <c r="F60" i="189"/>
  <c r="F97" i="189"/>
  <c r="F59" i="189"/>
  <c r="F25" i="189"/>
  <c r="F28" i="189"/>
  <c r="F38" i="189"/>
  <c r="F42" i="189"/>
  <c r="F46" i="189"/>
  <c r="F23" i="189"/>
  <c r="F27" i="189"/>
  <c r="F36" i="189"/>
  <c r="F40" i="189"/>
  <c r="F44" i="189"/>
  <c r="F24" i="189"/>
  <c r="F32" i="189"/>
  <c r="F41" i="189"/>
  <c r="F37" i="189"/>
  <c r="F45" i="189"/>
  <c r="F26" i="189"/>
  <c r="F43" i="189"/>
  <c r="F39" i="189"/>
  <c r="F21" i="189"/>
  <c r="F115" i="189"/>
  <c r="F113" i="189"/>
  <c r="F114" i="189"/>
  <c r="F33" i="189"/>
  <c r="G28" i="189"/>
  <c r="H59" i="189"/>
  <c r="F19" i="189"/>
  <c r="F20" i="189"/>
  <c r="F31" i="189"/>
  <c r="H96" i="189"/>
  <c r="H84" i="189"/>
  <c r="H80" i="189"/>
  <c r="H71" i="189"/>
  <c r="H60" i="189"/>
  <c r="H58" i="189"/>
  <c r="H95" i="189"/>
  <c r="H91" i="189"/>
  <c r="H87" i="189"/>
  <c r="H83" i="189"/>
  <c r="H94" i="189"/>
  <c r="H73" i="189"/>
  <c r="H72" i="189"/>
  <c r="H62" i="189"/>
  <c r="H61" i="189"/>
  <c r="H57" i="189"/>
  <c r="H74" i="189"/>
  <c r="H69" i="189"/>
  <c r="H52" i="189"/>
  <c r="H82" i="189"/>
  <c r="H79" i="189"/>
  <c r="H55" i="189"/>
  <c r="H81" i="189"/>
  <c r="H93" i="189"/>
  <c r="H89" i="189"/>
  <c r="H85" i="189"/>
  <c r="H53" i="189"/>
  <c r="H97" i="189"/>
  <c r="H19" i="189"/>
  <c r="H24" i="189"/>
  <c r="H32" i="189"/>
  <c r="H37" i="189"/>
  <c r="H41" i="189"/>
  <c r="H45" i="189"/>
  <c r="H21" i="189"/>
  <c r="H26" i="189"/>
  <c r="H28" i="189"/>
  <c r="H39" i="189"/>
  <c r="H43" i="189"/>
  <c r="H23" i="189"/>
  <c r="H40" i="189"/>
  <c r="H27" i="189"/>
  <c r="H36" i="189"/>
  <c r="H44" i="189"/>
  <c r="H38" i="189"/>
  <c r="H25" i="189"/>
  <c r="H46" i="189"/>
  <c r="H42" i="189"/>
  <c r="H114" i="189"/>
  <c r="H115" i="189"/>
  <c r="H113" i="189"/>
  <c r="H20" i="189"/>
  <c r="E111" i="189"/>
  <c r="I28" i="189"/>
  <c r="J19" i="189"/>
  <c r="E112" i="189"/>
  <c r="F112" i="189"/>
  <c r="J95" i="189"/>
  <c r="J91" i="189"/>
  <c r="J87" i="189"/>
  <c r="J83" i="189"/>
  <c r="J79" i="189"/>
  <c r="J74" i="189"/>
  <c r="J69" i="189"/>
  <c r="J57" i="189"/>
  <c r="J53" i="189"/>
  <c r="J55" i="189"/>
  <c r="J97" i="189"/>
  <c r="J94" i="189"/>
  <c r="J80" i="189"/>
  <c r="J52" i="189"/>
  <c r="J93" i="189"/>
  <c r="J89" i="189"/>
  <c r="J85" i="189"/>
  <c r="J82" i="189"/>
  <c r="J81" i="189"/>
  <c r="J58" i="189"/>
  <c r="J96" i="189"/>
  <c r="J84" i="189"/>
  <c r="J73" i="189"/>
  <c r="J72" i="189"/>
  <c r="J71" i="189"/>
  <c r="J62" i="189"/>
  <c r="J61" i="189"/>
  <c r="J60" i="189"/>
  <c r="J59" i="189"/>
  <c r="E116" i="189"/>
  <c r="F116" i="189"/>
  <c r="F111" i="189"/>
  <c r="G112" i="189"/>
  <c r="H112" i="189"/>
  <c r="G111" i="189"/>
  <c r="J23" i="189"/>
  <c r="J27" i="189"/>
  <c r="J28" i="189"/>
  <c r="J36" i="189"/>
  <c r="J40" i="189"/>
  <c r="J44" i="189"/>
  <c r="J25" i="189"/>
  <c r="J38" i="189"/>
  <c r="J42" i="189"/>
  <c r="J21" i="189"/>
  <c r="J39" i="189"/>
  <c r="J46" i="189"/>
  <c r="J26" i="189"/>
  <c r="J43" i="189"/>
  <c r="J24" i="189"/>
  <c r="J41" i="189"/>
  <c r="J45" i="189"/>
  <c r="J32" i="189"/>
  <c r="J113" i="189"/>
  <c r="J37" i="189"/>
  <c r="J114" i="189"/>
  <c r="J115" i="189"/>
  <c r="J20" i="189"/>
  <c r="K28" i="189"/>
  <c r="L55" i="189"/>
  <c r="L94" i="189"/>
  <c r="L82" i="189"/>
  <c r="L73" i="189"/>
  <c r="L62" i="189"/>
  <c r="L52" i="189"/>
  <c r="L93" i="189"/>
  <c r="L89" i="189"/>
  <c r="L85" i="189"/>
  <c r="L81" i="189"/>
  <c r="L74" i="189"/>
  <c r="L69" i="189"/>
  <c r="L58" i="189"/>
  <c r="L71" i="189"/>
  <c r="L60" i="189"/>
  <c r="L53" i="189"/>
  <c r="L96" i="189"/>
  <c r="L95" i="189"/>
  <c r="L84" i="189"/>
  <c r="L83" i="189"/>
  <c r="L80" i="189"/>
  <c r="L72" i="189"/>
  <c r="L61" i="189"/>
  <c r="L57" i="189"/>
  <c r="L91" i="189"/>
  <c r="L87" i="189"/>
  <c r="L79" i="189"/>
  <c r="L97" i="189"/>
  <c r="L59" i="189"/>
  <c r="L19" i="189"/>
  <c r="L21" i="189"/>
  <c r="L26" i="189"/>
  <c r="L39" i="189"/>
  <c r="L43" i="189"/>
  <c r="L24" i="189"/>
  <c r="L28" i="189"/>
  <c r="L32" i="189"/>
  <c r="L37" i="189"/>
  <c r="L41" i="189"/>
  <c r="L45" i="189"/>
  <c r="L38" i="189"/>
  <c r="L25" i="189"/>
  <c r="L42" i="189"/>
  <c r="L46" i="189"/>
  <c r="L36" i="189"/>
  <c r="L40" i="189"/>
  <c r="L27" i="189"/>
  <c r="L23" i="189"/>
  <c r="L44" i="189"/>
  <c r="L113" i="189"/>
  <c r="L115" i="189"/>
  <c r="L114" i="189"/>
  <c r="L20" i="189"/>
  <c r="I112" i="189"/>
  <c r="J112" i="189"/>
  <c r="M28" i="189"/>
  <c r="H111" i="189"/>
  <c r="G116" i="189"/>
  <c r="H116" i="189"/>
  <c r="I111" i="189"/>
  <c r="N93" i="189"/>
  <c r="N89" i="189"/>
  <c r="N85" i="189"/>
  <c r="N81" i="189"/>
  <c r="N72" i="189"/>
  <c r="N61" i="189"/>
  <c r="N96" i="189"/>
  <c r="N84" i="189"/>
  <c r="N82" i="189"/>
  <c r="N71" i="189"/>
  <c r="N60" i="189"/>
  <c r="N53" i="189"/>
  <c r="N97" i="189"/>
  <c r="N79" i="189"/>
  <c r="N55" i="189"/>
  <c r="N57" i="189"/>
  <c r="N91" i="189"/>
  <c r="N87" i="189"/>
  <c r="N73" i="189"/>
  <c r="N62" i="189"/>
  <c r="N58" i="189"/>
  <c r="N74" i="189"/>
  <c r="N69" i="189"/>
  <c r="N95" i="189"/>
  <c r="N94" i="189"/>
  <c r="N83" i="189"/>
  <c r="N80" i="189"/>
  <c r="N52" i="189"/>
  <c r="N59" i="189"/>
  <c r="N19" i="189"/>
  <c r="K112" i="189"/>
  <c r="L112" i="189"/>
  <c r="I116" i="189"/>
  <c r="J116" i="189"/>
  <c r="J111" i="189"/>
  <c r="N25" i="189"/>
  <c r="N28" i="189"/>
  <c r="N38" i="189"/>
  <c r="N42" i="189"/>
  <c r="N46" i="189"/>
  <c r="N23" i="189"/>
  <c r="N27" i="189"/>
  <c r="N36" i="189"/>
  <c r="N40" i="189"/>
  <c r="N44" i="189"/>
  <c r="N37" i="189"/>
  <c r="N45" i="189"/>
  <c r="N24" i="189"/>
  <c r="N32" i="189"/>
  <c r="N41" i="189"/>
  <c r="N21" i="189"/>
  <c r="N39" i="189"/>
  <c r="N26" i="189"/>
  <c r="N43" i="189"/>
  <c r="N115" i="189"/>
  <c r="N114" i="189"/>
  <c r="N113" i="189"/>
  <c r="N20" i="189"/>
  <c r="K111" i="189"/>
  <c r="O28" i="189"/>
  <c r="P96" i="189"/>
  <c r="P84" i="189"/>
  <c r="P80" i="189"/>
  <c r="P71" i="189"/>
  <c r="P60" i="189"/>
  <c r="P58" i="189"/>
  <c r="P95" i="189"/>
  <c r="P91" i="189"/>
  <c r="P87" i="189"/>
  <c r="P83" i="189"/>
  <c r="P93" i="189"/>
  <c r="P89" i="189"/>
  <c r="P85" i="189"/>
  <c r="P79" i="189"/>
  <c r="P55" i="189"/>
  <c r="P73" i="189"/>
  <c r="P72" i="189"/>
  <c r="P62" i="189"/>
  <c r="P61" i="189"/>
  <c r="P57" i="189"/>
  <c r="P81" i="189"/>
  <c r="P74" i="189"/>
  <c r="P69" i="189"/>
  <c r="P94" i="189"/>
  <c r="P53" i="189"/>
  <c r="P52" i="189"/>
  <c r="P82" i="189"/>
  <c r="P97" i="189"/>
  <c r="P59" i="189"/>
  <c r="P24" i="189"/>
  <c r="P32" i="189"/>
  <c r="P37" i="189"/>
  <c r="P41" i="189"/>
  <c r="P45" i="189"/>
  <c r="P21" i="189"/>
  <c r="P26" i="189"/>
  <c r="P28" i="189"/>
  <c r="P39" i="189"/>
  <c r="P43" i="189"/>
  <c r="P27" i="189"/>
  <c r="P36" i="189"/>
  <c r="P44" i="189"/>
  <c r="P23" i="189"/>
  <c r="P40" i="189"/>
  <c r="P46" i="189"/>
  <c r="P42" i="189"/>
  <c r="P25" i="189"/>
  <c r="P114" i="189"/>
  <c r="P115" i="189"/>
  <c r="P113" i="189"/>
  <c r="P38" i="189"/>
  <c r="P20" i="189"/>
  <c r="L111" i="189"/>
  <c r="K116" i="189"/>
  <c r="L116" i="189"/>
  <c r="Q28" i="189"/>
  <c r="P19" i="189"/>
  <c r="M111" i="189"/>
  <c r="M112" i="189"/>
  <c r="N112" i="189"/>
  <c r="R95" i="189"/>
  <c r="R91" i="189"/>
  <c r="R87" i="189"/>
  <c r="R83" i="189"/>
  <c r="R79" i="189"/>
  <c r="R74" i="189"/>
  <c r="R69" i="189"/>
  <c r="R57" i="189"/>
  <c r="R53" i="189"/>
  <c r="R55" i="189"/>
  <c r="R94" i="189"/>
  <c r="R73" i="189"/>
  <c r="R72" i="189"/>
  <c r="R62" i="189"/>
  <c r="R61" i="189"/>
  <c r="R96" i="189"/>
  <c r="R84" i="189"/>
  <c r="R80" i="189"/>
  <c r="R52" i="189"/>
  <c r="R97" i="189"/>
  <c r="R58" i="189"/>
  <c r="R93" i="189"/>
  <c r="R89" i="189"/>
  <c r="R85" i="189"/>
  <c r="R71" i="189"/>
  <c r="R60" i="189"/>
  <c r="R82" i="189"/>
  <c r="R81" i="189"/>
  <c r="R59" i="189"/>
  <c r="R23" i="189"/>
  <c r="R27" i="189"/>
  <c r="R28" i="189"/>
  <c r="R36" i="189"/>
  <c r="R40" i="189"/>
  <c r="R44" i="189"/>
  <c r="R25" i="189"/>
  <c r="R38" i="189"/>
  <c r="R42" i="189"/>
  <c r="R26" i="189"/>
  <c r="R43" i="189"/>
  <c r="R21" i="189"/>
  <c r="R39" i="189"/>
  <c r="R37" i="189"/>
  <c r="R24" i="189"/>
  <c r="R41" i="189"/>
  <c r="R46" i="189"/>
  <c r="R113" i="189"/>
  <c r="R114" i="189"/>
  <c r="R32" i="189"/>
  <c r="R115" i="189"/>
  <c r="R45" i="189"/>
  <c r="R20" i="189"/>
  <c r="O111" i="189"/>
  <c r="S28" i="189"/>
  <c r="R19" i="189"/>
  <c r="M116" i="189"/>
  <c r="N116" i="189"/>
  <c r="N111" i="189"/>
  <c r="O112" i="189"/>
  <c r="P112" i="189"/>
  <c r="T55" i="189"/>
  <c r="T94" i="189"/>
  <c r="T82" i="189"/>
  <c r="T73" i="189"/>
  <c r="T62" i="189"/>
  <c r="T52" i="189"/>
  <c r="T93" i="189"/>
  <c r="T89" i="189"/>
  <c r="T85" i="189"/>
  <c r="T96" i="189"/>
  <c r="T84" i="189"/>
  <c r="T80" i="189"/>
  <c r="T57" i="189"/>
  <c r="T95" i="189"/>
  <c r="T91" i="189"/>
  <c r="T87" i="189"/>
  <c r="T83" i="189"/>
  <c r="T81" i="189"/>
  <c r="T74" i="189"/>
  <c r="T69" i="189"/>
  <c r="T58" i="189"/>
  <c r="T72" i="189"/>
  <c r="T71" i="189"/>
  <c r="T61" i="189"/>
  <c r="T60" i="189"/>
  <c r="T53" i="189"/>
  <c r="T79" i="189"/>
  <c r="T97" i="189"/>
  <c r="T59" i="189"/>
  <c r="T19" i="189"/>
  <c r="P111" i="189"/>
  <c r="O116" i="189"/>
  <c r="P116" i="189"/>
  <c r="Q111" i="189"/>
  <c r="Q112" i="189"/>
  <c r="R112" i="189"/>
  <c r="U28" i="189"/>
  <c r="T21" i="189"/>
  <c r="T26" i="189"/>
  <c r="T39" i="189"/>
  <c r="T43" i="189"/>
  <c r="T24" i="189"/>
  <c r="T28" i="189"/>
  <c r="T32" i="189"/>
  <c r="T37" i="189"/>
  <c r="T41" i="189"/>
  <c r="T45" i="189"/>
  <c r="T25" i="189"/>
  <c r="T42" i="189"/>
  <c r="T46" i="189"/>
  <c r="T38" i="189"/>
  <c r="T27" i="189"/>
  <c r="T44" i="189"/>
  <c r="T36" i="189"/>
  <c r="T113" i="189"/>
  <c r="T23" i="189"/>
  <c r="T114" i="189"/>
  <c r="T40" i="189"/>
  <c r="T115" i="189"/>
  <c r="T20" i="189"/>
  <c r="V59" i="189"/>
  <c r="S111" i="189"/>
  <c r="Q116" i="189"/>
  <c r="R116" i="189"/>
  <c r="R111" i="189"/>
  <c r="V25" i="189"/>
  <c r="V28" i="189"/>
  <c r="V38" i="189"/>
  <c r="V42" i="189"/>
  <c r="V46" i="189"/>
  <c r="V23" i="189"/>
  <c r="V27" i="189"/>
  <c r="V36" i="189"/>
  <c r="V40" i="189"/>
  <c r="V44" i="189"/>
  <c r="V24" i="189"/>
  <c r="V32" i="189"/>
  <c r="V41" i="189"/>
  <c r="V37" i="189"/>
  <c r="V45" i="189"/>
  <c r="V55" i="189"/>
  <c r="V21" i="189"/>
  <c r="V39" i="189"/>
  <c r="V60" i="189"/>
  <c r="V69" i="189"/>
  <c r="V74" i="189"/>
  <c r="V53" i="189"/>
  <c r="V57" i="189"/>
  <c r="V72" i="189"/>
  <c r="V43" i="189"/>
  <c r="V79" i="189"/>
  <c r="V58" i="189"/>
  <c r="V73" i="189"/>
  <c r="V80" i="189"/>
  <c r="V82" i="189"/>
  <c r="V83" i="189"/>
  <c r="V91" i="189"/>
  <c r="V96" i="189"/>
  <c r="V115" i="189"/>
  <c r="V71" i="189"/>
  <c r="V89" i="189"/>
  <c r="V94" i="189"/>
  <c r="V97" i="189"/>
  <c r="V85" i="189"/>
  <c r="V26" i="189"/>
  <c r="V61" i="189"/>
  <c r="V84" i="189"/>
  <c r="V87" i="189"/>
  <c r="V113" i="189"/>
  <c r="V93" i="189"/>
  <c r="V95" i="189"/>
  <c r="V114" i="189"/>
  <c r="V81" i="189"/>
  <c r="V20" i="189"/>
  <c r="S112" i="189"/>
  <c r="T112" i="189"/>
  <c r="V19" i="189"/>
  <c r="U111" i="189"/>
  <c r="V62" i="189"/>
  <c r="U112" i="189"/>
  <c r="V112" i="189"/>
  <c r="V52" i="189"/>
  <c r="T111" i="189"/>
  <c r="S116" i="189"/>
  <c r="T116" i="189"/>
  <c r="U116" i="189"/>
  <c r="V116" i="189"/>
  <c r="V111" i="189"/>
  <c r="G10" i="189"/>
  <c r="G31" i="189"/>
  <c r="H31" i="189"/>
  <c r="I10" i="189"/>
  <c r="I31" i="189"/>
  <c r="J31" i="189"/>
  <c r="G33" i="189"/>
  <c r="I33" i="189"/>
  <c r="H33" i="189"/>
  <c r="J33" i="189"/>
  <c r="K10" i="189"/>
  <c r="K31" i="189"/>
  <c r="L31" i="189"/>
  <c r="K33" i="189"/>
  <c r="M10" i="189"/>
  <c r="M31" i="189"/>
  <c r="L33" i="189"/>
  <c r="N31" i="189"/>
  <c r="M33" i="189"/>
  <c r="N33" i="189"/>
  <c r="O10" i="189"/>
  <c r="O31" i="189"/>
  <c r="P31" i="189"/>
  <c r="Q10" i="189"/>
  <c r="Q31" i="189"/>
  <c r="Q33" i="189"/>
  <c r="R33" i="189"/>
  <c r="S10" i="189"/>
  <c r="S31" i="189"/>
  <c r="T31" i="189"/>
  <c r="R31" i="189"/>
  <c r="O33" i="189"/>
  <c r="S33" i="189"/>
  <c r="P33" i="189"/>
  <c r="T33" i="189"/>
  <c r="U10" i="189"/>
  <c r="U31" i="189"/>
  <c r="V31" i="189"/>
  <c r="U33" i="189"/>
  <c r="V33" i="189"/>
  <c r="E10" i="188"/>
  <c r="E31" i="188"/>
  <c r="E33" i="188"/>
  <c r="E28" i="188"/>
  <c r="F96" i="188"/>
  <c r="F91" i="188"/>
  <c r="F84" i="188"/>
  <c r="F80" i="188"/>
  <c r="F74" i="188"/>
  <c r="F69" i="188"/>
  <c r="F61" i="188"/>
  <c r="F58" i="188"/>
  <c r="F53" i="188"/>
  <c r="F94" i="188"/>
  <c r="F82" i="188"/>
  <c r="F95" i="188"/>
  <c r="F87" i="188"/>
  <c r="F83" i="188"/>
  <c r="F79" i="188"/>
  <c r="F71" i="188"/>
  <c r="F62" i="188"/>
  <c r="F57" i="188"/>
  <c r="F52" i="188"/>
  <c r="F93" i="188"/>
  <c r="F73" i="188"/>
  <c r="F72" i="188"/>
  <c r="F85" i="188"/>
  <c r="F81" i="188"/>
  <c r="F89" i="188"/>
  <c r="F60" i="188"/>
  <c r="F97" i="188"/>
  <c r="F59" i="188"/>
  <c r="F21" i="188"/>
  <c r="F24" i="188"/>
  <c r="F26" i="188"/>
  <c r="F32" i="188"/>
  <c r="F37" i="188"/>
  <c r="F23" i="188"/>
  <c r="F25" i="188"/>
  <c r="F27" i="188"/>
  <c r="F28" i="188"/>
  <c r="F36" i="188"/>
  <c r="F38" i="188"/>
  <c r="F39" i="188"/>
  <c r="F40" i="188"/>
  <c r="F42" i="188"/>
  <c r="F44" i="188"/>
  <c r="F46" i="188"/>
  <c r="F43" i="188"/>
  <c r="F45" i="188"/>
  <c r="F41" i="188"/>
  <c r="F113" i="188"/>
  <c r="F115" i="188"/>
  <c r="F114" i="188"/>
  <c r="F31" i="188"/>
  <c r="F20" i="188"/>
  <c r="F33" i="188"/>
  <c r="F19" i="188"/>
  <c r="G28" i="188"/>
  <c r="H95" i="188"/>
  <c r="H89" i="188"/>
  <c r="H83" i="188"/>
  <c r="H79" i="188"/>
  <c r="H73" i="188"/>
  <c r="H60" i="188"/>
  <c r="H57" i="188"/>
  <c r="H52" i="188"/>
  <c r="H87" i="188"/>
  <c r="H74" i="188"/>
  <c r="H71" i="188"/>
  <c r="H62" i="188"/>
  <c r="H61" i="188"/>
  <c r="H91" i="188"/>
  <c r="H72" i="188"/>
  <c r="H96" i="188"/>
  <c r="H58" i="188"/>
  <c r="H53" i="188"/>
  <c r="H85" i="188"/>
  <c r="H82" i="188"/>
  <c r="H81" i="188"/>
  <c r="H84" i="188"/>
  <c r="H80" i="188"/>
  <c r="H69" i="188"/>
  <c r="H94" i="188"/>
  <c r="H93" i="188"/>
  <c r="H97" i="188"/>
  <c r="H59" i="188"/>
  <c r="E112" i="188"/>
  <c r="H23" i="188"/>
  <c r="H25" i="188"/>
  <c r="H27" i="188"/>
  <c r="H28" i="188"/>
  <c r="H26" i="188"/>
  <c r="H36" i="188"/>
  <c r="H38" i="188"/>
  <c r="H39" i="188"/>
  <c r="H40" i="188"/>
  <c r="H42" i="188"/>
  <c r="H44" i="188"/>
  <c r="H46" i="188"/>
  <c r="H21" i="188"/>
  <c r="H41" i="188"/>
  <c r="H43" i="188"/>
  <c r="H45" i="188"/>
  <c r="H24" i="188"/>
  <c r="H32" i="188"/>
  <c r="H37" i="188"/>
  <c r="H114" i="188"/>
  <c r="H113" i="188"/>
  <c r="H115" i="188"/>
  <c r="H20" i="188"/>
  <c r="I28" i="188"/>
  <c r="E111" i="188"/>
  <c r="H19" i="188"/>
  <c r="J94" i="188"/>
  <c r="J87" i="188"/>
  <c r="J82" i="188"/>
  <c r="J72" i="188"/>
  <c r="J95" i="188"/>
  <c r="J91" i="188"/>
  <c r="J83" i="188"/>
  <c r="J79" i="188"/>
  <c r="J57" i="188"/>
  <c r="J52" i="188"/>
  <c r="J96" i="188"/>
  <c r="J93" i="188"/>
  <c r="J85" i="188"/>
  <c r="J84" i="188"/>
  <c r="J81" i="188"/>
  <c r="J80" i="188"/>
  <c r="J58" i="188"/>
  <c r="J53" i="188"/>
  <c r="J74" i="188"/>
  <c r="J73" i="188"/>
  <c r="J71" i="188"/>
  <c r="J69" i="188"/>
  <c r="J89" i="188"/>
  <c r="J62" i="188"/>
  <c r="J61" i="188"/>
  <c r="J60" i="188"/>
  <c r="J97" i="188"/>
  <c r="J59" i="188"/>
  <c r="J19" i="188"/>
  <c r="F111" i="188"/>
  <c r="E116" i="188"/>
  <c r="F116" i="188"/>
  <c r="G112" i="188"/>
  <c r="F112" i="188"/>
  <c r="J23" i="188"/>
  <c r="J25" i="188"/>
  <c r="J27" i="188"/>
  <c r="J36" i="188"/>
  <c r="J21" i="188"/>
  <c r="J24" i="188"/>
  <c r="J26" i="188"/>
  <c r="J28" i="188"/>
  <c r="J32" i="188"/>
  <c r="J37" i="188"/>
  <c r="J39" i="188"/>
  <c r="J41" i="188"/>
  <c r="J43" i="188"/>
  <c r="J45" i="188"/>
  <c r="J46" i="188"/>
  <c r="J38" i="188"/>
  <c r="J40" i="188"/>
  <c r="J44" i="188"/>
  <c r="J114" i="188"/>
  <c r="J113" i="188"/>
  <c r="J115" i="188"/>
  <c r="J42" i="188"/>
  <c r="J20" i="188"/>
  <c r="K28" i="188"/>
  <c r="L19" i="188"/>
  <c r="G111" i="188"/>
  <c r="L93" i="188"/>
  <c r="L85" i="188"/>
  <c r="L81" i="188"/>
  <c r="L71" i="188"/>
  <c r="L62" i="188"/>
  <c r="L96" i="188"/>
  <c r="L84" i="188"/>
  <c r="L80" i="188"/>
  <c r="L72" i="188"/>
  <c r="L58" i="188"/>
  <c r="L53" i="188"/>
  <c r="L89" i="188"/>
  <c r="L73" i="188"/>
  <c r="L69" i="188"/>
  <c r="L60" i="188"/>
  <c r="L87" i="188"/>
  <c r="L82" i="188"/>
  <c r="L91" i="188"/>
  <c r="L83" i="188"/>
  <c r="L79" i="188"/>
  <c r="L61" i="188"/>
  <c r="L94" i="188"/>
  <c r="L95" i="188"/>
  <c r="L74" i="188"/>
  <c r="L57" i="188"/>
  <c r="L52" i="188"/>
  <c r="L97" i="188"/>
  <c r="L59" i="188"/>
  <c r="I111" i="188"/>
  <c r="G116" i="188"/>
  <c r="H116" i="188"/>
  <c r="H111" i="188"/>
  <c r="M28" i="188"/>
  <c r="I112" i="188"/>
  <c r="L21" i="188"/>
  <c r="L24" i="188"/>
  <c r="L26" i="188"/>
  <c r="L32" i="188"/>
  <c r="L28" i="188"/>
  <c r="L41" i="188"/>
  <c r="L43" i="188"/>
  <c r="L45" i="188"/>
  <c r="L25" i="188"/>
  <c r="L37" i="188"/>
  <c r="L38" i="188"/>
  <c r="L40" i="188"/>
  <c r="L42" i="188"/>
  <c r="L44" i="188"/>
  <c r="L46" i="188"/>
  <c r="L27" i="188"/>
  <c r="L23" i="188"/>
  <c r="L39" i="188"/>
  <c r="L36" i="188"/>
  <c r="L113" i="188"/>
  <c r="L115" i="188"/>
  <c r="L114" i="188"/>
  <c r="L20" i="188"/>
  <c r="H112" i="188"/>
  <c r="N96" i="188"/>
  <c r="N91" i="188"/>
  <c r="N84" i="188"/>
  <c r="N80" i="188"/>
  <c r="N74" i="188"/>
  <c r="N69" i="188"/>
  <c r="N61" i="188"/>
  <c r="N58" i="188"/>
  <c r="N53" i="188"/>
  <c r="N93" i="188"/>
  <c r="N89" i="188"/>
  <c r="N85" i="188"/>
  <c r="N81" i="188"/>
  <c r="N73" i="188"/>
  <c r="N60" i="188"/>
  <c r="N94" i="188"/>
  <c r="N82" i="188"/>
  <c r="N83" i="188"/>
  <c r="N79" i="188"/>
  <c r="N72" i="188"/>
  <c r="N62" i="188"/>
  <c r="N95" i="188"/>
  <c r="N57" i="188"/>
  <c r="N52" i="188"/>
  <c r="N87" i="188"/>
  <c r="N71" i="188"/>
  <c r="N97" i="188"/>
  <c r="N59" i="188"/>
  <c r="N19" i="188"/>
  <c r="J111" i="188"/>
  <c r="I116" i="188"/>
  <c r="J116" i="188"/>
  <c r="N21" i="188"/>
  <c r="N24" i="188"/>
  <c r="N26" i="188"/>
  <c r="N32" i="188"/>
  <c r="N23" i="188"/>
  <c r="N25" i="188"/>
  <c r="N27" i="188"/>
  <c r="N28" i="188"/>
  <c r="N36" i="188"/>
  <c r="N38" i="188"/>
  <c r="N39" i="188"/>
  <c r="N37" i="188"/>
  <c r="N40" i="188"/>
  <c r="N42" i="188"/>
  <c r="N44" i="188"/>
  <c r="N46" i="188"/>
  <c r="N41" i="188"/>
  <c r="N43" i="188"/>
  <c r="N113" i="188"/>
  <c r="N115" i="188"/>
  <c r="N114" i="188"/>
  <c r="N45" i="188"/>
  <c r="N20" i="188"/>
  <c r="K111" i="188"/>
  <c r="J112" i="188"/>
  <c r="K112" i="188"/>
  <c r="O28" i="188"/>
  <c r="P95" i="188"/>
  <c r="P89" i="188"/>
  <c r="P83" i="188"/>
  <c r="P79" i="188"/>
  <c r="P73" i="188"/>
  <c r="P60" i="188"/>
  <c r="P57" i="188"/>
  <c r="P52" i="188"/>
  <c r="P94" i="188"/>
  <c r="P82" i="188"/>
  <c r="P69" i="188"/>
  <c r="P87" i="188"/>
  <c r="P74" i="188"/>
  <c r="P71" i="188"/>
  <c r="P62" i="188"/>
  <c r="P61" i="188"/>
  <c r="P91" i="188"/>
  <c r="P85" i="188"/>
  <c r="P81" i="188"/>
  <c r="P84" i="188"/>
  <c r="P80" i="188"/>
  <c r="P93" i="188"/>
  <c r="P96" i="188"/>
  <c r="P72" i="188"/>
  <c r="P58" i="188"/>
  <c r="P53" i="188"/>
  <c r="P97" i="188"/>
  <c r="P59" i="188"/>
  <c r="P19" i="188"/>
  <c r="M111" i="188"/>
  <c r="P23" i="188"/>
  <c r="P25" i="188"/>
  <c r="P27" i="188"/>
  <c r="P28" i="188"/>
  <c r="P24" i="188"/>
  <c r="P32" i="188"/>
  <c r="P37" i="188"/>
  <c r="P40" i="188"/>
  <c r="P42" i="188"/>
  <c r="P44" i="188"/>
  <c r="P46" i="188"/>
  <c r="P36" i="188"/>
  <c r="P41" i="188"/>
  <c r="P43" i="188"/>
  <c r="P45" i="188"/>
  <c r="P21" i="188"/>
  <c r="P38" i="188"/>
  <c r="P39" i="188"/>
  <c r="P26" i="188"/>
  <c r="P114" i="188"/>
  <c r="P115" i="188"/>
  <c r="P113" i="188"/>
  <c r="P20" i="188"/>
  <c r="M112" i="188"/>
  <c r="Q28" i="188"/>
  <c r="L112" i="188"/>
  <c r="L111" i="188"/>
  <c r="K116" i="188"/>
  <c r="L116" i="188"/>
  <c r="R94" i="188"/>
  <c r="R87" i="188"/>
  <c r="R82" i="188"/>
  <c r="R72" i="188"/>
  <c r="R74" i="188"/>
  <c r="R71" i="188"/>
  <c r="R62" i="188"/>
  <c r="R61" i="188"/>
  <c r="R95" i="188"/>
  <c r="R91" i="188"/>
  <c r="R83" i="188"/>
  <c r="R79" i="188"/>
  <c r="R57" i="188"/>
  <c r="R52" i="188"/>
  <c r="R84" i="188"/>
  <c r="R80" i="188"/>
  <c r="R69" i="188"/>
  <c r="R93" i="188"/>
  <c r="R89" i="188"/>
  <c r="R60" i="188"/>
  <c r="R96" i="188"/>
  <c r="R58" i="188"/>
  <c r="R53" i="188"/>
  <c r="R85" i="188"/>
  <c r="R81" i="188"/>
  <c r="R73" i="188"/>
  <c r="R97" i="188"/>
  <c r="R59" i="188"/>
  <c r="R23" i="188"/>
  <c r="R25" i="188"/>
  <c r="R27" i="188"/>
  <c r="R36" i="188"/>
  <c r="R21" i="188"/>
  <c r="R24" i="188"/>
  <c r="R26" i="188"/>
  <c r="R28" i="188"/>
  <c r="R32" i="188"/>
  <c r="R37" i="188"/>
  <c r="R39" i="188"/>
  <c r="R38" i="188"/>
  <c r="R41" i="188"/>
  <c r="R43" i="188"/>
  <c r="R45" i="188"/>
  <c r="R44" i="188"/>
  <c r="R46" i="188"/>
  <c r="R42" i="188"/>
  <c r="R114" i="188"/>
  <c r="R40" i="188"/>
  <c r="R113" i="188"/>
  <c r="R115" i="188"/>
  <c r="R20" i="188"/>
  <c r="N112" i="188"/>
  <c r="S28" i="188"/>
  <c r="O111" i="188"/>
  <c r="M116" i="188"/>
  <c r="N116" i="188"/>
  <c r="N111" i="188"/>
  <c r="R19" i="188"/>
  <c r="O112" i="188"/>
  <c r="T93" i="188"/>
  <c r="T85" i="188"/>
  <c r="T81" i="188"/>
  <c r="T71" i="188"/>
  <c r="T62" i="188"/>
  <c r="T95" i="188"/>
  <c r="T91" i="188"/>
  <c r="T87" i="188"/>
  <c r="T83" i="188"/>
  <c r="T79" i="188"/>
  <c r="T57" i="188"/>
  <c r="T52" i="188"/>
  <c r="T96" i="188"/>
  <c r="T84" i="188"/>
  <c r="T80" i="188"/>
  <c r="T72" i="188"/>
  <c r="T58" i="188"/>
  <c r="T53" i="188"/>
  <c r="T89" i="188"/>
  <c r="T61" i="188"/>
  <c r="T60" i="188"/>
  <c r="T94" i="188"/>
  <c r="T74" i="188"/>
  <c r="T73" i="188"/>
  <c r="T82" i="188"/>
  <c r="T69" i="188"/>
  <c r="T97" i="188"/>
  <c r="T59" i="188"/>
  <c r="U28" i="188"/>
  <c r="V59" i="188"/>
  <c r="P111" i="188"/>
  <c r="O116" i="188"/>
  <c r="P116" i="188"/>
  <c r="T21" i="188"/>
  <c r="T24" i="188"/>
  <c r="T26" i="188"/>
  <c r="T32" i="188"/>
  <c r="T28" i="188"/>
  <c r="T27" i="188"/>
  <c r="T39" i="188"/>
  <c r="T41" i="188"/>
  <c r="T43" i="188"/>
  <c r="T45" i="188"/>
  <c r="T23" i="188"/>
  <c r="T40" i="188"/>
  <c r="T42" i="188"/>
  <c r="T44" i="188"/>
  <c r="T46" i="188"/>
  <c r="T25" i="188"/>
  <c r="T36" i="188"/>
  <c r="T37" i="188"/>
  <c r="T113" i="188"/>
  <c r="T115" i="188"/>
  <c r="T114" i="188"/>
  <c r="T38" i="188"/>
  <c r="T20" i="188"/>
  <c r="Q111" i="188"/>
  <c r="P112" i="188"/>
  <c r="Q112" i="188"/>
  <c r="T19" i="188"/>
  <c r="S112" i="188"/>
  <c r="S111" i="188"/>
  <c r="R111" i="188"/>
  <c r="Q116" i="188"/>
  <c r="R116" i="188"/>
  <c r="R112" i="188"/>
  <c r="V21" i="188"/>
  <c r="V24" i="188"/>
  <c r="V26" i="188"/>
  <c r="V32" i="188"/>
  <c r="V23" i="188"/>
  <c r="V25" i="188"/>
  <c r="V27" i="188"/>
  <c r="V28" i="188"/>
  <c r="V36" i="188"/>
  <c r="V38" i="188"/>
  <c r="V37" i="188"/>
  <c r="V40" i="188"/>
  <c r="V42" i="188"/>
  <c r="V44" i="188"/>
  <c r="V46" i="188"/>
  <c r="V39" i="188"/>
  <c r="V41" i="188"/>
  <c r="V45" i="188"/>
  <c r="V43" i="188"/>
  <c r="V113" i="188"/>
  <c r="V115" i="188"/>
  <c r="V114" i="188"/>
  <c r="V20" i="188"/>
  <c r="V19" i="188"/>
  <c r="V93" i="188"/>
  <c r="V89" i="188"/>
  <c r="V85" i="188"/>
  <c r="V81" i="188"/>
  <c r="V73" i="188"/>
  <c r="V60" i="188"/>
  <c r="V52" i="188"/>
  <c r="V95" i="188"/>
  <c r="V91" i="188"/>
  <c r="V87" i="188"/>
  <c r="V83" i="188"/>
  <c r="V79" i="188"/>
  <c r="V69" i="188"/>
  <c r="V72" i="188"/>
  <c r="V62" i="188"/>
  <c r="U112" i="188"/>
  <c r="V58" i="188"/>
  <c r="V94" i="188"/>
  <c r="V82" i="188"/>
  <c r="V74" i="188"/>
  <c r="V61" i="188"/>
  <c r="V57" i="188"/>
  <c r="V53" i="188"/>
  <c r="V96" i="188"/>
  <c r="V84" i="188"/>
  <c r="V80" i="188"/>
  <c r="V71" i="188"/>
  <c r="U111" i="188"/>
  <c r="T112" i="188"/>
  <c r="V97" i="188"/>
  <c r="T111" i="188"/>
  <c r="S116" i="188"/>
  <c r="T116" i="188"/>
  <c r="V111" i="188"/>
  <c r="U116" i="188"/>
  <c r="V116" i="188"/>
  <c r="V112" i="188"/>
  <c r="G10" i="188"/>
  <c r="G31" i="188"/>
  <c r="H31" i="188"/>
  <c r="G33" i="188"/>
  <c r="H33" i="188"/>
  <c r="I10" i="188"/>
  <c r="I31" i="188"/>
  <c r="J31" i="188"/>
  <c r="I33" i="188"/>
  <c r="J33" i="188"/>
  <c r="K10" i="188"/>
  <c r="K31" i="188"/>
  <c r="K33" i="188"/>
  <c r="L31" i="188"/>
  <c r="L33" i="188"/>
  <c r="M10" i="188"/>
  <c r="M31" i="188"/>
  <c r="N31" i="188"/>
  <c r="M33" i="188"/>
  <c r="N33" i="188"/>
  <c r="O10" i="188"/>
  <c r="O31" i="188"/>
  <c r="P31" i="188"/>
  <c r="O33" i="188"/>
  <c r="P33" i="188"/>
  <c r="Q10" i="188"/>
  <c r="Q31" i="188"/>
  <c r="R31" i="188"/>
  <c r="Q33" i="188"/>
  <c r="R33" i="188"/>
  <c r="S10" i="188"/>
  <c r="S31" i="188"/>
  <c r="T31" i="188"/>
  <c r="S33" i="188"/>
  <c r="T33" i="188"/>
  <c r="U10" i="188"/>
  <c r="U31" i="188"/>
  <c r="V31" i="188"/>
  <c r="D23" i="188"/>
  <c r="D27" i="188"/>
  <c r="C31" i="188"/>
  <c r="C33" i="188"/>
  <c r="D33" i="188"/>
  <c r="D36" i="188"/>
  <c r="D44" i="188"/>
  <c r="D31" i="188"/>
  <c r="U33" i="188"/>
  <c r="D20" i="188"/>
  <c r="D25" i="188"/>
  <c r="D28" i="188"/>
  <c r="D38" i="188"/>
  <c r="D42" i="188"/>
  <c r="D46" i="188"/>
  <c r="D114" i="188"/>
  <c r="D21" i="188"/>
  <c r="D26" i="188"/>
  <c r="D39" i="188"/>
  <c r="D43" i="188"/>
  <c r="D115" i="188"/>
  <c r="D24" i="188"/>
  <c r="D32" i="188"/>
  <c r="D37" i="188"/>
  <c r="D41" i="188"/>
  <c r="D45" i="188"/>
  <c r="D113" i="188"/>
  <c r="D40" i="188"/>
  <c r="D19" i="188"/>
  <c r="V33" i="188"/>
  <c r="C111" i="188"/>
  <c r="C112" i="188"/>
  <c r="D112" i="188"/>
  <c r="D111" i="188"/>
  <c r="C116" i="188"/>
  <c r="D116" i="188"/>
  <c r="C31" i="190"/>
  <c r="C33" i="190"/>
  <c r="D19" i="190"/>
  <c r="D28" i="190"/>
  <c r="D21" i="190"/>
  <c r="D26" i="190"/>
  <c r="D39" i="190"/>
  <c r="D43" i="190"/>
  <c r="D24" i="190"/>
  <c r="D32" i="190"/>
  <c r="D37" i="190"/>
  <c r="D41" i="190"/>
  <c r="D45" i="190"/>
  <c r="D27" i="190"/>
  <c r="D42" i="190"/>
  <c r="D114" i="190"/>
  <c r="D23" i="190"/>
  <c r="D38" i="190"/>
  <c r="D46" i="190"/>
  <c r="D25" i="190"/>
  <c r="D40" i="190"/>
  <c r="D113" i="190"/>
  <c r="D44" i="190"/>
  <c r="D115" i="190"/>
  <c r="D36" i="190"/>
  <c r="D20" i="190"/>
  <c r="D31" i="190"/>
  <c r="D33" i="190"/>
  <c r="C111" i="190"/>
  <c r="C112" i="190"/>
  <c r="D111" i="190"/>
  <c r="C116" i="190"/>
  <c r="D116" i="190"/>
  <c r="D112" i="190"/>
  <c r="E10" i="190"/>
  <c r="E31" i="190"/>
  <c r="E33" i="190"/>
  <c r="E28" i="190"/>
  <c r="F96" i="190"/>
  <c r="F91" i="190"/>
  <c r="F82" i="190"/>
  <c r="F72" i="190"/>
  <c r="F61" i="190"/>
  <c r="F52" i="190"/>
  <c r="F95" i="190"/>
  <c r="F85" i="190"/>
  <c r="F55" i="190"/>
  <c r="F93" i="190"/>
  <c r="F87" i="190"/>
  <c r="F83" i="190"/>
  <c r="F80" i="190"/>
  <c r="F74" i="190"/>
  <c r="F69" i="190"/>
  <c r="F58" i="190"/>
  <c r="F81" i="190"/>
  <c r="F71" i="190"/>
  <c r="F60" i="190"/>
  <c r="F53" i="190"/>
  <c r="F94" i="190"/>
  <c r="F89" i="190"/>
  <c r="F84" i="190"/>
  <c r="F79" i="190"/>
  <c r="F73" i="190"/>
  <c r="F62" i="190"/>
  <c r="F57" i="190"/>
  <c r="F97" i="190"/>
  <c r="F59" i="190"/>
  <c r="F19" i="190"/>
  <c r="F20" i="190"/>
  <c r="F21" i="190"/>
  <c r="F26" i="190"/>
  <c r="F33" i="190"/>
  <c r="F39" i="190"/>
  <c r="F43" i="190"/>
  <c r="F24" i="190"/>
  <c r="F32" i="190"/>
  <c r="F37" i="190"/>
  <c r="F41" i="190"/>
  <c r="F45" i="190"/>
  <c r="F25" i="190"/>
  <c r="F28" i="190"/>
  <c r="F38" i="190"/>
  <c r="F42" i="190"/>
  <c r="F46" i="190"/>
  <c r="F44" i="190"/>
  <c r="F23" i="190"/>
  <c r="F40" i="190"/>
  <c r="F27" i="190"/>
  <c r="F114" i="190"/>
  <c r="F31" i="190"/>
  <c r="F36" i="190"/>
  <c r="F113" i="190"/>
  <c r="F115" i="190"/>
  <c r="G28" i="190"/>
  <c r="H95" i="190"/>
  <c r="H85" i="190"/>
  <c r="H81" i="190"/>
  <c r="H71" i="190"/>
  <c r="H60" i="190"/>
  <c r="H58" i="190"/>
  <c r="H55" i="190"/>
  <c r="H94" i="190"/>
  <c r="H89" i="190"/>
  <c r="H84" i="190"/>
  <c r="H96" i="190"/>
  <c r="H91" i="190"/>
  <c r="H53" i="190"/>
  <c r="H52" i="190"/>
  <c r="H82" i="190"/>
  <c r="H79" i="190"/>
  <c r="H73" i="190"/>
  <c r="H72" i="190"/>
  <c r="H62" i="190"/>
  <c r="H61" i="190"/>
  <c r="H57" i="190"/>
  <c r="H93" i="190"/>
  <c r="H87" i="190"/>
  <c r="H83" i="190"/>
  <c r="H80" i="190"/>
  <c r="H74" i="190"/>
  <c r="H69" i="190"/>
  <c r="H97" i="190"/>
  <c r="H59" i="190"/>
  <c r="H25" i="190"/>
  <c r="H38" i="190"/>
  <c r="H42" i="190"/>
  <c r="H46" i="190"/>
  <c r="H23" i="190"/>
  <c r="H27" i="190"/>
  <c r="H36" i="190"/>
  <c r="H40" i="190"/>
  <c r="H44" i="190"/>
  <c r="H24" i="190"/>
  <c r="H32" i="190"/>
  <c r="H37" i="190"/>
  <c r="H41" i="190"/>
  <c r="H45" i="190"/>
  <c r="H26" i="190"/>
  <c r="H28" i="190"/>
  <c r="H39" i="190"/>
  <c r="H21" i="190"/>
  <c r="H113" i="190"/>
  <c r="H115" i="190"/>
  <c r="H43" i="190"/>
  <c r="H114" i="190"/>
  <c r="I28" i="190"/>
  <c r="J20" i="190"/>
  <c r="E111" i="190"/>
  <c r="H20" i="190"/>
  <c r="E112" i="190"/>
  <c r="H19" i="190"/>
  <c r="J55" i="190"/>
  <c r="J94" i="190"/>
  <c r="J89" i="190"/>
  <c r="J84" i="190"/>
  <c r="J80" i="190"/>
  <c r="J74" i="190"/>
  <c r="J69" i="190"/>
  <c r="J57" i="190"/>
  <c r="J93" i="190"/>
  <c r="J87" i="190"/>
  <c r="J83" i="190"/>
  <c r="J96" i="190"/>
  <c r="J91" i="190"/>
  <c r="J81" i="190"/>
  <c r="J71" i="190"/>
  <c r="J60" i="190"/>
  <c r="J53" i="190"/>
  <c r="J52" i="190"/>
  <c r="J82" i="190"/>
  <c r="J79" i="190"/>
  <c r="J73" i="190"/>
  <c r="J72" i="190"/>
  <c r="J62" i="190"/>
  <c r="J61" i="190"/>
  <c r="J95" i="190"/>
  <c r="J85" i="190"/>
  <c r="J58" i="190"/>
  <c r="J97" i="190"/>
  <c r="J59" i="190"/>
  <c r="K28" i="190"/>
  <c r="L20" i="190"/>
  <c r="G111" i="190"/>
  <c r="G112" i="190"/>
  <c r="F112" i="190"/>
  <c r="F111" i="190"/>
  <c r="E116" i="190"/>
  <c r="F116" i="190"/>
  <c r="J24" i="190"/>
  <c r="J32" i="190"/>
  <c r="J37" i="190"/>
  <c r="J41" i="190"/>
  <c r="J45" i="190"/>
  <c r="J21" i="190"/>
  <c r="J26" i="190"/>
  <c r="J39" i="190"/>
  <c r="J43" i="190"/>
  <c r="J23" i="190"/>
  <c r="J27" i="190"/>
  <c r="J28" i="190"/>
  <c r="J36" i="190"/>
  <c r="J40" i="190"/>
  <c r="J44" i="190"/>
  <c r="J42" i="190"/>
  <c r="J46" i="190"/>
  <c r="J38" i="190"/>
  <c r="J114" i="190"/>
  <c r="J25" i="190"/>
  <c r="J115" i="190"/>
  <c r="J113" i="190"/>
  <c r="J19" i="190"/>
  <c r="L93" i="190"/>
  <c r="L87" i="190"/>
  <c r="L83" i="190"/>
  <c r="L79" i="190"/>
  <c r="L73" i="190"/>
  <c r="L62" i="190"/>
  <c r="L53" i="190"/>
  <c r="L96" i="190"/>
  <c r="L91" i="190"/>
  <c r="L82" i="190"/>
  <c r="L72" i="190"/>
  <c r="L61" i="190"/>
  <c r="L95" i="190"/>
  <c r="L85" i="190"/>
  <c r="L57" i="190"/>
  <c r="L94" i="190"/>
  <c r="L89" i="190"/>
  <c r="L84" i="190"/>
  <c r="L80" i="190"/>
  <c r="L74" i="190"/>
  <c r="L69" i="190"/>
  <c r="L58" i="190"/>
  <c r="L55" i="190"/>
  <c r="L81" i="190"/>
  <c r="L71" i="190"/>
  <c r="L60" i="190"/>
  <c r="L52" i="190"/>
  <c r="L97" i="190"/>
  <c r="L59" i="190"/>
  <c r="L19" i="190"/>
  <c r="I112" i="190"/>
  <c r="G116" i="190"/>
  <c r="H116" i="190"/>
  <c r="H111" i="190"/>
  <c r="L23" i="190"/>
  <c r="L27" i="190"/>
  <c r="L36" i="190"/>
  <c r="L40" i="190"/>
  <c r="L44" i="190"/>
  <c r="L25" i="190"/>
  <c r="L38" i="190"/>
  <c r="L42" i="190"/>
  <c r="L46" i="190"/>
  <c r="L21" i="190"/>
  <c r="L26" i="190"/>
  <c r="L39" i="190"/>
  <c r="L43" i="190"/>
  <c r="L24" i="190"/>
  <c r="L37" i="190"/>
  <c r="L32" i="190"/>
  <c r="L45" i="190"/>
  <c r="L115" i="190"/>
  <c r="L41" i="190"/>
  <c r="L113" i="190"/>
  <c r="L114" i="190"/>
  <c r="L28" i="190"/>
  <c r="I111" i="190"/>
  <c r="H112" i="190"/>
  <c r="M28" i="190"/>
  <c r="N96" i="190"/>
  <c r="N91" i="190"/>
  <c r="N82" i="190"/>
  <c r="N72" i="190"/>
  <c r="N61" i="190"/>
  <c r="N52" i="190"/>
  <c r="N95" i="190"/>
  <c r="N85" i="190"/>
  <c r="N79" i="190"/>
  <c r="N73" i="190"/>
  <c r="N62" i="190"/>
  <c r="N57" i="190"/>
  <c r="N94" i="190"/>
  <c r="N89" i="190"/>
  <c r="N84" i="190"/>
  <c r="N80" i="190"/>
  <c r="N74" i="190"/>
  <c r="N69" i="190"/>
  <c r="N58" i="190"/>
  <c r="N55" i="190"/>
  <c r="N93" i="190"/>
  <c r="N87" i="190"/>
  <c r="N83" i="190"/>
  <c r="N81" i="190"/>
  <c r="N71" i="190"/>
  <c r="N60" i="190"/>
  <c r="N53" i="190"/>
  <c r="N97" i="190"/>
  <c r="N59" i="190"/>
  <c r="N19" i="190"/>
  <c r="O28" i="190"/>
  <c r="J111" i="190"/>
  <c r="I116" i="190"/>
  <c r="J116" i="190"/>
  <c r="K112" i="190"/>
  <c r="N20" i="190"/>
  <c r="N21" i="190"/>
  <c r="N26" i="190"/>
  <c r="N39" i="190"/>
  <c r="N43" i="190"/>
  <c r="N24" i="190"/>
  <c r="N32" i="190"/>
  <c r="N37" i="190"/>
  <c r="N41" i="190"/>
  <c r="N45" i="190"/>
  <c r="N25" i="190"/>
  <c r="N28" i="190"/>
  <c r="N38" i="190"/>
  <c r="N42" i="190"/>
  <c r="N46" i="190"/>
  <c r="N40" i="190"/>
  <c r="N44" i="190"/>
  <c r="N27" i="190"/>
  <c r="N36" i="190"/>
  <c r="N114" i="190"/>
  <c r="N23" i="190"/>
  <c r="N113" i="190"/>
  <c r="N115" i="190"/>
  <c r="K111" i="190"/>
  <c r="J112" i="190"/>
  <c r="P95" i="190"/>
  <c r="P85" i="190"/>
  <c r="P81" i="190"/>
  <c r="P71" i="190"/>
  <c r="P60" i="190"/>
  <c r="P58" i="190"/>
  <c r="P55" i="190"/>
  <c r="P94" i="190"/>
  <c r="P89" i="190"/>
  <c r="P84" i="190"/>
  <c r="P80" i="190"/>
  <c r="P74" i="190"/>
  <c r="P69" i="190"/>
  <c r="P93" i="190"/>
  <c r="P87" i="190"/>
  <c r="P83" i="190"/>
  <c r="P53" i="190"/>
  <c r="P52" i="190"/>
  <c r="P96" i="190"/>
  <c r="P91" i="190"/>
  <c r="P82" i="190"/>
  <c r="P79" i="190"/>
  <c r="P73" i="190"/>
  <c r="P72" i="190"/>
  <c r="P62" i="190"/>
  <c r="P61" i="190"/>
  <c r="P57" i="190"/>
  <c r="P97" i="190"/>
  <c r="P59" i="190"/>
  <c r="P25" i="190"/>
  <c r="P38" i="190"/>
  <c r="P42" i="190"/>
  <c r="P46" i="190"/>
  <c r="P23" i="190"/>
  <c r="P27" i="190"/>
  <c r="P36" i="190"/>
  <c r="P40" i="190"/>
  <c r="P44" i="190"/>
  <c r="P24" i="190"/>
  <c r="P32" i="190"/>
  <c r="P37" i="190"/>
  <c r="P41" i="190"/>
  <c r="P45" i="190"/>
  <c r="P21" i="190"/>
  <c r="P26" i="190"/>
  <c r="P28" i="190"/>
  <c r="P43" i="190"/>
  <c r="P113" i="190"/>
  <c r="P115" i="190"/>
  <c r="P39" i="190"/>
  <c r="P114" i="190"/>
  <c r="K116" i="190"/>
  <c r="L116" i="190"/>
  <c r="L111" i="190"/>
  <c r="M112" i="190"/>
  <c r="P20" i="190"/>
  <c r="P19" i="190"/>
  <c r="M111" i="190"/>
  <c r="L112" i="190"/>
  <c r="Q28" i="190"/>
  <c r="R55" i="190"/>
  <c r="R94" i="190"/>
  <c r="R89" i="190"/>
  <c r="R84" i="190"/>
  <c r="R80" i="190"/>
  <c r="R74" i="190"/>
  <c r="R69" i="190"/>
  <c r="R57" i="190"/>
  <c r="R93" i="190"/>
  <c r="R87" i="190"/>
  <c r="R83" i="190"/>
  <c r="R95" i="190"/>
  <c r="R85" i="190"/>
  <c r="R58" i="190"/>
  <c r="R81" i="190"/>
  <c r="R71" i="190"/>
  <c r="R60" i="190"/>
  <c r="R53" i="190"/>
  <c r="R52" i="190"/>
  <c r="R96" i="190"/>
  <c r="R91" i="190"/>
  <c r="R82" i="190"/>
  <c r="R79" i="190"/>
  <c r="R73" i="190"/>
  <c r="R72" i="190"/>
  <c r="R62" i="190"/>
  <c r="R61" i="190"/>
  <c r="R97" i="190"/>
  <c r="R59" i="190"/>
  <c r="R19" i="190"/>
  <c r="R24" i="190"/>
  <c r="R32" i="190"/>
  <c r="R37" i="190"/>
  <c r="R41" i="190"/>
  <c r="R45" i="190"/>
  <c r="R21" i="190"/>
  <c r="R26" i="190"/>
  <c r="R39" i="190"/>
  <c r="R43" i="190"/>
  <c r="R23" i="190"/>
  <c r="R27" i="190"/>
  <c r="R28" i="190"/>
  <c r="R36" i="190"/>
  <c r="R40" i="190"/>
  <c r="R44" i="190"/>
  <c r="R38" i="190"/>
  <c r="R42" i="190"/>
  <c r="R25" i="190"/>
  <c r="R114" i="190"/>
  <c r="R115" i="190"/>
  <c r="R46" i="190"/>
  <c r="R113" i="190"/>
  <c r="S28" i="190"/>
  <c r="T20" i="190"/>
  <c r="N111" i="190"/>
  <c r="M116" i="190"/>
  <c r="N116" i="190"/>
  <c r="R20" i="190"/>
  <c r="N112" i="190"/>
  <c r="O112" i="190"/>
  <c r="O111" i="190"/>
  <c r="T93" i="190"/>
  <c r="T87" i="190"/>
  <c r="T83" i="190"/>
  <c r="T79" i="190"/>
  <c r="T73" i="190"/>
  <c r="T62" i="190"/>
  <c r="T53" i="190"/>
  <c r="T96" i="190"/>
  <c r="T91" i="190"/>
  <c r="T82" i="190"/>
  <c r="T94" i="190"/>
  <c r="T89" i="190"/>
  <c r="T84" i="190"/>
  <c r="T81" i="190"/>
  <c r="T71" i="190"/>
  <c r="T60" i="190"/>
  <c r="T52" i="190"/>
  <c r="T55" i="190"/>
  <c r="T72" i="190"/>
  <c r="T61" i="190"/>
  <c r="T57" i="190"/>
  <c r="T97" i="190"/>
  <c r="T95" i="190"/>
  <c r="T85" i="190"/>
  <c r="T80" i="190"/>
  <c r="T74" i="190"/>
  <c r="T69" i="190"/>
  <c r="T58" i="190"/>
  <c r="T59" i="190"/>
  <c r="T23" i="190"/>
  <c r="T27" i="190"/>
  <c r="T36" i="190"/>
  <c r="T40" i="190"/>
  <c r="T44" i="190"/>
  <c r="T25" i="190"/>
  <c r="T38" i="190"/>
  <c r="T42" i="190"/>
  <c r="T46" i="190"/>
  <c r="T21" i="190"/>
  <c r="T26" i="190"/>
  <c r="T39" i="190"/>
  <c r="T43" i="190"/>
  <c r="T28" i="190"/>
  <c r="T32" i="190"/>
  <c r="T45" i="190"/>
  <c r="T24" i="190"/>
  <c r="T41" i="190"/>
  <c r="T37" i="190"/>
  <c r="T115" i="190"/>
  <c r="T113" i="190"/>
  <c r="T114" i="190"/>
  <c r="Q111" i="190"/>
  <c r="O116" i="190"/>
  <c r="P116" i="190"/>
  <c r="P111" i="190"/>
  <c r="P112" i="190"/>
  <c r="U28" i="190"/>
  <c r="Q112" i="190"/>
  <c r="T19" i="190"/>
  <c r="V20" i="190"/>
  <c r="V59" i="190"/>
  <c r="V21" i="190"/>
  <c r="V26" i="190"/>
  <c r="V39" i="190"/>
  <c r="V43" i="190"/>
  <c r="V24" i="190"/>
  <c r="V32" i="190"/>
  <c r="V37" i="190"/>
  <c r="V41" i="190"/>
  <c r="V45" i="190"/>
  <c r="V25" i="190"/>
  <c r="V28" i="190"/>
  <c r="V38" i="190"/>
  <c r="V42" i="190"/>
  <c r="V46" i="190"/>
  <c r="V27" i="190"/>
  <c r="V36" i="190"/>
  <c r="V40" i="190"/>
  <c r="V23" i="190"/>
  <c r="V44" i="190"/>
  <c r="V114" i="190"/>
  <c r="V113" i="190"/>
  <c r="V115" i="190"/>
  <c r="S111" i="190"/>
  <c r="R111" i="190"/>
  <c r="Q116" i="190"/>
  <c r="R116" i="190"/>
  <c r="R112" i="190"/>
  <c r="V19" i="190"/>
  <c r="S112" i="190"/>
  <c r="T112" i="190"/>
  <c r="V73" i="190"/>
  <c r="V91" i="190"/>
  <c r="U111" i="190"/>
  <c r="V53" i="190"/>
  <c r="S116" i="190"/>
  <c r="T116" i="190"/>
  <c r="T111" i="190"/>
  <c r="V93" i="190"/>
  <c r="V61" i="190"/>
  <c r="V84" i="190"/>
  <c r="V57" i="190"/>
  <c r="V83" i="190"/>
  <c r="V55" i="190"/>
  <c r="V82" i="190"/>
  <c r="V74" i="190"/>
  <c r="V58" i="190"/>
  <c r="V96" i="190"/>
  <c r="V97" i="190"/>
  <c r="V81" i="190"/>
  <c r="V94" i="190"/>
  <c r="V79" i="190"/>
  <c r="V95" i="190"/>
  <c r="V80" i="190"/>
  <c r="V72" i="190"/>
  <c r="V85" i="190"/>
  <c r="V71" i="190"/>
  <c r="V62" i="190"/>
  <c r="U112" i="190"/>
  <c r="V69" i="190"/>
  <c r="V89" i="190"/>
  <c r="V87" i="190"/>
  <c r="V60" i="190"/>
  <c r="V52" i="190"/>
  <c r="V112" i="190"/>
  <c r="V111" i="190"/>
  <c r="U116" i="190"/>
  <c r="V116" i="190"/>
  <c r="G10" i="190"/>
  <c r="G31" i="190"/>
  <c r="H31" i="190"/>
  <c r="I10" i="190"/>
  <c r="I31" i="190"/>
  <c r="I33" i="190"/>
  <c r="K10" i="190"/>
  <c r="K31" i="190"/>
  <c r="L31" i="190"/>
  <c r="G33" i="190"/>
  <c r="K33" i="190"/>
  <c r="J33" i="190"/>
  <c r="J31" i="190"/>
  <c r="H33" i="190"/>
  <c r="L33" i="190"/>
  <c r="M10" i="190"/>
  <c r="M31" i="190"/>
  <c r="N31" i="190"/>
  <c r="M33" i="190"/>
  <c r="N33" i="190"/>
  <c r="O10" i="190"/>
  <c r="O31" i="190"/>
  <c r="P31" i="190"/>
  <c r="Q10" i="190"/>
  <c r="Q31" i="190"/>
  <c r="Q33" i="190"/>
  <c r="O33" i="190"/>
  <c r="P33" i="190"/>
  <c r="R31" i="190"/>
  <c r="R33" i="190"/>
  <c r="S10" i="190"/>
  <c r="S31" i="190"/>
  <c r="T31" i="190"/>
  <c r="U10" i="190"/>
  <c r="U31" i="190"/>
  <c r="S33" i="190"/>
  <c r="T33" i="190"/>
  <c r="V31" i="190"/>
  <c r="U33" i="190"/>
  <c r="V33" i="190"/>
  <c r="C31" i="191"/>
  <c r="C33" i="191"/>
  <c r="C31" i="192"/>
  <c r="C33" i="192"/>
  <c r="C31" i="198"/>
  <c r="C33" i="198"/>
  <c r="C28" i="192"/>
  <c r="D31" i="192"/>
  <c r="D31" i="191"/>
  <c r="D63" i="191"/>
  <c r="D102" i="197"/>
  <c r="D63" i="164"/>
  <c r="D63" i="175"/>
  <c r="D63" i="185"/>
  <c r="D63" i="15"/>
  <c r="D63" i="176"/>
  <c r="D63" i="184"/>
  <c r="D63" i="169"/>
  <c r="D63" i="187"/>
  <c r="D63" i="161"/>
  <c r="D63" i="118"/>
  <c r="D63" i="183"/>
  <c r="D63" i="194"/>
  <c r="D63" i="189"/>
  <c r="D63" i="181"/>
  <c r="D63" i="178"/>
  <c r="D63" i="188"/>
  <c r="D63" i="159"/>
  <c r="D63" i="180"/>
  <c r="D63" i="167"/>
  <c r="D63" i="168"/>
  <c r="D63" i="193"/>
  <c r="D63" i="163"/>
  <c r="D63" i="190"/>
  <c r="D63" i="173"/>
  <c r="D63" i="158"/>
  <c r="D63" i="170"/>
  <c r="D63" i="174"/>
  <c r="D63" i="172"/>
  <c r="D63" i="165"/>
  <c r="D63" i="186"/>
  <c r="D63" i="179"/>
  <c r="D26" i="198"/>
  <c r="D19" i="198"/>
  <c r="D33" i="198"/>
  <c r="D23" i="198"/>
  <c r="D24" i="198"/>
  <c r="D27" i="198"/>
  <c r="D21" i="198"/>
  <c r="D20" i="192"/>
  <c r="D20" i="198"/>
  <c r="D28" i="198"/>
  <c r="D42" i="198"/>
  <c r="D38" i="198"/>
  <c r="D32" i="198"/>
  <c r="D39" i="198"/>
  <c r="D43" i="198"/>
  <c r="D36" i="198"/>
  <c r="D40" i="198"/>
  <c r="D44" i="198"/>
  <c r="D25" i="198"/>
  <c r="D37" i="198"/>
  <c r="D41" i="198"/>
  <c r="D45" i="198"/>
  <c r="D46" i="198"/>
  <c r="D31" i="198"/>
  <c r="D21" i="191"/>
  <c r="D24" i="191"/>
  <c r="D26" i="191"/>
  <c r="D32" i="191"/>
  <c r="D37" i="191"/>
  <c r="D39" i="191"/>
  <c r="D41" i="191"/>
  <c r="D28" i="191"/>
  <c r="D23" i="191"/>
  <c r="D38" i="191"/>
  <c r="D44" i="191"/>
  <c r="D25" i="191"/>
  <c r="D40" i="191"/>
  <c r="D45" i="191"/>
  <c r="D36" i="191"/>
  <c r="D27" i="191"/>
  <c r="D46" i="191"/>
  <c r="D43" i="191"/>
  <c r="D113" i="191"/>
  <c r="D115" i="191"/>
  <c r="D114" i="191"/>
  <c r="D42" i="191"/>
  <c r="D20" i="191"/>
  <c r="D28" i="192"/>
  <c r="D25" i="192"/>
  <c r="D38" i="192"/>
  <c r="D42" i="192"/>
  <c r="D46" i="192"/>
  <c r="D21" i="192"/>
  <c r="D26" i="192"/>
  <c r="D39" i="192"/>
  <c r="D43" i="192"/>
  <c r="D24" i="192"/>
  <c r="D32" i="192"/>
  <c r="D37" i="192"/>
  <c r="D41" i="192"/>
  <c r="D45" i="192"/>
  <c r="D40" i="192"/>
  <c r="D44" i="192"/>
  <c r="D27" i="192"/>
  <c r="D36" i="192"/>
  <c r="D115" i="192"/>
  <c r="D114" i="192"/>
  <c r="D23" i="192"/>
  <c r="D113" i="192"/>
  <c r="D33" i="191"/>
  <c r="D19" i="191"/>
  <c r="D33" i="192"/>
  <c r="D19" i="192"/>
  <c r="D95" i="197"/>
  <c r="C105" i="197"/>
  <c r="C63" i="195"/>
  <c r="D63" i="195"/>
  <c r="D67" i="190"/>
  <c r="D67" i="187"/>
  <c r="D67" i="185"/>
  <c r="D67" i="183"/>
  <c r="D67" i="194"/>
  <c r="D67" i="188"/>
  <c r="D67" i="181"/>
  <c r="D67" i="189"/>
  <c r="D67" i="186"/>
  <c r="D67" i="191"/>
  <c r="D67" i="179"/>
  <c r="D67" i="176"/>
  <c r="D67" i="172"/>
  <c r="D67" i="169"/>
  <c r="D67" i="178"/>
  <c r="D67" i="173"/>
  <c r="D67" i="168"/>
  <c r="D67" i="184"/>
  <c r="D67" i="167"/>
  <c r="D67" i="180"/>
  <c r="D67" i="175"/>
  <c r="D67" i="174"/>
  <c r="D67" i="170"/>
  <c r="D67" i="164"/>
  <c r="D67" i="165"/>
  <c r="D67" i="158"/>
  <c r="D67" i="118"/>
  <c r="D67" i="163"/>
  <c r="D67" i="159"/>
  <c r="D67" i="15"/>
  <c r="D67" i="161"/>
  <c r="D100" i="190"/>
  <c r="D100" i="187"/>
  <c r="D100" i="185"/>
  <c r="D100" i="183"/>
  <c r="D100" i="194"/>
  <c r="D100" i="188"/>
  <c r="D100" i="181"/>
  <c r="D100" i="184"/>
  <c r="D100" i="180"/>
  <c r="D100" i="168"/>
  <c r="D100" i="176"/>
  <c r="D100" i="172"/>
  <c r="D100" i="169"/>
  <c r="D100" i="174"/>
  <c r="D100" i="189"/>
  <c r="D100" i="178"/>
  <c r="D100" i="179"/>
  <c r="D100" i="175"/>
  <c r="D100" i="170"/>
  <c r="D100" i="167"/>
  <c r="D100" i="186"/>
  <c r="D100" i="191"/>
  <c r="D100" i="164"/>
  <c r="D100" i="165"/>
  <c r="D100" i="173"/>
  <c r="D100" i="158"/>
  <c r="D100" i="15"/>
  <c r="D100" i="163"/>
  <c r="D100" i="159"/>
  <c r="D100" i="161"/>
  <c r="D92" i="189"/>
  <c r="D92" i="184"/>
  <c r="D92" i="180"/>
  <c r="D92" i="191"/>
  <c r="D92" i="186"/>
  <c r="D92" i="179"/>
  <c r="D92" i="194"/>
  <c r="D92" i="183"/>
  <c r="D92" i="178"/>
  <c r="D92" i="175"/>
  <c r="D92" i="188"/>
  <c r="D92" i="185"/>
  <c r="D92" i="174"/>
  <c r="D92" i="173"/>
  <c r="D92" i="170"/>
  <c r="D92" i="190"/>
  <c r="D92" i="187"/>
  <c r="D92" i="176"/>
  <c r="D92" i="165"/>
  <c r="D92" i="164"/>
  <c r="D92" i="168"/>
  <c r="D92" i="181"/>
  <c r="D92" i="169"/>
  <c r="D92" i="167"/>
  <c r="D92" i="172"/>
  <c r="D92" i="161"/>
  <c r="D92" i="118"/>
  <c r="D92" i="163"/>
  <c r="D92" i="159"/>
  <c r="D92" i="15"/>
  <c r="D92" i="158"/>
  <c r="D64" i="194"/>
  <c r="D64" i="188"/>
  <c r="D64" i="181"/>
  <c r="D64" i="189"/>
  <c r="D64" i="184"/>
  <c r="D64" i="180"/>
  <c r="D64" i="185"/>
  <c r="D64" i="176"/>
  <c r="D64" i="172"/>
  <c r="D64" i="169"/>
  <c r="D64" i="190"/>
  <c r="D64" i="187"/>
  <c r="D64" i="186"/>
  <c r="D64" i="178"/>
  <c r="D64" i="175"/>
  <c r="D64" i="179"/>
  <c r="D64" i="170"/>
  <c r="D64" i="167"/>
  <c r="D64" i="191"/>
  <c r="D64" i="183"/>
  <c r="D64" i="173"/>
  <c r="D64" i="165"/>
  <c r="D64" i="164"/>
  <c r="D64" i="168"/>
  <c r="D64" i="174"/>
  <c r="D64" i="163"/>
  <c r="D64" i="159"/>
  <c r="D64" i="158"/>
  <c r="D64" i="161"/>
  <c r="D64" i="118"/>
  <c r="D64" i="15"/>
  <c r="D98" i="191"/>
  <c r="D98" i="186"/>
  <c r="D98" i="179"/>
  <c r="D98" i="190"/>
  <c r="D98" i="187"/>
  <c r="D98" i="185"/>
  <c r="D98" i="183"/>
  <c r="D98" i="188"/>
  <c r="D98" i="174"/>
  <c r="D98" i="173"/>
  <c r="D98" i="170"/>
  <c r="D98" i="184"/>
  <c r="D98" i="180"/>
  <c r="D98" i="168"/>
  <c r="D98" i="181"/>
  <c r="D98" i="169"/>
  <c r="D98" i="194"/>
  <c r="D98" i="176"/>
  <c r="D98" i="172"/>
  <c r="D98" i="164"/>
  <c r="D98" i="165"/>
  <c r="D98" i="175"/>
  <c r="D98" i="178"/>
  <c r="D98" i="189"/>
  <c r="D98" i="167"/>
  <c r="D98" i="15"/>
  <c r="D98" i="163"/>
  <c r="D98" i="159"/>
  <c r="D98" i="161"/>
  <c r="D98" i="158"/>
  <c r="D98" i="118"/>
  <c r="D70" i="189"/>
  <c r="D70" i="184"/>
  <c r="D70" i="180"/>
  <c r="D70" i="191"/>
  <c r="D70" i="186"/>
  <c r="D70" i="179"/>
  <c r="D70" i="194"/>
  <c r="D70" i="183"/>
  <c r="D70" i="178"/>
  <c r="D70" i="175"/>
  <c r="D70" i="188"/>
  <c r="D70" i="185"/>
  <c r="D70" i="174"/>
  <c r="D70" i="173"/>
  <c r="D70" i="170"/>
  <c r="D70" i="176"/>
  <c r="D70" i="165"/>
  <c r="D70" i="164"/>
  <c r="D70" i="187"/>
  <c r="D70" i="181"/>
  <c r="D70" i="190"/>
  <c r="D70" i="167"/>
  <c r="D70" i="172"/>
  <c r="D70" i="168"/>
  <c r="D70" i="169"/>
  <c r="D70" i="161"/>
  <c r="D70" i="118"/>
  <c r="D70" i="163"/>
  <c r="D70" i="159"/>
  <c r="D70" i="15"/>
  <c r="D70" i="158"/>
  <c r="D104" i="191"/>
  <c r="D104" i="186"/>
  <c r="D104" i="179"/>
  <c r="D104" i="190"/>
  <c r="D104" i="187"/>
  <c r="D104" i="185"/>
  <c r="D104" i="183"/>
  <c r="D104" i="181"/>
  <c r="D104" i="174"/>
  <c r="D104" i="173"/>
  <c r="D104" i="170"/>
  <c r="D104" i="194"/>
  <c r="D104" i="189"/>
  <c r="D104" i="168"/>
  <c r="D104" i="188"/>
  <c r="D104" i="175"/>
  <c r="D104" i="172"/>
  <c r="D104" i="178"/>
  <c r="D104" i="176"/>
  <c r="D104" i="184"/>
  <c r="D104" i="165"/>
  <c r="D104" i="169"/>
  <c r="D104" i="180"/>
  <c r="D104" i="167"/>
  <c r="D104" i="164"/>
  <c r="D104" i="15"/>
  <c r="D104" i="163"/>
  <c r="D104" i="158"/>
  <c r="D104" i="159"/>
  <c r="D104" i="161"/>
  <c r="D86" i="191"/>
  <c r="D86" i="186"/>
  <c r="D86" i="179"/>
  <c r="D86" i="190"/>
  <c r="D86" i="187"/>
  <c r="D86" i="185"/>
  <c r="D86" i="183"/>
  <c r="D86" i="181"/>
  <c r="D86" i="174"/>
  <c r="D86" i="173"/>
  <c r="D86" i="170"/>
  <c r="D86" i="194"/>
  <c r="D86" i="189"/>
  <c r="D86" i="168"/>
  <c r="D86" i="184"/>
  <c r="D86" i="175"/>
  <c r="D86" i="172"/>
  <c r="D86" i="188"/>
  <c r="D86" i="180"/>
  <c r="D86" i="178"/>
  <c r="D86" i="176"/>
  <c r="D86" i="165"/>
  <c r="D86" i="169"/>
  <c r="D86" i="167"/>
  <c r="D86" i="164"/>
  <c r="D86" i="15"/>
  <c r="D86" i="163"/>
  <c r="D86" i="161"/>
  <c r="D86" i="158"/>
  <c r="D86" i="159"/>
  <c r="D86" i="118"/>
  <c r="D66" i="191"/>
  <c r="D66" i="186"/>
  <c r="D66" i="179"/>
  <c r="D66" i="190"/>
  <c r="D66" i="187"/>
  <c r="D66" i="185"/>
  <c r="D66" i="183"/>
  <c r="D66" i="181"/>
  <c r="D66" i="174"/>
  <c r="D66" i="173"/>
  <c r="D66" i="170"/>
  <c r="D66" i="194"/>
  <c r="D66" i="189"/>
  <c r="D66" i="188"/>
  <c r="D66" i="175"/>
  <c r="D66" i="172"/>
  <c r="D66" i="184"/>
  <c r="D66" i="178"/>
  <c r="D66" i="176"/>
  <c r="D66" i="168"/>
  <c r="D66" i="165"/>
  <c r="D66" i="167"/>
  <c r="D66" i="180"/>
  <c r="D66" i="164"/>
  <c r="D66" i="169"/>
  <c r="D66" i="15"/>
  <c r="D66" i="163"/>
  <c r="D66" i="161"/>
  <c r="D66" i="118"/>
  <c r="D66" i="158"/>
  <c r="D66" i="159"/>
  <c r="D68" i="194"/>
  <c r="D68" i="188"/>
  <c r="D68" i="181"/>
  <c r="D68" i="189"/>
  <c r="D68" i="184"/>
  <c r="D68" i="180"/>
  <c r="D68" i="191"/>
  <c r="D68" i="179"/>
  <c r="D68" i="176"/>
  <c r="D68" i="172"/>
  <c r="D68" i="169"/>
  <c r="D68" i="183"/>
  <c r="D68" i="178"/>
  <c r="D68" i="175"/>
  <c r="D68" i="167"/>
  <c r="D68" i="185"/>
  <c r="D68" i="186"/>
  <c r="D68" i="174"/>
  <c r="D68" i="165"/>
  <c r="D68" i="164"/>
  <c r="D68" i="170"/>
  <c r="D68" i="190"/>
  <c r="D68" i="187"/>
  <c r="D68" i="173"/>
  <c r="D68" i="168"/>
  <c r="D68" i="163"/>
  <c r="D68" i="159"/>
  <c r="D68" i="15"/>
  <c r="D68" i="161"/>
  <c r="D68" i="118"/>
  <c r="D68" i="158"/>
  <c r="D103" i="189"/>
  <c r="D103" i="184"/>
  <c r="D103" i="180"/>
  <c r="D103" i="191"/>
  <c r="D103" i="186"/>
  <c r="D103" i="179"/>
  <c r="D103" i="190"/>
  <c r="D103" i="187"/>
  <c r="D103" i="178"/>
  <c r="D103" i="175"/>
  <c r="D103" i="181"/>
  <c r="D103" i="174"/>
  <c r="D103" i="173"/>
  <c r="D103" i="170"/>
  <c r="D103" i="183"/>
  <c r="D103" i="169"/>
  <c r="D103" i="165"/>
  <c r="D103" i="164"/>
  <c r="D103" i="194"/>
  <c r="D103" i="188"/>
  <c r="D103" i="172"/>
  <c r="D103" i="176"/>
  <c r="D103" i="185"/>
  <c r="D103" i="168"/>
  <c r="D103" i="167"/>
  <c r="D103" i="161"/>
  <c r="D103" i="158"/>
  <c r="D103" i="163"/>
  <c r="D103" i="15"/>
  <c r="D103" i="159"/>
  <c r="D77" i="194"/>
  <c r="D77" i="188"/>
  <c r="D77" i="181"/>
  <c r="D77" i="189"/>
  <c r="D77" i="184"/>
  <c r="D77" i="180"/>
  <c r="D77" i="185"/>
  <c r="D77" i="176"/>
  <c r="D77" i="172"/>
  <c r="D77" i="169"/>
  <c r="D77" i="190"/>
  <c r="D77" i="187"/>
  <c r="D77" i="186"/>
  <c r="D77" i="178"/>
  <c r="D77" i="175"/>
  <c r="D77" i="191"/>
  <c r="D77" i="170"/>
  <c r="D77" i="168"/>
  <c r="D77" i="167"/>
  <c r="D77" i="179"/>
  <c r="D77" i="173"/>
  <c r="D77" i="165"/>
  <c r="D77" i="164"/>
  <c r="D77" i="174"/>
  <c r="D77" i="183"/>
  <c r="D77" i="163"/>
  <c r="D77" i="159"/>
  <c r="D77" i="15"/>
  <c r="D77" i="158"/>
  <c r="D77" i="161"/>
  <c r="D77" i="118"/>
  <c r="D88" i="190"/>
  <c r="D88" i="187"/>
  <c r="D88" i="185"/>
  <c r="D88" i="183"/>
  <c r="D88" i="194"/>
  <c r="D88" i="188"/>
  <c r="D88" i="181"/>
  <c r="D88" i="189"/>
  <c r="D88" i="186"/>
  <c r="D88" i="168"/>
  <c r="D88" i="191"/>
  <c r="D88" i="179"/>
  <c r="D88" i="176"/>
  <c r="D88" i="172"/>
  <c r="D88" i="169"/>
  <c r="D88" i="180"/>
  <c r="D88" i="178"/>
  <c r="D88" i="173"/>
  <c r="D88" i="167"/>
  <c r="D88" i="165"/>
  <c r="D88" i="184"/>
  <c r="D88" i="164"/>
  <c r="D88" i="175"/>
  <c r="D88" i="174"/>
  <c r="D88" i="170"/>
  <c r="D88" i="158"/>
  <c r="D88" i="161"/>
  <c r="D88" i="163"/>
  <c r="D88" i="159"/>
  <c r="D88" i="118"/>
  <c r="D88" i="15"/>
  <c r="D56" i="190"/>
  <c r="D56" i="187"/>
  <c r="D56" i="185"/>
  <c r="D56" i="183"/>
  <c r="D56" i="194"/>
  <c r="D56" i="188"/>
  <c r="D56" i="181"/>
  <c r="D56" i="184"/>
  <c r="D56" i="180"/>
  <c r="D56" i="176"/>
  <c r="D56" i="172"/>
  <c r="D56" i="169"/>
  <c r="D56" i="174"/>
  <c r="D56" i="168"/>
  <c r="D56" i="179"/>
  <c r="D56" i="175"/>
  <c r="D56" i="170"/>
  <c r="D56" i="167"/>
  <c r="D56" i="189"/>
  <c r="D56" i="186"/>
  <c r="D56" i="191"/>
  <c r="D56" i="178"/>
  <c r="D56" i="164"/>
  <c r="D56" i="165"/>
  <c r="D56" i="173"/>
  <c r="D56" i="158"/>
  <c r="D56" i="161"/>
  <c r="D56" i="15"/>
  <c r="D56" i="163"/>
  <c r="D56" i="159"/>
  <c r="D56" i="118"/>
  <c r="D75" i="191"/>
  <c r="D75" i="186"/>
  <c r="D75" i="179"/>
  <c r="D75" i="190"/>
  <c r="D75" i="187"/>
  <c r="D75" i="185"/>
  <c r="D75" i="183"/>
  <c r="D75" i="188"/>
  <c r="D75" i="174"/>
  <c r="D75" i="173"/>
  <c r="D75" i="170"/>
  <c r="D75" i="184"/>
  <c r="D75" i="180"/>
  <c r="D75" i="194"/>
  <c r="D75" i="181"/>
  <c r="D75" i="189"/>
  <c r="D75" i="169"/>
  <c r="D75" i="168"/>
  <c r="D75" i="164"/>
  <c r="D75" i="175"/>
  <c r="D75" i="167"/>
  <c r="D75" i="176"/>
  <c r="D75" i="172"/>
  <c r="D75" i="165"/>
  <c r="D75" i="178"/>
  <c r="D75" i="15"/>
  <c r="D75" i="159"/>
  <c r="D75" i="158"/>
  <c r="D75" i="163"/>
  <c r="D75" i="161"/>
  <c r="D75" i="118"/>
  <c r="D90" i="194"/>
  <c r="D90" i="188"/>
  <c r="D90" i="181"/>
  <c r="D90" i="189"/>
  <c r="D90" i="184"/>
  <c r="D90" i="180"/>
  <c r="D90" i="191"/>
  <c r="D90" i="179"/>
  <c r="D90" i="176"/>
  <c r="D90" i="172"/>
  <c r="D90" i="169"/>
  <c r="D90" i="183"/>
  <c r="D90" i="178"/>
  <c r="D90" i="175"/>
  <c r="D90" i="185"/>
  <c r="D90" i="167"/>
  <c r="D90" i="190"/>
  <c r="D90" i="187"/>
  <c r="D90" i="174"/>
  <c r="D90" i="165"/>
  <c r="D90" i="164"/>
  <c r="D90" i="186"/>
  <c r="D90" i="173"/>
  <c r="D90" i="170"/>
  <c r="D90" i="168"/>
  <c r="D90" i="163"/>
  <c r="D90" i="159"/>
  <c r="D90" i="158"/>
  <c r="D90" i="161"/>
  <c r="D90" i="118"/>
  <c r="D90" i="15"/>
  <c r="D54" i="15"/>
  <c r="D54" i="191"/>
  <c r="D54" i="189"/>
  <c r="D54" i="186"/>
  <c r="D54" i="184"/>
  <c r="D54" i="190"/>
  <c r="D54" i="183"/>
  <c r="D54" i="188"/>
  <c r="D54" i="187"/>
  <c r="D54" i="169"/>
  <c r="D54" i="185"/>
  <c r="D54" i="180"/>
  <c r="D54" i="178"/>
  <c r="D54" i="173"/>
  <c r="D54" i="170"/>
  <c r="D54" i="179"/>
  <c r="D54" i="174"/>
  <c r="D54" i="194"/>
  <c r="D54" i="168"/>
  <c r="D54" i="181"/>
  <c r="D54" i="176"/>
  <c r="D54" i="164"/>
  <c r="D54" i="175"/>
  <c r="D54" i="172"/>
  <c r="D54" i="165"/>
  <c r="D54" i="167"/>
  <c r="D54" i="163"/>
  <c r="D54" i="159"/>
  <c r="D54" i="118"/>
  <c r="D54" i="158"/>
  <c r="D54" i="161"/>
  <c r="D65" i="189"/>
  <c r="D65" i="184"/>
  <c r="D65" i="180"/>
  <c r="D65" i="191"/>
  <c r="D65" i="186"/>
  <c r="D65" i="179"/>
  <c r="D65" i="190"/>
  <c r="D65" i="187"/>
  <c r="D65" i="178"/>
  <c r="D65" i="175"/>
  <c r="D65" i="181"/>
  <c r="D65" i="174"/>
  <c r="D65" i="173"/>
  <c r="D65" i="170"/>
  <c r="D65" i="183"/>
  <c r="D65" i="169"/>
  <c r="D65" i="165"/>
  <c r="D65" i="164"/>
  <c r="D65" i="194"/>
  <c r="D65" i="188"/>
  <c r="D65" i="172"/>
  <c r="D65" i="168"/>
  <c r="D65" i="185"/>
  <c r="D65" i="167"/>
  <c r="D65" i="176"/>
  <c r="D65" i="161"/>
  <c r="D65" i="158"/>
  <c r="D65" i="163"/>
  <c r="D65" i="118"/>
  <c r="D65" i="159"/>
  <c r="D65" i="15"/>
  <c r="D78" i="189"/>
  <c r="D78" i="184"/>
  <c r="D78" i="180"/>
  <c r="D78" i="191"/>
  <c r="D78" i="186"/>
  <c r="D78" i="179"/>
  <c r="D78" i="190"/>
  <c r="D78" i="187"/>
  <c r="D78" i="178"/>
  <c r="D78" i="175"/>
  <c r="D78" i="181"/>
  <c r="D78" i="174"/>
  <c r="D78" i="173"/>
  <c r="D78" i="170"/>
  <c r="D78" i="169"/>
  <c r="D78" i="165"/>
  <c r="D78" i="164"/>
  <c r="D78" i="185"/>
  <c r="D78" i="172"/>
  <c r="D78" i="183"/>
  <c r="D78" i="168"/>
  <c r="D78" i="194"/>
  <c r="D78" i="176"/>
  <c r="D78" i="188"/>
  <c r="D78" i="167"/>
  <c r="D78" i="161"/>
  <c r="D78" i="118"/>
  <c r="D78" i="158"/>
  <c r="D78" i="159"/>
  <c r="D78" i="15"/>
  <c r="D78" i="163"/>
  <c r="D76" i="190"/>
  <c r="D76" i="187"/>
  <c r="D76" i="185"/>
  <c r="D76" i="183"/>
  <c r="D76" i="194"/>
  <c r="D76" i="188"/>
  <c r="D76" i="181"/>
  <c r="D76" i="184"/>
  <c r="D76" i="180"/>
  <c r="D76" i="168"/>
  <c r="D76" i="176"/>
  <c r="D76" i="172"/>
  <c r="D76" i="169"/>
  <c r="D76" i="189"/>
  <c r="D76" i="186"/>
  <c r="D76" i="174"/>
  <c r="D76" i="178"/>
  <c r="D76" i="191"/>
  <c r="D76" i="175"/>
  <c r="D76" i="170"/>
  <c r="D76" i="167"/>
  <c r="D76" i="173"/>
  <c r="D76" i="165"/>
  <c r="D76" i="179"/>
  <c r="D76" i="164"/>
  <c r="D76" i="158"/>
  <c r="D76" i="161"/>
  <c r="D76" i="118"/>
  <c r="D76" i="15"/>
  <c r="D76" i="163"/>
  <c r="D76" i="159"/>
  <c r="D99" i="191"/>
  <c r="D99" i="190"/>
  <c r="D99" i="188"/>
  <c r="D99" i="189"/>
  <c r="D99" i="187"/>
  <c r="D99" i="186"/>
  <c r="D99" i="185"/>
  <c r="D99" i="194"/>
  <c r="D99" i="183"/>
  <c r="D99" i="180"/>
  <c r="D99" i="178"/>
  <c r="D99" i="175"/>
  <c r="D99" i="173"/>
  <c r="D99" i="170"/>
  <c r="D99" i="168"/>
  <c r="D99" i="165"/>
  <c r="D99" i="184"/>
  <c r="D99" i="181"/>
  <c r="D99" i="179"/>
  <c r="D99" i="176"/>
  <c r="D99" i="174"/>
  <c r="D99" i="172"/>
  <c r="D99" i="169"/>
  <c r="D99" i="167"/>
  <c r="D99" i="164"/>
  <c r="D99" i="161"/>
  <c r="D99" i="15"/>
  <c r="D99" i="118"/>
  <c r="D99" i="163"/>
  <c r="D99" i="159"/>
  <c r="D99" i="158"/>
  <c r="C83" i="192"/>
  <c r="D83" i="198"/>
  <c r="C97" i="192"/>
  <c r="D97" i="198"/>
  <c r="C87" i="192"/>
  <c r="D87" i="198"/>
  <c r="C69" i="192"/>
  <c r="D69" i="198"/>
  <c r="C96" i="192"/>
  <c r="D96" i="198"/>
  <c r="C80" i="192"/>
  <c r="D80" i="198"/>
  <c r="C72" i="192"/>
  <c r="D72" i="198"/>
  <c r="C63" i="192"/>
  <c r="C79" i="192"/>
  <c r="D79" i="198"/>
  <c r="C112" i="191"/>
  <c r="C62" i="192"/>
  <c r="C85" i="192"/>
  <c r="D85" i="198"/>
  <c r="C81" i="192"/>
  <c r="D81" i="198"/>
  <c r="C84" i="192"/>
  <c r="D84" i="198"/>
  <c r="C111" i="191"/>
  <c r="C59" i="192"/>
  <c r="C93" i="192"/>
  <c r="D93" i="198"/>
  <c r="C89" i="192"/>
  <c r="D89" i="198"/>
  <c r="C71" i="192"/>
  <c r="D71" i="198"/>
  <c r="C94" i="192"/>
  <c r="D94" i="198"/>
  <c r="C60" i="192"/>
  <c r="D60" i="198"/>
  <c r="C61" i="192"/>
  <c r="D61" i="198"/>
  <c r="C53" i="192"/>
  <c r="D53" i="198"/>
  <c r="C91" i="192"/>
  <c r="D91" i="198"/>
  <c r="C95" i="192"/>
  <c r="D95" i="198"/>
  <c r="C58" i="192"/>
  <c r="D58" i="198"/>
  <c r="C73" i="192"/>
  <c r="D73" i="198"/>
  <c r="C82" i="192"/>
  <c r="D82" i="198"/>
  <c r="C74" i="192"/>
  <c r="C57" i="192"/>
  <c r="C52" i="192"/>
  <c r="C113" i="198"/>
  <c r="D113" i="198"/>
  <c r="D105" i="197"/>
  <c r="C107" i="197"/>
  <c r="D107" i="197"/>
  <c r="C100" i="192"/>
  <c r="D100" i="192"/>
  <c r="C56" i="192"/>
  <c r="C70" i="192"/>
  <c r="C92" i="192"/>
  <c r="D92" i="192"/>
  <c r="C75" i="192"/>
  <c r="D75" i="192"/>
  <c r="C77" i="192"/>
  <c r="C78" i="192"/>
  <c r="D78" i="192"/>
  <c r="D90" i="193"/>
  <c r="C90" i="195"/>
  <c r="D90" i="195"/>
  <c r="D77" i="193"/>
  <c r="C77" i="195"/>
  <c r="D77" i="195"/>
  <c r="C90" i="192"/>
  <c r="D90" i="192"/>
  <c r="C76" i="192"/>
  <c r="D76" i="192"/>
  <c r="C67" i="192"/>
  <c r="D67" i="192"/>
  <c r="C64" i="192"/>
  <c r="D64" i="192"/>
  <c r="D76" i="193"/>
  <c r="C76" i="195"/>
  <c r="D76" i="195"/>
  <c r="D54" i="193"/>
  <c r="C54" i="195"/>
  <c r="D54" i="195"/>
  <c r="D104" i="193"/>
  <c r="C104" i="195"/>
  <c r="D104" i="195"/>
  <c r="D64" i="193"/>
  <c r="C64" i="195"/>
  <c r="D64" i="195"/>
  <c r="D100" i="193"/>
  <c r="C100" i="195"/>
  <c r="D100" i="195"/>
  <c r="D78" i="193"/>
  <c r="C78" i="195"/>
  <c r="D78" i="195"/>
  <c r="D65" i="193"/>
  <c r="C65" i="195"/>
  <c r="D65" i="195"/>
  <c r="C68" i="192"/>
  <c r="D68" i="192"/>
  <c r="C54" i="192"/>
  <c r="D54" i="192"/>
  <c r="C104" i="192"/>
  <c r="D104" i="192"/>
  <c r="C86" i="192"/>
  <c r="D86" i="192"/>
  <c r="C88" i="192"/>
  <c r="D88" i="192"/>
  <c r="D75" i="193"/>
  <c r="C75" i="195"/>
  <c r="D75" i="195"/>
  <c r="D88" i="193"/>
  <c r="C88" i="195"/>
  <c r="D88" i="195"/>
  <c r="D70" i="193"/>
  <c r="C70" i="195"/>
  <c r="D70" i="195"/>
  <c r="D92" i="193"/>
  <c r="C92" i="195"/>
  <c r="D92" i="195"/>
  <c r="D67" i="193"/>
  <c r="C67" i="195"/>
  <c r="D67" i="195"/>
  <c r="C66" i="192"/>
  <c r="D66" i="192"/>
  <c r="C98" i="192"/>
  <c r="D98" i="192"/>
  <c r="C103" i="192"/>
  <c r="C65" i="192"/>
  <c r="D65" i="192"/>
  <c r="D56" i="193"/>
  <c r="C56" i="195"/>
  <c r="D56" i="195"/>
  <c r="D103" i="193"/>
  <c r="C103" i="195"/>
  <c r="D103" i="195"/>
  <c r="D68" i="193"/>
  <c r="C68" i="195"/>
  <c r="D68" i="195"/>
  <c r="D66" i="193"/>
  <c r="C66" i="195"/>
  <c r="D66" i="195"/>
  <c r="D86" i="193"/>
  <c r="C86" i="195"/>
  <c r="D86" i="195"/>
  <c r="D98" i="193"/>
  <c r="C98" i="195"/>
  <c r="D98" i="195"/>
  <c r="C99" i="192"/>
  <c r="D99" i="192"/>
  <c r="D99" i="193"/>
  <c r="C99" i="195"/>
  <c r="D99" i="195"/>
  <c r="D62" i="198"/>
  <c r="D111" i="191"/>
  <c r="C116" i="191"/>
  <c r="D116" i="191"/>
  <c r="C111" i="192"/>
  <c r="D84" i="192"/>
  <c r="D65" i="198"/>
  <c r="D85" i="192"/>
  <c r="D74" i="192"/>
  <c r="D74" i="198"/>
  <c r="D90" i="198"/>
  <c r="D66" i="198"/>
  <c r="D82" i="192"/>
  <c r="D98" i="198"/>
  <c r="D58" i="192"/>
  <c r="D103" i="192"/>
  <c r="D103" i="198"/>
  <c r="D53" i="192"/>
  <c r="D60" i="192"/>
  <c r="D78" i="198"/>
  <c r="D71" i="192"/>
  <c r="D89" i="192"/>
  <c r="D59" i="192"/>
  <c r="D59" i="198"/>
  <c r="D112" i="191"/>
  <c r="C112" i="192"/>
  <c r="D64" i="198"/>
  <c r="D80" i="192"/>
  <c r="D96" i="192"/>
  <c r="D99" i="198"/>
  <c r="D83" i="192"/>
  <c r="D68" i="198"/>
  <c r="D104" i="198"/>
  <c r="D57" i="192"/>
  <c r="D73" i="192"/>
  <c r="D91" i="192"/>
  <c r="D70" i="192"/>
  <c r="D70" i="198"/>
  <c r="D93" i="192"/>
  <c r="D79" i="192"/>
  <c r="D63" i="192"/>
  <c r="D63" i="198"/>
  <c r="D72" i="192"/>
  <c r="D88" i="198"/>
  <c r="D69" i="192"/>
  <c r="D87" i="192"/>
  <c r="D97" i="192"/>
  <c r="D77" i="192"/>
  <c r="D77" i="198"/>
  <c r="D54" i="198"/>
  <c r="D86" i="198"/>
  <c r="D95" i="192"/>
  <c r="D61" i="192"/>
  <c r="D94" i="192"/>
  <c r="D52" i="192"/>
  <c r="D56" i="192"/>
  <c r="D56" i="198"/>
  <c r="D76" i="198"/>
  <c r="D92" i="198"/>
  <c r="D67" i="198"/>
  <c r="D100" i="198"/>
  <c r="D81" i="192"/>
  <c r="D75" i="198"/>
  <c r="D62" i="192"/>
  <c r="D112" i="192"/>
  <c r="C112" i="198"/>
  <c r="D112" i="198"/>
  <c r="D111" i="192"/>
  <c r="C116" i="192"/>
  <c r="D116" i="192"/>
  <c r="C111" i="198"/>
  <c r="D52" i="198"/>
  <c r="D111" i="198"/>
  <c r="C116" i="198"/>
  <c r="E31" i="191"/>
  <c r="E33" i="191"/>
  <c r="E31" i="192"/>
  <c r="E33" i="192"/>
  <c r="D116" i="198"/>
  <c r="E31" i="198"/>
  <c r="E33" i="198"/>
  <c r="F19" i="191"/>
  <c r="F25" i="191"/>
  <c r="F28" i="191"/>
  <c r="F38" i="191"/>
  <c r="F42" i="191"/>
  <c r="F46" i="191"/>
  <c r="F21" i="191"/>
  <c r="F26" i="191"/>
  <c r="F39" i="191"/>
  <c r="F43" i="191"/>
  <c r="F23" i="191"/>
  <c r="F27" i="191"/>
  <c r="F36" i="191"/>
  <c r="F40" i="191"/>
  <c r="F44" i="191"/>
  <c r="F24" i="191"/>
  <c r="F32" i="191"/>
  <c r="F37" i="191"/>
  <c r="F41" i="191"/>
  <c r="F45" i="191"/>
  <c r="F113" i="191"/>
  <c r="F114" i="191"/>
  <c r="F115" i="191"/>
  <c r="F33" i="191"/>
  <c r="F20" i="191"/>
  <c r="F31" i="191"/>
  <c r="E28" i="192"/>
  <c r="F19" i="192"/>
  <c r="G28" i="191"/>
  <c r="H95" i="191"/>
  <c r="H89" i="191"/>
  <c r="H83" i="191"/>
  <c r="H79" i="191"/>
  <c r="H71" i="191"/>
  <c r="H60" i="191"/>
  <c r="H57" i="191"/>
  <c r="H94" i="191"/>
  <c r="H87" i="191"/>
  <c r="H82" i="191"/>
  <c r="H74" i="191"/>
  <c r="H69" i="191"/>
  <c r="H62" i="191"/>
  <c r="H61" i="191"/>
  <c r="H52" i="191"/>
  <c r="H91" i="191"/>
  <c r="H85" i="191"/>
  <c r="H80" i="191"/>
  <c r="H73" i="191"/>
  <c r="H53" i="191"/>
  <c r="H96" i="191"/>
  <c r="H72" i="191"/>
  <c r="H58" i="191"/>
  <c r="H84" i="191"/>
  <c r="H81" i="191"/>
  <c r="H93" i="191"/>
  <c r="H97" i="191"/>
  <c r="H59" i="191"/>
  <c r="H19" i="191"/>
  <c r="E96" i="192"/>
  <c r="E89" i="192"/>
  <c r="E81" i="192"/>
  <c r="E73" i="192"/>
  <c r="E60" i="192"/>
  <c r="E71" i="192"/>
  <c r="E52" i="192"/>
  <c r="E113" i="198"/>
  <c r="G28" i="192"/>
  <c r="H19" i="192"/>
  <c r="E94" i="192"/>
  <c r="E79" i="192"/>
  <c r="E84" i="192"/>
  <c r="E58" i="192"/>
  <c r="E61" i="192"/>
  <c r="E53" i="192"/>
  <c r="H24" i="191"/>
  <c r="H32" i="191"/>
  <c r="H37" i="191"/>
  <c r="H41" i="191"/>
  <c r="H45" i="191"/>
  <c r="H25" i="191"/>
  <c r="H38" i="191"/>
  <c r="H42" i="191"/>
  <c r="H46" i="191"/>
  <c r="H21" i="191"/>
  <c r="H26" i="191"/>
  <c r="H28" i="191"/>
  <c r="H39" i="191"/>
  <c r="H43" i="191"/>
  <c r="H23" i="191"/>
  <c r="H27" i="191"/>
  <c r="H36" i="191"/>
  <c r="H40" i="191"/>
  <c r="H44" i="191"/>
  <c r="H115" i="191"/>
  <c r="H113" i="191"/>
  <c r="H114" i="191"/>
  <c r="H20" i="191"/>
  <c r="E95" i="192"/>
  <c r="E93" i="192"/>
  <c r="E85" i="192"/>
  <c r="E82" i="192"/>
  <c r="E72" i="192"/>
  <c r="E111" i="191"/>
  <c r="E59" i="192"/>
  <c r="F21" i="192"/>
  <c r="F24" i="192"/>
  <c r="F32" i="192"/>
  <c r="F37" i="192"/>
  <c r="F41" i="192"/>
  <c r="F45" i="192"/>
  <c r="F25" i="192"/>
  <c r="F28" i="192"/>
  <c r="F38" i="192"/>
  <c r="F42" i="192"/>
  <c r="F46" i="192"/>
  <c r="F26" i="192"/>
  <c r="F39" i="192"/>
  <c r="F23" i="192"/>
  <c r="F27" i="192"/>
  <c r="F36" i="192"/>
  <c r="F40" i="192"/>
  <c r="F44" i="192"/>
  <c r="F43" i="192"/>
  <c r="F114" i="192"/>
  <c r="F113" i="192"/>
  <c r="F115" i="192"/>
  <c r="F33" i="192"/>
  <c r="F31" i="192"/>
  <c r="F20" i="192"/>
  <c r="E87" i="192"/>
  <c r="E74" i="192"/>
  <c r="E69" i="192"/>
  <c r="I28" i="191"/>
  <c r="E97" i="192"/>
  <c r="E91" i="192"/>
  <c r="E83" i="192"/>
  <c r="E80" i="192"/>
  <c r="E112" i="191"/>
  <c r="E62" i="192"/>
  <c r="E57" i="192"/>
  <c r="E115" i="198"/>
  <c r="F115" i="198"/>
  <c r="F63" i="184"/>
  <c r="F102" i="197"/>
  <c r="J94" i="191"/>
  <c r="J87" i="191"/>
  <c r="J82" i="191"/>
  <c r="J74" i="191"/>
  <c r="J69" i="191"/>
  <c r="J53" i="191"/>
  <c r="J93" i="191"/>
  <c r="J85" i="191"/>
  <c r="J81" i="191"/>
  <c r="J73" i="191"/>
  <c r="J91" i="191"/>
  <c r="J80" i="191"/>
  <c r="J95" i="191"/>
  <c r="J83" i="191"/>
  <c r="J71" i="191"/>
  <c r="J96" i="191"/>
  <c r="J84" i="191"/>
  <c r="J72" i="191"/>
  <c r="J58" i="191"/>
  <c r="J57" i="191"/>
  <c r="J79" i="191"/>
  <c r="J89" i="191"/>
  <c r="J62" i="191"/>
  <c r="J61" i="191"/>
  <c r="J60" i="191"/>
  <c r="J52" i="191"/>
  <c r="J97" i="191"/>
  <c r="J59" i="191"/>
  <c r="F63" i="189"/>
  <c r="F71" i="198"/>
  <c r="F87" i="198"/>
  <c r="F96" i="198"/>
  <c r="F63" i="168"/>
  <c r="F81" i="198"/>
  <c r="F63" i="164"/>
  <c r="F63" i="158"/>
  <c r="F63" i="183"/>
  <c r="F63" i="191"/>
  <c r="F63" i="167"/>
  <c r="F63" i="161"/>
  <c r="F63" i="178"/>
  <c r="F63" i="185"/>
  <c r="F63" i="174"/>
  <c r="F63" i="15"/>
  <c r="F63" i="190"/>
  <c r="F63" i="186"/>
  <c r="F63" i="176"/>
  <c r="F63" i="118"/>
  <c r="F63" i="163"/>
  <c r="F63" i="187"/>
  <c r="F63" i="188"/>
  <c r="F63" i="170"/>
  <c r="F63" i="193"/>
  <c r="F63" i="169"/>
  <c r="F63" i="179"/>
  <c r="F63" i="159"/>
  <c r="F63" i="173"/>
  <c r="F63" i="165"/>
  <c r="F63" i="175"/>
  <c r="F63" i="180"/>
  <c r="F63" i="194"/>
  <c r="F63" i="172"/>
  <c r="F63" i="181"/>
  <c r="F97" i="198"/>
  <c r="F83" i="198"/>
  <c r="J19" i="191"/>
  <c r="F80" i="198"/>
  <c r="F91" i="198"/>
  <c r="F69" i="198"/>
  <c r="F60" i="198"/>
  <c r="F73" i="198"/>
  <c r="F89" i="198"/>
  <c r="F57" i="198"/>
  <c r="F72" i="198"/>
  <c r="F85" i="198"/>
  <c r="F61" i="198"/>
  <c r="F79" i="198"/>
  <c r="F62" i="198"/>
  <c r="F82" i="198"/>
  <c r="F93" i="198"/>
  <c r="F53" i="198"/>
  <c r="F58" i="198"/>
  <c r="F84" i="198"/>
  <c r="F94" i="198"/>
  <c r="F19" i="198"/>
  <c r="F59" i="198"/>
  <c r="F74" i="198"/>
  <c r="F63" i="198"/>
  <c r="K28" i="191"/>
  <c r="F87" i="192"/>
  <c r="F82" i="192"/>
  <c r="F95" i="192"/>
  <c r="G94" i="192"/>
  <c r="G87" i="192"/>
  <c r="G71" i="192"/>
  <c r="G72" i="192"/>
  <c r="F58" i="192"/>
  <c r="F94" i="192"/>
  <c r="F71" i="192"/>
  <c r="F81" i="192"/>
  <c r="F96" i="192"/>
  <c r="F91" i="192"/>
  <c r="F93" i="192"/>
  <c r="G95" i="192"/>
  <c r="G79" i="192"/>
  <c r="F53" i="192"/>
  <c r="F84" i="192"/>
  <c r="F57" i="192"/>
  <c r="F59" i="192"/>
  <c r="G93" i="192"/>
  <c r="G84" i="192"/>
  <c r="G85" i="192"/>
  <c r="G69" i="192"/>
  <c r="G61" i="192"/>
  <c r="G112" i="191"/>
  <c r="G62" i="192"/>
  <c r="F52" i="192"/>
  <c r="F24" i="198"/>
  <c r="F32" i="198"/>
  <c r="F37" i="198"/>
  <c r="F41" i="198"/>
  <c r="F45" i="198"/>
  <c r="F21" i="198"/>
  <c r="F26" i="198"/>
  <c r="F39" i="198"/>
  <c r="F43" i="198"/>
  <c r="F25" i="198"/>
  <c r="F31" i="198"/>
  <c r="F40" i="198"/>
  <c r="F27" i="198"/>
  <c r="F42" i="198"/>
  <c r="F20" i="198"/>
  <c r="F28" i="198"/>
  <c r="F36" i="198"/>
  <c r="F44" i="198"/>
  <c r="F23" i="198"/>
  <c r="F38" i="198"/>
  <c r="F46" i="198"/>
  <c r="F113" i="198"/>
  <c r="F33" i="198"/>
  <c r="F80" i="192"/>
  <c r="F97" i="192"/>
  <c r="F69" i="192"/>
  <c r="E116" i="191"/>
  <c r="F116" i="191"/>
  <c r="F111" i="191"/>
  <c r="E111" i="192"/>
  <c r="F85" i="192"/>
  <c r="G96" i="192"/>
  <c r="G82" i="192"/>
  <c r="G83" i="192"/>
  <c r="G111" i="191"/>
  <c r="G59" i="192"/>
  <c r="G60" i="192"/>
  <c r="F61" i="192"/>
  <c r="F73" i="192"/>
  <c r="F89" i="192"/>
  <c r="F112" i="191"/>
  <c r="E112" i="192"/>
  <c r="F83" i="192"/>
  <c r="F74" i="192"/>
  <c r="F72" i="192"/>
  <c r="G74" i="192"/>
  <c r="G53" i="192"/>
  <c r="F79" i="192"/>
  <c r="H63" i="177"/>
  <c r="F60" i="192"/>
  <c r="F62" i="192"/>
  <c r="J23" i="191"/>
  <c r="J27" i="191"/>
  <c r="J28" i="191"/>
  <c r="J36" i="191"/>
  <c r="J40" i="191"/>
  <c r="J44" i="191"/>
  <c r="J24" i="191"/>
  <c r="J32" i="191"/>
  <c r="J37" i="191"/>
  <c r="J41" i="191"/>
  <c r="J45" i="191"/>
  <c r="J25" i="191"/>
  <c r="J38" i="191"/>
  <c r="J42" i="191"/>
  <c r="J46" i="191"/>
  <c r="J21" i="191"/>
  <c r="J26" i="191"/>
  <c r="J39" i="191"/>
  <c r="J43" i="191"/>
  <c r="J114" i="191"/>
  <c r="J115" i="191"/>
  <c r="J113" i="191"/>
  <c r="J20" i="191"/>
  <c r="G97" i="192"/>
  <c r="G91" i="192"/>
  <c r="G80" i="192"/>
  <c r="G89" i="192"/>
  <c r="G81" i="192"/>
  <c r="G73" i="192"/>
  <c r="G57" i="192"/>
  <c r="G58" i="192"/>
  <c r="G52" i="192"/>
  <c r="H21" i="192"/>
  <c r="H23" i="192"/>
  <c r="H27" i="192"/>
  <c r="H36" i="192"/>
  <c r="H40" i="192"/>
  <c r="H44" i="192"/>
  <c r="H24" i="192"/>
  <c r="H32" i="192"/>
  <c r="H37" i="192"/>
  <c r="H41" i="192"/>
  <c r="H45" i="192"/>
  <c r="H25" i="192"/>
  <c r="H38" i="192"/>
  <c r="H42" i="192"/>
  <c r="H26" i="192"/>
  <c r="H28" i="192"/>
  <c r="H39" i="192"/>
  <c r="H43" i="192"/>
  <c r="H46" i="192"/>
  <c r="H115" i="192"/>
  <c r="H113" i="192"/>
  <c r="H114" i="192"/>
  <c r="H20" i="192"/>
  <c r="G115" i="198"/>
  <c r="H115" i="198"/>
  <c r="F95" i="197"/>
  <c r="E105" i="197"/>
  <c r="H63" i="190"/>
  <c r="H95" i="198"/>
  <c r="H102" i="197"/>
  <c r="H102" i="177"/>
  <c r="F95" i="198"/>
  <c r="L93" i="191"/>
  <c r="L85" i="191"/>
  <c r="L81" i="191"/>
  <c r="L73" i="191"/>
  <c r="L62" i="191"/>
  <c r="L52" i="191"/>
  <c r="L96" i="191"/>
  <c r="L91" i="191"/>
  <c r="L84" i="191"/>
  <c r="L80" i="191"/>
  <c r="L72" i="191"/>
  <c r="L95" i="191"/>
  <c r="L87" i="191"/>
  <c r="L83" i="191"/>
  <c r="L74" i="191"/>
  <c r="L71" i="191"/>
  <c r="L53" i="191"/>
  <c r="L58" i="191"/>
  <c r="L57" i="191"/>
  <c r="L94" i="191"/>
  <c r="L89" i="191"/>
  <c r="L82" i="191"/>
  <c r="L79" i="191"/>
  <c r="L69" i="191"/>
  <c r="L61" i="191"/>
  <c r="L60" i="191"/>
  <c r="L97" i="191"/>
  <c r="L59" i="191"/>
  <c r="E63" i="195"/>
  <c r="F63" i="195"/>
  <c r="H63" i="168"/>
  <c r="H63" i="191"/>
  <c r="H63" i="194"/>
  <c r="H63" i="159"/>
  <c r="H63" i="169"/>
  <c r="H63" i="167"/>
  <c r="H63" i="173"/>
  <c r="F68" i="198"/>
  <c r="F68" i="194"/>
  <c r="F68" i="191"/>
  <c r="F68" i="187"/>
  <c r="F68" i="190"/>
  <c r="F68" i="184"/>
  <c r="F68" i="189"/>
  <c r="F68" i="178"/>
  <c r="F68" i="173"/>
  <c r="F68" i="188"/>
  <c r="F68" i="186"/>
  <c r="F68" i="174"/>
  <c r="F68" i="183"/>
  <c r="F68" i="180"/>
  <c r="F68" i="175"/>
  <c r="F68" i="169"/>
  <c r="F68" i="181"/>
  <c r="F68" i="168"/>
  <c r="F68" i="185"/>
  <c r="F68" i="176"/>
  <c r="F68" i="172"/>
  <c r="F68" i="167"/>
  <c r="F68" i="170"/>
  <c r="F68" i="165"/>
  <c r="F68" i="164"/>
  <c r="F68" i="179"/>
  <c r="F68" i="161"/>
  <c r="F68" i="159"/>
  <c r="F68" i="163"/>
  <c r="F68" i="118"/>
  <c r="F68" i="158"/>
  <c r="F66" i="198"/>
  <c r="F66" i="194"/>
  <c r="F66" i="191"/>
  <c r="F66" i="187"/>
  <c r="F66" i="190"/>
  <c r="F66" i="184"/>
  <c r="F66" i="189"/>
  <c r="F66" i="178"/>
  <c r="F66" i="173"/>
  <c r="F66" i="186"/>
  <c r="F66" i="174"/>
  <c r="F66" i="188"/>
  <c r="F66" i="183"/>
  <c r="F66" i="180"/>
  <c r="F66" i="175"/>
  <c r="F66" i="169"/>
  <c r="F66" i="164"/>
  <c r="F66" i="185"/>
  <c r="F66" i="176"/>
  <c r="F66" i="165"/>
  <c r="F66" i="172"/>
  <c r="F66" i="179"/>
  <c r="F66" i="170"/>
  <c r="F66" i="168"/>
  <c r="F66" i="181"/>
  <c r="F66" i="167"/>
  <c r="F66" i="161"/>
  <c r="F66" i="159"/>
  <c r="F66" i="163"/>
  <c r="F66" i="158"/>
  <c r="F66" i="118"/>
  <c r="F103" i="198"/>
  <c r="F103" i="194"/>
  <c r="F103" i="191"/>
  <c r="F103" i="190"/>
  <c r="F103" i="188"/>
  <c r="F103" i="186"/>
  <c r="F103" i="178"/>
  <c r="F103" i="170"/>
  <c r="F103" i="164"/>
  <c r="F103" i="189"/>
  <c r="F103" i="185"/>
  <c r="F103" i="187"/>
  <c r="F103" i="181"/>
  <c r="F103" i="179"/>
  <c r="F103" i="176"/>
  <c r="F103" i="174"/>
  <c r="F103" i="169"/>
  <c r="F103" i="180"/>
  <c r="F103" i="167"/>
  <c r="F103" i="184"/>
  <c r="F103" i="183"/>
  <c r="F103" i="175"/>
  <c r="F103" i="173"/>
  <c r="F103" i="172"/>
  <c r="F103" i="165"/>
  <c r="F103" i="168"/>
  <c r="F103" i="161"/>
  <c r="F103" i="159"/>
  <c r="F103" i="163"/>
  <c r="F103" i="158"/>
  <c r="F70" i="198"/>
  <c r="F70" i="194"/>
  <c r="F70" i="191"/>
  <c r="F70" i="190"/>
  <c r="F70" i="187"/>
  <c r="F70" i="188"/>
  <c r="F70" i="184"/>
  <c r="F70" i="178"/>
  <c r="F70" i="170"/>
  <c r="F70" i="164"/>
  <c r="F70" i="185"/>
  <c r="F70" i="174"/>
  <c r="F70" i="173"/>
  <c r="F70" i="181"/>
  <c r="F70" i="179"/>
  <c r="F70" i="176"/>
  <c r="F70" i="169"/>
  <c r="F70" i="189"/>
  <c r="F70" i="186"/>
  <c r="F70" i="167"/>
  <c r="F70" i="172"/>
  <c r="F70" i="165"/>
  <c r="F70" i="180"/>
  <c r="F70" i="183"/>
  <c r="F70" i="175"/>
  <c r="F70" i="168"/>
  <c r="F70" i="161"/>
  <c r="F70" i="159"/>
  <c r="F70" i="163"/>
  <c r="F70" i="118"/>
  <c r="F70" i="158"/>
  <c r="F98" i="198"/>
  <c r="F98" i="194"/>
  <c r="F98" i="191"/>
  <c r="F98" i="190"/>
  <c r="F98" i="187"/>
  <c r="F98" i="186"/>
  <c r="F98" i="184"/>
  <c r="F98" i="189"/>
  <c r="F98" i="178"/>
  <c r="F98" i="173"/>
  <c r="F98" i="170"/>
  <c r="F98" i="183"/>
  <c r="F98" i="180"/>
  <c r="F98" i="175"/>
  <c r="F98" i="169"/>
  <c r="F98" i="179"/>
  <c r="F98" i="165"/>
  <c r="F98" i="164"/>
  <c r="F98" i="188"/>
  <c r="F98" i="181"/>
  <c r="F98" i="174"/>
  <c r="F98" i="172"/>
  <c r="F98" i="185"/>
  <c r="F98" i="176"/>
  <c r="F98" i="168"/>
  <c r="F98" i="167"/>
  <c r="F98" i="163"/>
  <c r="F98" i="158"/>
  <c r="F98" i="161"/>
  <c r="F98" i="159"/>
  <c r="F98" i="118"/>
  <c r="F64" i="198"/>
  <c r="F64" i="194"/>
  <c r="F64" i="191"/>
  <c r="F64" i="187"/>
  <c r="F64" i="190"/>
  <c r="F64" i="184"/>
  <c r="F64" i="189"/>
  <c r="F64" i="178"/>
  <c r="F64" i="173"/>
  <c r="F64" i="186"/>
  <c r="F64" i="174"/>
  <c r="F64" i="164"/>
  <c r="F64" i="183"/>
  <c r="F64" i="180"/>
  <c r="F64" i="175"/>
  <c r="F64" i="170"/>
  <c r="F64" i="169"/>
  <c r="F64" i="188"/>
  <c r="F64" i="168"/>
  <c r="F64" i="179"/>
  <c r="F64" i="172"/>
  <c r="F64" i="167"/>
  <c r="F64" i="181"/>
  <c r="F64" i="165"/>
  <c r="F64" i="185"/>
  <c r="F64" i="176"/>
  <c r="F64" i="163"/>
  <c r="F64" i="159"/>
  <c r="F64" i="158"/>
  <c r="F64" i="161"/>
  <c r="F64" i="118"/>
  <c r="F67" i="198"/>
  <c r="F67" i="191"/>
  <c r="F67" i="190"/>
  <c r="F67" i="188"/>
  <c r="F67" i="187"/>
  <c r="F67" i="178"/>
  <c r="F67" i="170"/>
  <c r="F67" i="164"/>
  <c r="F67" i="185"/>
  <c r="F67" i="174"/>
  <c r="F67" i="184"/>
  <c r="F67" i="181"/>
  <c r="F67" i="179"/>
  <c r="F67" i="176"/>
  <c r="F67" i="169"/>
  <c r="F67" i="189"/>
  <c r="F67" i="180"/>
  <c r="F67" i="173"/>
  <c r="F67" i="172"/>
  <c r="F67" i="168"/>
  <c r="F67" i="194"/>
  <c r="F67" i="183"/>
  <c r="F67" i="175"/>
  <c r="F67" i="167"/>
  <c r="F67" i="186"/>
  <c r="F67" i="165"/>
  <c r="F67" i="163"/>
  <c r="F67" i="161"/>
  <c r="F67" i="158"/>
  <c r="F67" i="159"/>
  <c r="F67" i="118"/>
  <c r="F92" i="198"/>
  <c r="F92" i="191"/>
  <c r="F92" i="190"/>
  <c r="F92" i="187"/>
  <c r="F92" i="186"/>
  <c r="F92" i="188"/>
  <c r="F92" i="184"/>
  <c r="F92" i="178"/>
  <c r="F92" i="170"/>
  <c r="F92" i="164"/>
  <c r="F92" i="185"/>
  <c r="F92" i="173"/>
  <c r="F92" i="181"/>
  <c r="F92" i="179"/>
  <c r="F92" i="176"/>
  <c r="F92" i="174"/>
  <c r="F92" i="169"/>
  <c r="F92" i="194"/>
  <c r="F92" i="167"/>
  <c r="F92" i="172"/>
  <c r="F92" i="165"/>
  <c r="F92" i="189"/>
  <c r="F92" i="180"/>
  <c r="F92" i="183"/>
  <c r="F92" i="175"/>
  <c r="F92" i="168"/>
  <c r="F92" i="161"/>
  <c r="F92" i="159"/>
  <c r="F92" i="118"/>
  <c r="F92" i="163"/>
  <c r="F92" i="158"/>
  <c r="H63" i="118"/>
  <c r="H63" i="163"/>
  <c r="H63" i="179"/>
  <c r="H63" i="174"/>
  <c r="H63" i="164"/>
  <c r="H63" i="178"/>
  <c r="H63" i="181"/>
  <c r="H63" i="186"/>
  <c r="E63" i="192"/>
  <c r="F63" i="192"/>
  <c r="F100" i="198"/>
  <c r="F100" i="191"/>
  <c r="F100" i="190"/>
  <c r="F100" i="188"/>
  <c r="F100" i="178"/>
  <c r="F100" i="170"/>
  <c r="F100" i="164"/>
  <c r="F100" i="194"/>
  <c r="F100" i="186"/>
  <c r="F100" i="185"/>
  <c r="F100" i="189"/>
  <c r="F100" i="181"/>
  <c r="F100" i="179"/>
  <c r="F100" i="176"/>
  <c r="F100" i="174"/>
  <c r="F100" i="173"/>
  <c r="F100" i="169"/>
  <c r="F100" i="187"/>
  <c r="F100" i="184"/>
  <c r="F100" i="183"/>
  <c r="F100" i="175"/>
  <c r="F100" i="172"/>
  <c r="F100" i="168"/>
  <c r="F100" i="167"/>
  <c r="F100" i="180"/>
  <c r="F100" i="165"/>
  <c r="F100" i="163"/>
  <c r="F100" i="161"/>
  <c r="F100" i="158"/>
  <c r="F100" i="159"/>
  <c r="F65" i="198"/>
  <c r="F65" i="194"/>
  <c r="F65" i="191"/>
  <c r="F65" i="190"/>
  <c r="F65" i="188"/>
  <c r="F65" i="187"/>
  <c r="F65" i="178"/>
  <c r="F65" i="170"/>
  <c r="F65" i="164"/>
  <c r="F65" i="189"/>
  <c r="F65" i="185"/>
  <c r="F65" i="174"/>
  <c r="F65" i="184"/>
  <c r="F65" i="181"/>
  <c r="F65" i="179"/>
  <c r="F65" i="176"/>
  <c r="F65" i="169"/>
  <c r="F65" i="180"/>
  <c r="F65" i="167"/>
  <c r="F65" i="183"/>
  <c r="F65" i="175"/>
  <c r="F65" i="173"/>
  <c r="F65" i="172"/>
  <c r="F65" i="165"/>
  <c r="F65" i="186"/>
  <c r="F65" i="168"/>
  <c r="F65" i="161"/>
  <c r="F65" i="159"/>
  <c r="F65" i="163"/>
  <c r="F65" i="118"/>
  <c r="F65" i="158"/>
  <c r="F88" i="198"/>
  <c r="F88" i="194"/>
  <c r="F88" i="191"/>
  <c r="F88" i="190"/>
  <c r="F88" i="188"/>
  <c r="F88" i="178"/>
  <c r="F88" i="170"/>
  <c r="F88" i="164"/>
  <c r="F88" i="187"/>
  <c r="F88" i="185"/>
  <c r="F88" i="174"/>
  <c r="F88" i="181"/>
  <c r="F88" i="179"/>
  <c r="F88" i="176"/>
  <c r="F88" i="169"/>
  <c r="F88" i="180"/>
  <c r="F88" i="172"/>
  <c r="F88" i="168"/>
  <c r="F88" i="186"/>
  <c r="F88" i="184"/>
  <c r="F88" i="183"/>
  <c r="F88" i="175"/>
  <c r="F88" i="167"/>
  <c r="F88" i="189"/>
  <c r="F88" i="173"/>
  <c r="F88" i="165"/>
  <c r="F88" i="163"/>
  <c r="F88" i="161"/>
  <c r="F88" i="158"/>
  <c r="F88" i="159"/>
  <c r="F88" i="118"/>
  <c r="F54" i="198"/>
  <c r="F54" i="194"/>
  <c r="F54" i="191"/>
  <c r="F54" i="190"/>
  <c r="F54" i="187"/>
  <c r="F54" i="185"/>
  <c r="F54" i="179"/>
  <c r="F54" i="172"/>
  <c r="F54" i="165"/>
  <c r="F54" i="189"/>
  <c r="F54" i="186"/>
  <c r="F54" i="183"/>
  <c r="F54" i="180"/>
  <c r="F54" i="178"/>
  <c r="F54" i="175"/>
  <c r="F54" i="170"/>
  <c r="F54" i="164"/>
  <c r="F54" i="188"/>
  <c r="F54" i="181"/>
  <c r="F54" i="174"/>
  <c r="F54" i="173"/>
  <c r="F54" i="169"/>
  <c r="F54" i="184"/>
  <c r="F54" i="176"/>
  <c r="F54" i="168"/>
  <c r="F54" i="167"/>
  <c r="F54" i="161"/>
  <c r="F54" i="159"/>
  <c r="F54" i="163"/>
  <c r="F54" i="118"/>
  <c r="F54" i="158"/>
  <c r="F78" i="198"/>
  <c r="F78" i="194"/>
  <c r="F78" i="191"/>
  <c r="F78" i="190"/>
  <c r="F78" i="188"/>
  <c r="F78" i="178"/>
  <c r="F78" i="170"/>
  <c r="F78" i="164"/>
  <c r="F78" i="189"/>
  <c r="F78" i="185"/>
  <c r="F78" i="174"/>
  <c r="F78" i="186"/>
  <c r="F78" i="181"/>
  <c r="F78" i="179"/>
  <c r="F78" i="176"/>
  <c r="F78" i="169"/>
  <c r="F78" i="187"/>
  <c r="F78" i="180"/>
  <c r="F78" i="167"/>
  <c r="F78" i="184"/>
  <c r="F78" i="183"/>
  <c r="F78" i="175"/>
  <c r="F78" i="172"/>
  <c r="F78" i="165"/>
  <c r="F78" i="173"/>
  <c r="F78" i="168"/>
  <c r="F78" i="161"/>
  <c r="F78" i="159"/>
  <c r="F78" i="163"/>
  <c r="F78" i="118"/>
  <c r="F78" i="158"/>
  <c r="H63" i="15"/>
  <c r="H63" i="161"/>
  <c r="H63" i="176"/>
  <c r="H63" i="180"/>
  <c r="H63" i="170"/>
  <c r="H63" i="184"/>
  <c r="H63" i="183"/>
  <c r="H63" i="189"/>
  <c r="F77" i="198"/>
  <c r="F77" i="194"/>
  <c r="F77" i="191"/>
  <c r="F77" i="187"/>
  <c r="F77" i="186"/>
  <c r="F77" i="190"/>
  <c r="F77" i="184"/>
  <c r="F77" i="189"/>
  <c r="F77" i="178"/>
  <c r="F77" i="173"/>
  <c r="F77" i="174"/>
  <c r="F77" i="164"/>
  <c r="F77" i="183"/>
  <c r="F77" i="180"/>
  <c r="F77" i="175"/>
  <c r="F77" i="170"/>
  <c r="F77" i="169"/>
  <c r="F77" i="168"/>
  <c r="F77" i="179"/>
  <c r="F77" i="172"/>
  <c r="F77" i="167"/>
  <c r="F77" i="188"/>
  <c r="F77" i="181"/>
  <c r="F77" i="165"/>
  <c r="F77" i="185"/>
  <c r="F77" i="176"/>
  <c r="F77" i="163"/>
  <c r="F77" i="118"/>
  <c r="F77" i="159"/>
  <c r="F77" i="161"/>
  <c r="F77" i="158"/>
  <c r="F75" i="198"/>
  <c r="F75" i="194"/>
  <c r="F75" i="191"/>
  <c r="F75" i="187"/>
  <c r="F75" i="190"/>
  <c r="F75" i="184"/>
  <c r="F75" i="189"/>
  <c r="F75" i="178"/>
  <c r="F75" i="173"/>
  <c r="F75" i="186"/>
  <c r="F75" i="174"/>
  <c r="F75" i="170"/>
  <c r="F75" i="183"/>
  <c r="F75" i="180"/>
  <c r="F75" i="175"/>
  <c r="F75" i="169"/>
  <c r="F75" i="179"/>
  <c r="F75" i="165"/>
  <c r="F75" i="181"/>
  <c r="F75" i="172"/>
  <c r="F75" i="185"/>
  <c r="F75" i="176"/>
  <c r="F75" i="168"/>
  <c r="F75" i="164"/>
  <c r="F75" i="188"/>
  <c r="F75" i="167"/>
  <c r="F75" i="161"/>
  <c r="F75" i="159"/>
  <c r="F75" i="163"/>
  <c r="F75" i="158"/>
  <c r="F75" i="118"/>
  <c r="F90" i="198"/>
  <c r="F90" i="194"/>
  <c r="F90" i="191"/>
  <c r="F90" i="187"/>
  <c r="F90" i="186"/>
  <c r="F90" i="190"/>
  <c r="F90" i="184"/>
  <c r="F90" i="189"/>
  <c r="F90" i="178"/>
  <c r="F90" i="173"/>
  <c r="F90" i="188"/>
  <c r="F90" i="174"/>
  <c r="F90" i="183"/>
  <c r="F90" i="180"/>
  <c r="F90" i="175"/>
  <c r="F90" i="169"/>
  <c r="F90" i="181"/>
  <c r="F90" i="170"/>
  <c r="F90" i="168"/>
  <c r="F90" i="164"/>
  <c r="F90" i="185"/>
  <c r="F90" i="176"/>
  <c r="F90" i="172"/>
  <c r="F90" i="167"/>
  <c r="F90" i="165"/>
  <c r="F90" i="179"/>
  <c r="F90" i="161"/>
  <c r="F90" i="159"/>
  <c r="F90" i="118"/>
  <c r="F90" i="163"/>
  <c r="F90" i="158"/>
  <c r="F56" i="198"/>
  <c r="F56" i="191"/>
  <c r="F56" i="190"/>
  <c r="F56" i="188"/>
  <c r="F56" i="178"/>
  <c r="F56" i="170"/>
  <c r="F56" i="164"/>
  <c r="F56" i="194"/>
  <c r="F56" i="185"/>
  <c r="F56" i="184"/>
  <c r="F56" i="174"/>
  <c r="F56" i="189"/>
  <c r="F56" i="181"/>
  <c r="F56" i="179"/>
  <c r="F56" i="176"/>
  <c r="F56" i="173"/>
  <c r="F56" i="169"/>
  <c r="F56" i="183"/>
  <c r="F56" i="175"/>
  <c r="F56" i="187"/>
  <c r="F56" i="186"/>
  <c r="F56" i="172"/>
  <c r="F56" i="168"/>
  <c r="F56" i="167"/>
  <c r="F56" i="180"/>
  <c r="F56" i="165"/>
  <c r="F56" i="161"/>
  <c r="F56" i="159"/>
  <c r="F56" i="163"/>
  <c r="F56" i="158"/>
  <c r="F56" i="118"/>
  <c r="F76" i="198"/>
  <c r="F76" i="194"/>
  <c r="F76" i="191"/>
  <c r="F76" i="190"/>
  <c r="F76" i="188"/>
  <c r="F76" i="187"/>
  <c r="F76" i="178"/>
  <c r="F76" i="170"/>
  <c r="F76" i="164"/>
  <c r="F76" i="185"/>
  <c r="F76" i="174"/>
  <c r="F76" i="189"/>
  <c r="F76" i="184"/>
  <c r="F76" i="181"/>
  <c r="F76" i="179"/>
  <c r="F76" i="176"/>
  <c r="F76" i="173"/>
  <c r="F76" i="169"/>
  <c r="F76" i="183"/>
  <c r="F76" i="175"/>
  <c r="F76" i="186"/>
  <c r="F76" i="172"/>
  <c r="F76" i="168"/>
  <c r="F76" i="167"/>
  <c r="F76" i="180"/>
  <c r="F76" i="165"/>
  <c r="F76" i="163"/>
  <c r="F76" i="159"/>
  <c r="F76" i="161"/>
  <c r="F76" i="158"/>
  <c r="F76" i="118"/>
  <c r="F86" i="198"/>
  <c r="F86" i="194"/>
  <c r="F86" i="191"/>
  <c r="F86" i="187"/>
  <c r="F86" i="186"/>
  <c r="F86" i="190"/>
  <c r="F86" i="184"/>
  <c r="F86" i="189"/>
  <c r="F86" i="178"/>
  <c r="F86" i="173"/>
  <c r="F86" i="174"/>
  <c r="F86" i="188"/>
  <c r="F86" i="183"/>
  <c r="F86" i="180"/>
  <c r="F86" i="175"/>
  <c r="F86" i="169"/>
  <c r="F86" i="164"/>
  <c r="F86" i="185"/>
  <c r="F86" i="176"/>
  <c r="F86" i="170"/>
  <c r="F86" i="165"/>
  <c r="F86" i="172"/>
  <c r="F86" i="179"/>
  <c r="F86" i="168"/>
  <c r="F86" i="181"/>
  <c r="F86" i="167"/>
  <c r="F86" i="161"/>
  <c r="F86" i="159"/>
  <c r="F86" i="163"/>
  <c r="F86" i="158"/>
  <c r="F86" i="118"/>
  <c r="F104" i="198"/>
  <c r="F104" i="194"/>
  <c r="F104" i="191"/>
  <c r="F104" i="190"/>
  <c r="F104" i="187"/>
  <c r="F104" i="186"/>
  <c r="F104" i="184"/>
  <c r="F104" i="189"/>
  <c r="F104" i="178"/>
  <c r="F104" i="173"/>
  <c r="F104" i="188"/>
  <c r="F104" i="183"/>
  <c r="F104" i="180"/>
  <c r="F104" i="175"/>
  <c r="F104" i="169"/>
  <c r="F104" i="164"/>
  <c r="F104" i="185"/>
  <c r="F104" i="176"/>
  <c r="F104" i="165"/>
  <c r="F104" i="172"/>
  <c r="F104" i="179"/>
  <c r="F104" i="170"/>
  <c r="F104" i="168"/>
  <c r="F104" i="181"/>
  <c r="F104" i="174"/>
  <c r="F104" i="167"/>
  <c r="F104" i="163"/>
  <c r="F104" i="161"/>
  <c r="F104" i="159"/>
  <c r="F104" i="158"/>
  <c r="H63" i="158"/>
  <c r="H63" i="175"/>
  <c r="H63" i="188"/>
  <c r="H63" i="185"/>
  <c r="H63" i="165"/>
  <c r="H63" i="172"/>
  <c r="H63" i="187"/>
  <c r="H63" i="193"/>
  <c r="F99" i="198"/>
  <c r="F99" i="194"/>
  <c r="F99" i="188"/>
  <c r="F99" i="185"/>
  <c r="F99" i="184"/>
  <c r="F99" i="181"/>
  <c r="F99" i="179"/>
  <c r="F99" i="176"/>
  <c r="F99" i="174"/>
  <c r="F99" i="172"/>
  <c r="F99" i="169"/>
  <c r="F99" i="167"/>
  <c r="F99" i="164"/>
  <c r="F99" i="190"/>
  <c r="F99" i="186"/>
  <c r="F99" i="191"/>
  <c r="F99" i="189"/>
  <c r="F99" i="183"/>
  <c r="F99" i="180"/>
  <c r="F99" i="178"/>
  <c r="F99" i="175"/>
  <c r="F99" i="173"/>
  <c r="F99" i="170"/>
  <c r="F99" i="168"/>
  <c r="F99" i="165"/>
  <c r="F99" i="187"/>
  <c r="F99" i="163"/>
  <c r="F99" i="159"/>
  <c r="F99" i="158"/>
  <c r="F99" i="118"/>
  <c r="F99" i="161"/>
  <c r="H97" i="198"/>
  <c r="H62" i="198"/>
  <c r="H53" i="198"/>
  <c r="H58" i="198"/>
  <c r="H57" i="198"/>
  <c r="H73" i="198"/>
  <c r="H89" i="198"/>
  <c r="H60" i="198"/>
  <c r="H82" i="198"/>
  <c r="H93" i="198"/>
  <c r="H79" i="198"/>
  <c r="H72" i="198"/>
  <c r="H87" i="198"/>
  <c r="H19" i="198"/>
  <c r="H64" i="177"/>
  <c r="H68" i="177"/>
  <c r="H76" i="177"/>
  <c r="H88" i="177"/>
  <c r="H98" i="177"/>
  <c r="H63" i="198"/>
  <c r="H75" i="177"/>
  <c r="H56" i="177"/>
  <c r="H65" i="177"/>
  <c r="H70" i="177"/>
  <c r="H77" i="177"/>
  <c r="H90" i="177"/>
  <c r="H99" i="177"/>
  <c r="H103" i="177"/>
  <c r="H67" i="177"/>
  <c r="H59" i="198"/>
  <c r="H66" i="177"/>
  <c r="H74" i="198"/>
  <c r="H78" i="177"/>
  <c r="H92" i="177"/>
  <c r="H100" i="177"/>
  <c r="H104" i="177"/>
  <c r="H86" i="177"/>
  <c r="H61" i="198"/>
  <c r="H81" i="198"/>
  <c r="H80" i="198"/>
  <c r="H91" i="198"/>
  <c r="H83" i="198"/>
  <c r="H96" i="198"/>
  <c r="H69" i="198"/>
  <c r="H85" i="198"/>
  <c r="H84" i="198"/>
  <c r="H71" i="198"/>
  <c r="H94" i="198"/>
  <c r="H80" i="192"/>
  <c r="H97" i="192"/>
  <c r="I97" i="192"/>
  <c r="H82" i="192"/>
  <c r="H79" i="192"/>
  <c r="H95" i="192"/>
  <c r="H71" i="192"/>
  <c r="H94" i="192"/>
  <c r="H81" i="192"/>
  <c r="H91" i="192"/>
  <c r="H53" i="192"/>
  <c r="H59" i="192"/>
  <c r="H69" i="192"/>
  <c r="H85" i="192"/>
  <c r="H84" i="192"/>
  <c r="L21" i="191"/>
  <c r="L26" i="191"/>
  <c r="L39" i="191"/>
  <c r="L43" i="191"/>
  <c r="L23" i="191"/>
  <c r="L27" i="191"/>
  <c r="L36" i="191"/>
  <c r="L40" i="191"/>
  <c r="L44" i="191"/>
  <c r="L24" i="191"/>
  <c r="L28" i="191"/>
  <c r="L32" i="191"/>
  <c r="L37" i="191"/>
  <c r="L41" i="191"/>
  <c r="L45" i="191"/>
  <c r="L25" i="191"/>
  <c r="L38" i="191"/>
  <c r="L42" i="191"/>
  <c r="L46" i="191"/>
  <c r="L113" i="191"/>
  <c r="L114" i="191"/>
  <c r="L115" i="191"/>
  <c r="L20" i="191"/>
  <c r="H73" i="192"/>
  <c r="I112" i="191"/>
  <c r="I111" i="191"/>
  <c r="H23" i="198"/>
  <c r="H27" i="198"/>
  <c r="H36" i="198"/>
  <c r="H40" i="198"/>
  <c r="H44" i="198"/>
  <c r="H25" i="198"/>
  <c r="H38" i="198"/>
  <c r="H42" i="198"/>
  <c r="H46" i="198"/>
  <c r="H24" i="198"/>
  <c r="H39" i="198"/>
  <c r="H26" i="198"/>
  <c r="H32" i="198"/>
  <c r="H41" i="198"/>
  <c r="H43" i="198"/>
  <c r="H21" i="198"/>
  <c r="H28" i="198"/>
  <c r="H37" i="198"/>
  <c r="H45" i="198"/>
  <c r="H20" i="198"/>
  <c r="F112" i="192"/>
  <c r="E112" i="198"/>
  <c r="F112" i="198"/>
  <c r="H111" i="191"/>
  <c r="G116" i="191"/>
  <c r="H116" i="191"/>
  <c r="G111" i="192"/>
  <c r="H83" i="192"/>
  <c r="H96" i="192"/>
  <c r="E116" i="192"/>
  <c r="F116" i="192"/>
  <c r="F111" i="192"/>
  <c r="E111" i="198"/>
  <c r="F52" i="198"/>
  <c r="H62" i="192"/>
  <c r="H72" i="192"/>
  <c r="H87" i="192"/>
  <c r="M28" i="191"/>
  <c r="H58" i="192"/>
  <c r="H57" i="192"/>
  <c r="H89" i="192"/>
  <c r="H52" i="192"/>
  <c r="G113" i="198"/>
  <c r="H113" i="198"/>
  <c r="H74" i="192"/>
  <c r="H60" i="192"/>
  <c r="H112" i="191"/>
  <c r="G112" i="192"/>
  <c r="H61" i="192"/>
  <c r="H93" i="192"/>
  <c r="L19" i="191"/>
  <c r="H56" i="198"/>
  <c r="H54" i="177"/>
  <c r="G105" i="177"/>
  <c r="F105" i="197"/>
  <c r="E107" i="197"/>
  <c r="F107" i="197"/>
  <c r="H95" i="197"/>
  <c r="G105" i="197"/>
  <c r="N96" i="191"/>
  <c r="N91" i="191"/>
  <c r="N84" i="191"/>
  <c r="N80" i="191"/>
  <c r="N72" i="191"/>
  <c r="N61" i="191"/>
  <c r="N58" i="191"/>
  <c r="N95" i="191"/>
  <c r="N89" i="191"/>
  <c r="N83" i="191"/>
  <c r="N79" i="191"/>
  <c r="N71" i="191"/>
  <c r="N85" i="191"/>
  <c r="N73" i="191"/>
  <c r="N57" i="191"/>
  <c r="N94" i="191"/>
  <c r="N82" i="191"/>
  <c r="N69" i="191"/>
  <c r="N60" i="191"/>
  <c r="N93" i="191"/>
  <c r="N81" i="191"/>
  <c r="N62" i="191"/>
  <c r="N52" i="191"/>
  <c r="N87" i="191"/>
  <c r="N74" i="191"/>
  <c r="N53" i="191"/>
  <c r="N97" i="191"/>
  <c r="N59" i="191"/>
  <c r="G63" i="195"/>
  <c r="H63" i="195"/>
  <c r="H78" i="198"/>
  <c r="H78" i="191"/>
  <c r="H78" i="190"/>
  <c r="H78" i="188"/>
  <c r="H78" i="194"/>
  <c r="H78" i="183"/>
  <c r="H78" i="180"/>
  <c r="H78" i="175"/>
  <c r="H78" i="187"/>
  <c r="H78" i="174"/>
  <c r="H78" i="172"/>
  <c r="H78" i="167"/>
  <c r="H78" i="186"/>
  <c r="H78" i="181"/>
  <c r="H78" i="179"/>
  <c r="H78" i="176"/>
  <c r="H78" i="169"/>
  <c r="H78" i="164"/>
  <c r="H78" i="184"/>
  <c r="H78" i="178"/>
  <c r="H78" i="173"/>
  <c r="H78" i="170"/>
  <c r="H78" i="165"/>
  <c r="H78" i="189"/>
  <c r="H78" i="168"/>
  <c r="H78" i="185"/>
  <c r="H78" i="161"/>
  <c r="H78" i="159"/>
  <c r="H78" i="163"/>
  <c r="H78" i="118"/>
  <c r="H78" i="158"/>
  <c r="H88" i="198"/>
  <c r="H88" i="194"/>
  <c r="H88" i="191"/>
  <c r="H88" i="190"/>
  <c r="H88" i="188"/>
  <c r="H88" i="183"/>
  <c r="H88" i="180"/>
  <c r="H88" i="175"/>
  <c r="H88" i="187"/>
  <c r="H88" i="174"/>
  <c r="H88" i="172"/>
  <c r="H88" i="167"/>
  <c r="H88" i="181"/>
  <c r="H88" i="179"/>
  <c r="H88" i="176"/>
  <c r="H88" i="169"/>
  <c r="H88" i="184"/>
  <c r="H88" i="178"/>
  <c r="H88" i="164"/>
  <c r="H88" i="185"/>
  <c r="H88" i="170"/>
  <c r="H88" i="168"/>
  <c r="H88" i="186"/>
  <c r="H88" i="189"/>
  <c r="H88" i="173"/>
  <c r="H88" i="165"/>
  <c r="H88" i="163"/>
  <c r="H88" i="161"/>
  <c r="H88" i="159"/>
  <c r="H88" i="118"/>
  <c r="H88" i="158"/>
  <c r="F76" i="15"/>
  <c r="E76" i="192"/>
  <c r="F76" i="192"/>
  <c r="F65" i="193"/>
  <c r="E65" i="195"/>
  <c r="F65" i="195"/>
  <c r="F103" i="193"/>
  <c r="E103" i="195"/>
  <c r="F103" i="195"/>
  <c r="H104" i="198"/>
  <c r="H104" i="194"/>
  <c r="H104" i="190"/>
  <c r="H104" i="189"/>
  <c r="H104" i="185"/>
  <c r="H104" i="181"/>
  <c r="H104" i="179"/>
  <c r="H104" i="178"/>
  <c r="H104" i="176"/>
  <c r="H104" i="174"/>
  <c r="H104" i="187"/>
  <c r="H104" i="169"/>
  <c r="H104" i="168"/>
  <c r="H104" i="165"/>
  <c r="H104" i="188"/>
  <c r="H104" i="183"/>
  <c r="H104" i="180"/>
  <c r="H104" i="175"/>
  <c r="H104" i="164"/>
  <c r="H104" i="184"/>
  <c r="H104" i="172"/>
  <c r="H104" i="170"/>
  <c r="H104" i="186"/>
  <c r="H104" i="173"/>
  <c r="H104" i="167"/>
  <c r="H104" i="191"/>
  <c r="H104" i="163"/>
  <c r="H104" i="161"/>
  <c r="H104" i="159"/>
  <c r="H104" i="158"/>
  <c r="H103" i="198"/>
  <c r="H103" i="194"/>
  <c r="H103" i="191"/>
  <c r="H103" i="188"/>
  <c r="H103" i="183"/>
  <c r="H103" i="180"/>
  <c r="H103" i="175"/>
  <c r="H103" i="190"/>
  <c r="H103" i="172"/>
  <c r="H103" i="167"/>
  <c r="H103" i="187"/>
  <c r="H103" i="181"/>
  <c r="H103" i="179"/>
  <c r="H103" i="176"/>
  <c r="H103" i="174"/>
  <c r="H103" i="169"/>
  <c r="H103" i="164"/>
  <c r="H103" i="178"/>
  <c r="H103" i="173"/>
  <c r="H103" i="170"/>
  <c r="H103" i="186"/>
  <c r="H103" i="184"/>
  <c r="H103" i="165"/>
  <c r="H103" i="168"/>
  <c r="H103" i="189"/>
  <c r="H103" i="185"/>
  <c r="H103" i="163"/>
  <c r="H103" i="161"/>
  <c r="H103" i="159"/>
  <c r="H103" i="158"/>
  <c r="H70" i="198"/>
  <c r="H70" i="191"/>
  <c r="H70" i="190"/>
  <c r="H70" i="188"/>
  <c r="H70" i="186"/>
  <c r="H70" i="183"/>
  <c r="H70" i="180"/>
  <c r="H70" i="175"/>
  <c r="H70" i="194"/>
  <c r="H70" i="174"/>
  <c r="H70" i="172"/>
  <c r="H70" i="167"/>
  <c r="H70" i="184"/>
  <c r="H70" i="181"/>
  <c r="H70" i="179"/>
  <c r="H70" i="176"/>
  <c r="H70" i="169"/>
  <c r="H70" i="189"/>
  <c r="H70" i="178"/>
  <c r="H70" i="165"/>
  <c r="H70" i="187"/>
  <c r="H70" i="185"/>
  <c r="H70" i="170"/>
  <c r="H70" i="168"/>
  <c r="H70" i="164"/>
  <c r="H70" i="173"/>
  <c r="H70" i="163"/>
  <c r="H70" i="159"/>
  <c r="H70" i="158"/>
  <c r="H70" i="161"/>
  <c r="H70" i="118"/>
  <c r="H76" i="198"/>
  <c r="H76" i="191"/>
  <c r="H76" i="194"/>
  <c r="H76" i="190"/>
  <c r="H76" i="188"/>
  <c r="H76" i="187"/>
  <c r="H76" i="186"/>
  <c r="H76" i="183"/>
  <c r="H76" i="180"/>
  <c r="H76" i="175"/>
  <c r="H76" i="184"/>
  <c r="H76" i="174"/>
  <c r="H76" i="172"/>
  <c r="H76" i="167"/>
  <c r="H76" i="189"/>
  <c r="H76" i="181"/>
  <c r="H76" i="179"/>
  <c r="H76" i="176"/>
  <c r="H76" i="173"/>
  <c r="H76" i="170"/>
  <c r="H76" i="169"/>
  <c r="H76" i="178"/>
  <c r="H76" i="168"/>
  <c r="H76" i="164"/>
  <c r="H76" i="185"/>
  <c r="H76" i="165"/>
  <c r="H76" i="163"/>
  <c r="H76" i="161"/>
  <c r="H76" i="159"/>
  <c r="H76" i="118"/>
  <c r="H76" i="158"/>
  <c r="F86" i="193"/>
  <c r="E86" i="195"/>
  <c r="F86" i="195"/>
  <c r="F56" i="15"/>
  <c r="E56" i="192"/>
  <c r="F56" i="192"/>
  <c r="F90" i="15"/>
  <c r="E90" i="192"/>
  <c r="F90" i="192"/>
  <c r="F54" i="15"/>
  <c r="E54" i="192"/>
  <c r="F54" i="192"/>
  <c r="F88" i="193"/>
  <c r="E88" i="195"/>
  <c r="F88" i="195"/>
  <c r="F92" i="15"/>
  <c r="E92" i="192"/>
  <c r="F92" i="192"/>
  <c r="F64" i="193"/>
  <c r="E64" i="195"/>
  <c r="F64" i="195"/>
  <c r="F70" i="15"/>
  <c r="E70" i="192"/>
  <c r="F70" i="192"/>
  <c r="F68" i="193"/>
  <c r="E68" i="195"/>
  <c r="F68" i="195"/>
  <c r="H75" i="198"/>
  <c r="H75" i="189"/>
  <c r="H75" i="194"/>
  <c r="H75" i="187"/>
  <c r="H75" i="185"/>
  <c r="H75" i="181"/>
  <c r="H75" i="179"/>
  <c r="H75" i="178"/>
  <c r="H75" i="176"/>
  <c r="H75" i="184"/>
  <c r="H75" i="169"/>
  <c r="H75" i="168"/>
  <c r="H75" i="165"/>
  <c r="H75" i="183"/>
  <c r="H75" i="180"/>
  <c r="H75" i="175"/>
  <c r="H75" i="173"/>
  <c r="H75" i="172"/>
  <c r="H75" i="190"/>
  <c r="H75" i="186"/>
  <c r="H75" i="170"/>
  <c r="H75" i="164"/>
  <c r="H75" i="188"/>
  <c r="H75" i="174"/>
  <c r="H75" i="167"/>
  <c r="H75" i="191"/>
  <c r="H75" i="163"/>
  <c r="H75" i="161"/>
  <c r="H75" i="159"/>
  <c r="H75" i="118"/>
  <c r="H75" i="158"/>
  <c r="F78" i="15"/>
  <c r="E78" i="192"/>
  <c r="F78" i="192"/>
  <c r="F92" i="193"/>
  <c r="E92" i="195"/>
  <c r="F92" i="195"/>
  <c r="F66" i="193"/>
  <c r="E66" i="195"/>
  <c r="F66" i="195"/>
  <c r="F104" i="15"/>
  <c r="E104" i="192"/>
  <c r="F104" i="192"/>
  <c r="F104" i="193"/>
  <c r="E104" i="195"/>
  <c r="F104" i="195"/>
  <c r="F76" i="193"/>
  <c r="E76" i="195"/>
  <c r="F76" i="195"/>
  <c r="F100" i="193"/>
  <c r="E100" i="195"/>
  <c r="F100" i="195"/>
  <c r="F98" i="193"/>
  <c r="E98" i="195"/>
  <c r="F98" i="195"/>
  <c r="F103" i="15"/>
  <c r="E103" i="192"/>
  <c r="F103" i="192"/>
  <c r="H86" i="198"/>
  <c r="H86" i="194"/>
  <c r="H86" i="189"/>
  <c r="H86" i="185"/>
  <c r="H86" i="181"/>
  <c r="H86" i="179"/>
  <c r="H86" i="178"/>
  <c r="H86" i="176"/>
  <c r="H86" i="169"/>
  <c r="H86" i="168"/>
  <c r="H86" i="165"/>
  <c r="H86" i="188"/>
  <c r="H86" i="186"/>
  <c r="H86" i="184"/>
  <c r="H86" i="183"/>
  <c r="H86" i="180"/>
  <c r="H86" i="175"/>
  <c r="H86" i="164"/>
  <c r="H86" i="190"/>
  <c r="H86" i="187"/>
  <c r="H86" i="172"/>
  <c r="H86" i="170"/>
  <c r="H86" i="174"/>
  <c r="H86" i="167"/>
  <c r="H86" i="191"/>
  <c r="H86" i="173"/>
  <c r="H86" i="163"/>
  <c r="H86" i="161"/>
  <c r="H86" i="159"/>
  <c r="H86" i="118"/>
  <c r="H86" i="158"/>
  <c r="H67" i="198"/>
  <c r="H67" i="194"/>
  <c r="H67" i="191"/>
  <c r="H67" i="190"/>
  <c r="H67" i="188"/>
  <c r="H67" i="186"/>
  <c r="H67" i="183"/>
  <c r="H67" i="180"/>
  <c r="H67" i="175"/>
  <c r="H67" i="174"/>
  <c r="H67" i="172"/>
  <c r="H67" i="167"/>
  <c r="H67" i="184"/>
  <c r="H67" i="181"/>
  <c r="H67" i="179"/>
  <c r="H67" i="176"/>
  <c r="H67" i="169"/>
  <c r="H67" i="187"/>
  <c r="H67" i="178"/>
  <c r="H67" i="164"/>
  <c r="H67" i="189"/>
  <c r="H67" i="185"/>
  <c r="H67" i="173"/>
  <c r="H67" i="168"/>
  <c r="H67" i="170"/>
  <c r="H67" i="165"/>
  <c r="H67" i="163"/>
  <c r="H67" i="161"/>
  <c r="H67" i="159"/>
  <c r="H67" i="118"/>
  <c r="H67" i="158"/>
  <c r="H77" i="198"/>
  <c r="H77" i="189"/>
  <c r="H77" i="194"/>
  <c r="H77" i="185"/>
  <c r="H77" i="181"/>
  <c r="H77" i="179"/>
  <c r="H77" i="178"/>
  <c r="H77" i="176"/>
  <c r="H77" i="191"/>
  <c r="H77" i="186"/>
  <c r="H77" i="169"/>
  <c r="H77" i="168"/>
  <c r="H77" i="165"/>
  <c r="H77" i="183"/>
  <c r="H77" i="180"/>
  <c r="H77" i="175"/>
  <c r="H77" i="170"/>
  <c r="H77" i="188"/>
  <c r="H77" i="173"/>
  <c r="H77" i="172"/>
  <c r="H77" i="184"/>
  <c r="H77" i="174"/>
  <c r="H77" i="167"/>
  <c r="H77" i="164"/>
  <c r="H77" i="187"/>
  <c r="H77" i="190"/>
  <c r="H77" i="161"/>
  <c r="H77" i="158"/>
  <c r="H77" i="163"/>
  <c r="H77" i="159"/>
  <c r="H77" i="118"/>
  <c r="F75" i="193"/>
  <c r="E75" i="195"/>
  <c r="F75" i="195"/>
  <c r="F88" i="15"/>
  <c r="E88" i="192"/>
  <c r="F88" i="192"/>
  <c r="F100" i="15"/>
  <c r="E100" i="192"/>
  <c r="F100" i="192"/>
  <c r="F67" i="15"/>
  <c r="E67" i="192"/>
  <c r="F67" i="192"/>
  <c r="F67" i="193"/>
  <c r="E67" i="195"/>
  <c r="F67" i="195"/>
  <c r="H100" i="198"/>
  <c r="H100" i="194"/>
  <c r="H100" i="191"/>
  <c r="H100" i="188"/>
  <c r="H100" i="187"/>
  <c r="H100" i="186"/>
  <c r="H100" i="183"/>
  <c r="H100" i="180"/>
  <c r="H100" i="175"/>
  <c r="H100" i="184"/>
  <c r="H100" i="172"/>
  <c r="H100" i="167"/>
  <c r="H100" i="189"/>
  <c r="H100" i="181"/>
  <c r="H100" i="179"/>
  <c r="H100" i="176"/>
  <c r="H100" i="174"/>
  <c r="H100" i="173"/>
  <c r="H100" i="170"/>
  <c r="H100" i="169"/>
  <c r="H100" i="178"/>
  <c r="H100" i="168"/>
  <c r="H100" i="185"/>
  <c r="H100" i="165"/>
  <c r="H100" i="190"/>
  <c r="H100" i="164"/>
  <c r="H100" i="161"/>
  <c r="H100" i="159"/>
  <c r="H100" i="158"/>
  <c r="H100" i="163"/>
  <c r="H66" i="198"/>
  <c r="H66" i="194"/>
  <c r="H66" i="189"/>
  <c r="H66" i="185"/>
  <c r="H66" i="181"/>
  <c r="H66" i="179"/>
  <c r="H66" i="178"/>
  <c r="H66" i="176"/>
  <c r="H66" i="169"/>
  <c r="H66" i="168"/>
  <c r="H66" i="165"/>
  <c r="H66" i="188"/>
  <c r="H66" i="183"/>
  <c r="H66" i="180"/>
  <c r="H66" i="175"/>
  <c r="H66" i="164"/>
  <c r="H66" i="190"/>
  <c r="H66" i="172"/>
  <c r="H66" i="170"/>
  <c r="H66" i="184"/>
  <c r="H66" i="173"/>
  <c r="H66" i="187"/>
  <c r="H66" i="186"/>
  <c r="H66" i="174"/>
  <c r="H66" i="167"/>
  <c r="H66" i="191"/>
  <c r="H66" i="163"/>
  <c r="H66" i="161"/>
  <c r="H66" i="159"/>
  <c r="H66" i="118"/>
  <c r="H66" i="158"/>
  <c r="H65" i="198"/>
  <c r="H65" i="191"/>
  <c r="H65" i="190"/>
  <c r="H65" i="188"/>
  <c r="H65" i="186"/>
  <c r="H65" i="183"/>
  <c r="H65" i="180"/>
  <c r="H65" i="175"/>
  <c r="H65" i="174"/>
  <c r="H65" i="172"/>
  <c r="H65" i="167"/>
  <c r="H65" i="184"/>
  <c r="H65" i="181"/>
  <c r="H65" i="179"/>
  <c r="H65" i="176"/>
  <c r="H65" i="169"/>
  <c r="H65" i="164"/>
  <c r="H65" i="178"/>
  <c r="H65" i="173"/>
  <c r="H65" i="170"/>
  <c r="H65" i="187"/>
  <c r="H65" i="165"/>
  <c r="H65" i="194"/>
  <c r="H65" i="168"/>
  <c r="H65" i="189"/>
  <c r="H65" i="185"/>
  <c r="H65" i="161"/>
  <c r="H65" i="159"/>
  <c r="H65" i="163"/>
  <c r="H65" i="158"/>
  <c r="H65" i="118"/>
  <c r="H68" i="198"/>
  <c r="H68" i="189"/>
  <c r="H68" i="185"/>
  <c r="H68" i="181"/>
  <c r="H68" i="179"/>
  <c r="H68" i="178"/>
  <c r="H68" i="176"/>
  <c r="H68" i="191"/>
  <c r="H68" i="169"/>
  <c r="H68" i="168"/>
  <c r="H68" i="165"/>
  <c r="H68" i="190"/>
  <c r="H68" i="187"/>
  <c r="H68" i="183"/>
  <c r="H68" i="180"/>
  <c r="H68" i="175"/>
  <c r="H68" i="172"/>
  <c r="H68" i="164"/>
  <c r="H68" i="194"/>
  <c r="H68" i="174"/>
  <c r="H68" i="173"/>
  <c r="H68" i="167"/>
  <c r="H68" i="188"/>
  <c r="H68" i="184"/>
  <c r="H68" i="170"/>
  <c r="H68" i="186"/>
  <c r="H68" i="159"/>
  <c r="H68" i="163"/>
  <c r="H68" i="158"/>
  <c r="H68" i="161"/>
  <c r="H68" i="118"/>
  <c r="G63" i="192"/>
  <c r="H63" i="192"/>
  <c r="H54" i="198"/>
  <c r="H54" i="190"/>
  <c r="H54" i="184"/>
  <c r="H54" i="181"/>
  <c r="H54" i="176"/>
  <c r="H54" i="173"/>
  <c r="H54" i="168"/>
  <c r="H54" i="185"/>
  <c r="H54" i="183"/>
  <c r="H54" i="180"/>
  <c r="H54" i="178"/>
  <c r="H54" i="175"/>
  <c r="H54" i="170"/>
  <c r="H54" i="179"/>
  <c r="H54" i="165"/>
  <c r="H54" i="188"/>
  <c r="H54" i="186"/>
  <c r="H54" i="174"/>
  <c r="H54" i="169"/>
  <c r="H54" i="189"/>
  <c r="H54" i="194"/>
  <c r="H54" i="187"/>
  <c r="H54" i="172"/>
  <c r="H54" i="167"/>
  <c r="H54" i="191"/>
  <c r="H54" i="164"/>
  <c r="H54" i="159"/>
  <c r="H54" i="161"/>
  <c r="H54" i="118"/>
  <c r="H54" i="163"/>
  <c r="H54" i="158"/>
  <c r="H92" i="198"/>
  <c r="H92" i="194"/>
  <c r="H92" i="191"/>
  <c r="H92" i="190"/>
  <c r="H92" i="188"/>
  <c r="H92" i="183"/>
  <c r="H92" i="180"/>
  <c r="H92" i="175"/>
  <c r="H92" i="187"/>
  <c r="H92" i="172"/>
  <c r="H92" i="167"/>
  <c r="H92" i="181"/>
  <c r="H92" i="179"/>
  <c r="H92" i="176"/>
  <c r="H92" i="174"/>
  <c r="H92" i="169"/>
  <c r="H92" i="189"/>
  <c r="H92" i="186"/>
  <c r="H92" i="184"/>
  <c r="H92" i="178"/>
  <c r="H92" i="165"/>
  <c r="H92" i="164"/>
  <c r="H92" i="185"/>
  <c r="H92" i="173"/>
  <c r="H92" i="168"/>
  <c r="H92" i="170"/>
  <c r="H92" i="163"/>
  <c r="H92" i="161"/>
  <c r="H92" i="159"/>
  <c r="H92" i="158"/>
  <c r="H92" i="118"/>
  <c r="H90" i="198"/>
  <c r="H90" i="189"/>
  <c r="H90" i="185"/>
  <c r="H90" i="181"/>
  <c r="H90" i="179"/>
  <c r="H90" i="178"/>
  <c r="H90" i="176"/>
  <c r="H90" i="191"/>
  <c r="H90" i="186"/>
  <c r="H90" i="169"/>
  <c r="H90" i="168"/>
  <c r="H90" i="165"/>
  <c r="H90" i="194"/>
  <c r="H90" i="190"/>
  <c r="H90" i="183"/>
  <c r="H90" i="180"/>
  <c r="H90" i="175"/>
  <c r="H90" i="172"/>
  <c r="H90" i="164"/>
  <c r="H90" i="174"/>
  <c r="H90" i="167"/>
  <c r="H90" i="184"/>
  <c r="H90" i="173"/>
  <c r="H90" i="188"/>
  <c r="H90" i="187"/>
  <c r="H90" i="170"/>
  <c r="H90" i="159"/>
  <c r="H90" i="163"/>
  <c r="H90" i="161"/>
  <c r="H90" i="158"/>
  <c r="H90" i="118"/>
  <c r="H56" i="191"/>
  <c r="H56" i="194"/>
  <c r="H56" i="190"/>
  <c r="H56" i="188"/>
  <c r="H56" i="187"/>
  <c r="H56" i="186"/>
  <c r="H56" i="183"/>
  <c r="H56" i="180"/>
  <c r="H56" i="175"/>
  <c r="H56" i="184"/>
  <c r="H56" i="174"/>
  <c r="H56" i="172"/>
  <c r="H56" i="167"/>
  <c r="H56" i="189"/>
  <c r="H56" i="181"/>
  <c r="H56" i="179"/>
  <c r="H56" i="176"/>
  <c r="H56" i="173"/>
  <c r="H56" i="170"/>
  <c r="H56" i="169"/>
  <c r="H56" i="178"/>
  <c r="H56" i="168"/>
  <c r="H56" i="185"/>
  <c r="H56" i="165"/>
  <c r="H56" i="164"/>
  <c r="H56" i="163"/>
  <c r="H56" i="161"/>
  <c r="H56" i="159"/>
  <c r="H56" i="118"/>
  <c r="H56" i="158"/>
  <c r="H98" i="198"/>
  <c r="H98" i="190"/>
  <c r="H98" i="194"/>
  <c r="H98" i="189"/>
  <c r="H98" i="187"/>
  <c r="H98" i="186"/>
  <c r="H98" i="185"/>
  <c r="H98" i="181"/>
  <c r="H98" i="179"/>
  <c r="H98" i="178"/>
  <c r="H98" i="176"/>
  <c r="H98" i="174"/>
  <c r="H98" i="184"/>
  <c r="H98" i="169"/>
  <c r="H98" i="168"/>
  <c r="H98" i="165"/>
  <c r="H98" i="183"/>
  <c r="H98" i="180"/>
  <c r="H98" i="175"/>
  <c r="H98" i="173"/>
  <c r="H98" i="172"/>
  <c r="H98" i="188"/>
  <c r="H98" i="170"/>
  <c r="H98" i="167"/>
  <c r="H98" i="191"/>
  <c r="H98" i="164"/>
  <c r="H98" i="163"/>
  <c r="H98" i="161"/>
  <c r="H98" i="159"/>
  <c r="H98" i="158"/>
  <c r="H98" i="118"/>
  <c r="H64" i="198"/>
  <c r="H64" i="194"/>
  <c r="H64" i="189"/>
  <c r="H64" i="185"/>
  <c r="H64" i="181"/>
  <c r="H64" i="179"/>
  <c r="H64" i="178"/>
  <c r="H64" i="176"/>
  <c r="H64" i="191"/>
  <c r="H64" i="169"/>
  <c r="H64" i="168"/>
  <c r="H64" i="165"/>
  <c r="H64" i="183"/>
  <c r="H64" i="180"/>
  <c r="H64" i="175"/>
  <c r="H64" i="170"/>
  <c r="H64" i="188"/>
  <c r="H64" i="173"/>
  <c r="H64" i="172"/>
  <c r="H64" i="174"/>
  <c r="H64" i="167"/>
  <c r="H64" i="190"/>
  <c r="H64" i="186"/>
  <c r="H64" i="187"/>
  <c r="H64" i="184"/>
  <c r="H64" i="164"/>
  <c r="H64" i="161"/>
  <c r="H64" i="163"/>
  <c r="H64" i="159"/>
  <c r="H64" i="158"/>
  <c r="H64" i="118"/>
  <c r="F86" i="15"/>
  <c r="E86" i="192"/>
  <c r="F86" i="192"/>
  <c r="F56" i="193"/>
  <c r="E56" i="195"/>
  <c r="F56" i="195"/>
  <c r="F90" i="193"/>
  <c r="E90" i="195"/>
  <c r="F90" i="195"/>
  <c r="F75" i="15"/>
  <c r="E75" i="192"/>
  <c r="F75" i="192"/>
  <c r="F77" i="15"/>
  <c r="E77" i="192"/>
  <c r="F77" i="192"/>
  <c r="F77" i="193"/>
  <c r="E77" i="195"/>
  <c r="F77" i="195"/>
  <c r="F78" i="193"/>
  <c r="E78" i="195"/>
  <c r="F78" i="195"/>
  <c r="F54" i="193"/>
  <c r="E54" i="195"/>
  <c r="F54" i="195"/>
  <c r="F65" i="15"/>
  <c r="E65" i="192"/>
  <c r="F65" i="192"/>
  <c r="F64" i="15"/>
  <c r="E64" i="192"/>
  <c r="F64" i="192"/>
  <c r="F98" i="15"/>
  <c r="E98" i="192"/>
  <c r="F98" i="192"/>
  <c r="F70" i="193"/>
  <c r="E70" i="195"/>
  <c r="F70" i="195"/>
  <c r="F66" i="15"/>
  <c r="E66" i="192"/>
  <c r="F66" i="192"/>
  <c r="F68" i="15"/>
  <c r="E68" i="192"/>
  <c r="F68" i="192"/>
  <c r="H99" i="198"/>
  <c r="H99" i="189"/>
  <c r="H99" i="188"/>
  <c r="H99" i="185"/>
  <c r="H99" i="184"/>
  <c r="H99" i="181"/>
  <c r="H99" i="179"/>
  <c r="H99" i="176"/>
  <c r="H99" i="174"/>
  <c r="H99" i="172"/>
  <c r="H99" i="169"/>
  <c r="H99" i="167"/>
  <c r="H99" i="164"/>
  <c r="H99" i="194"/>
  <c r="H99" i="186"/>
  <c r="H99" i="187"/>
  <c r="H99" i="190"/>
  <c r="H99" i="191"/>
  <c r="H99" i="183"/>
  <c r="H99" i="180"/>
  <c r="H99" i="178"/>
  <c r="H99" i="175"/>
  <c r="H99" i="173"/>
  <c r="H99" i="170"/>
  <c r="H99" i="168"/>
  <c r="H99" i="165"/>
  <c r="H99" i="159"/>
  <c r="H99" i="118"/>
  <c r="H99" i="161"/>
  <c r="H99" i="163"/>
  <c r="H99" i="158"/>
  <c r="F99" i="193"/>
  <c r="E99" i="195"/>
  <c r="F99" i="195"/>
  <c r="F99" i="15"/>
  <c r="E99" i="192"/>
  <c r="F99" i="192"/>
  <c r="I116" i="191"/>
  <c r="J116" i="191"/>
  <c r="J111" i="191"/>
  <c r="K97" i="192"/>
  <c r="H52" i="198"/>
  <c r="H112" i="192"/>
  <c r="G112" i="198"/>
  <c r="H112" i="198"/>
  <c r="N25" i="191"/>
  <c r="N28" i="191"/>
  <c r="N38" i="191"/>
  <c r="N42" i="191"/>
  <c r="N46" i="191"/>
  <c r="N21" i="191"/>
  <c r="N26" i="191"/>
  <c r="N39" i="191"/>
  <c r="N43" i="191"/>
  <c r="N23" i="191"/>
  <c r="N27" i="191"/>
  <c r="N36" i="191"/>
  <c r="N40" i="191"/>
  <c r="N44" i="191"/>
  <c r="N24" i="191"/>
  <c r="N32" i="191"/>
  <c r="N37" i="191"/>
  <c r="N41" i="191"/>
  <c r="N45" i="191"/>
  <c r="N113" i="191"/>
  <c r="N114" i="191"/>
  <c r="N115" i="191"/>
  <c r="N20" i="191"/>
  <c r="H111" i="192"/>
  <c r="G116" i="192"/>
  <c r="H116" i="192"/>
  <c r="G111" i="198"/>
  <c r="O28" i="191"/>
  <c r="N19" i="191"/>
  <c r="E116" i="198"/>
  <c r="F111" i="198"/>
  <c r="J112" i="191"/>
  <c r="K111" i="191"/>
  <c r="K112" i="191"/>
  <c r="H105" i="177"/>
  <c r="G107" i="177"/>
  <c r="H107" i="177"/>
  <c r="F116" i="198"/>
  <c r="H105" i="197"/>
  <c r="G107" i="197"/>
  <c r="H107" i="197"/>
  <c r="P95" i="191"/>
  <c r="P89" i="191"/>
  <c r="P83" i="191"/>
  <c r="P79" i="191"/>
  <c r="P71" i="191"/>
  <c r="P60" i="191"/>
  <c r="P57" i="191"/>
  <c r="P94" i="191"/>
  <c r="P87" i="191"/>
  <c r="P82" i="191"/>
  <c r="P74" i="191"/>
  <c r="P69" i="191"/>
  <c r="P58" i="191"/>
  <c r="P96" i="191"/>
  <c r="P93" i="191"/>
  <c r="P84" i="191"/>
  <c r="P81" i="191"/>
  <c r="P72" i="191"/>
  <c r="P62" i="191"/>
  <c r="P61" i="191"/>
  <c r="P52" i="191"/>
  <c r="P53" i="191"/>
  <c r="P80" i="191"/>
  <c r="P91" i="191"/>
  <c r="P73" i="191"/>
  <c r="P85" i="191"/>
  <c r="P97" i="191"/>
  <c r="P59" i="191"/>
  <c r="H64" i="15"/>
  <c r="G64" i="192"/>
  <c r="H64" i="192"/>
  <c r="H98" i="193"/>
  <c r="G98" i="195"/>
  <c r="H98" i="195"/>
  <c r="H90" i="193"/>
  <c r="G90" i="195"/>
  <c r="H90" i="195"/>
  <c r="H77" i="15"/>
  <c r="G77" i="192"/>
  <c r="H77" i="192"/>
  <c r="H77" i="193"/>
  <c r="G77" i="195"/>
  <c r="H77" i="195"/>
  <c r="H75" i="193"/>
  <c r="G75" i="195"/>
  <c r="H75" i="195"/>
  <c r="H103" i="15"/>
  <c r="G103" i="192"/>
  <c r="H103" i="192"/>
  <c r="H104" i="15"/>
  <c r="G104" i="192"/>
  <c r="H104" i="192"/>
  <c r="H88" i="193"/>
  <c r="G88" i="195"/>
  <c r="H88" i="195"/>
  <c r="H98" i="15"/>
  <c r="G98" i="192"/>
  <c r="H98" i="192"/>
  <c r="H56" i="15"/>
  <c r="G56" i="192"/>
  <c r="H56" i="192"/>
  <c r="H68" i="193"/>
  <c r="G68" i="195"/>
  <c r="H68" i="195"/>
  <c r="H65" i="193"/>
  <c r="G65" i="195"/>
  <c r="H65" i="195"/>
  <c r="H66" i="193"/>
  <c r="G66" i="195"/>
  <c r="H66" i="195"/>
  <c r="H86" i="193"/>
  <c r="G86" i="195"/>
  <c r="H86" i="195"/>
  <c r="H75" i="15"/>
  <c r="G75" i="192"/>
  <c r="H75" i="192"/>
  <c r="H76" i="193"/>
  <c r="G76" i="195"/>
  <c r="H76" i="195"/>
  <c r="H70" i="193"/>
  <c r="G70" i="195"/>
  <c r="H70" i="195"/>
  <c r="H103" i="193"/>
  <c r="G103" i="195"/>
  <c r="H103" i="195"/>
  <c r="H104" i="193"/>
  <c r="G104" i="195"/>
  <c r="H104" i="195"/>
  <c r="H56" i="193"/>
  <c r="G56" i="195"/>
  <c r="H56" i="195"/>
  <c r="H68" i="15"/>
  <c r="G68" i="192"/>
  <c r="H68" i="192"/>
  <c r="H66" i="15"/>
  <c r="G66" i="192"/>
  <c r="H66" i="192"/>
  <c r="H90" i="15"/>
  <c r="G90" i="192"/>
  <c r="H90" i="192"/>
  <c r="H92" i="15"/>
  <c r="G92" i="192"/>
  <c r="H92" i="192"/>
  <c r="H92" i="193"/>
  <c r="G92" i="195"/>
  <c r="H92" i="195"/>
  <c r="H54" i="193"/>
  <c r="G54" i="195"/>
  <c r="H54" i="195"/>
  <c r="H100" i="15"/>
  <c r="G100" i="192"/>
  <c r="H100" i="192"/>
  <c r="H67" i="15"/>
  <c r="G67" i="192"/>
  <c r="H67" i="192"/>
  <c r="H76" i="15"/>
  <c r="G76" i="192"/>
  <c r="H76" i="192"/>
  <c r="H88" i="15"/>
  <c r="G88" i="192"/>
  <c r="H88" i="192"/>
  <c r="H78" i="193"/>
  <c r="G78" i="195"/>
  <c r="H78" i="195"/>
  <c r="H64" i="193"/>
  <c r="G64" i="195"/>
  <c r="H64" i="195"/>
  <c r="H54" i="15"/>
  <c r="G54" i="192"/>
  <c r="H54" i="192"/>
  <c r="H65" i="15"/>
  <c r="G65" i="192"/>
  <c r="H65" i="192"/>
  <c r="H100" i="193"/>
  <c r="G100" i="195"/>
  <c r="H100" i="195"/>
  <c r="H67" i="193"/>
  <c r="G67" i="195"/>
  <c r="H67" i="195"/>
  <c r="H86" i="15"/>
  <c r="G86" i="192"/>
  <c r="H86" i="192"/>
  <c r="H70" i="15"/>
  <c r="G70" i="192"/>
  <c r="H70" i="192"/>
  <c r="H78" i="15"/>
  <c r="G78" i="192"/>
  <c r="H78" i="192"/>
  <c r="H99" i="15"/>
  <c r="G99" i="192"/>
  <c r="H99" i="192"/>
  <c r="H99" i="193"/>
  <c r="G99" i="195"/>
  <c r="H99" i="195"/>
  <c r="P19" i="191"/>
  <c r="H111" i="198"/>
  <c r="G116" i="198"/>
  <c r="H116" i="198"/>
  <c r="P24" i="191"/>
  <c r="P32" i="191"/>
  <c r="P37" i="191"/>
  <c r="P41" i="191"/>
  <c r="P45" i="191"/>
  <c r="P25" i="191"/>
  <c r="P38" i="191"/>
  <c r="P42" i="191"/>
  <c r="P46" i="191"/>
  <c r="P21" i="191"/>
  <c r="P26" i="191"/>
  <c r="P28" i="191"/>
  <c r="P39" i="191"/>
  <c r="P43" i="191"/>
  <c r="P23" i="191"/>
  <c r="P27" i="191"/>
  <c r="P36" i="191"/>
  <c r="P40" i="191"/>
  <c r="P44" i="191"/>
  <c r="P115" i="191"/>
  <c r="P113" i="191"/>
  <c r="P114" i="191"/>
  <c r="P20" i="191"/>
  <c r="L112" i="191"/>
  <c r="Q28" i="191"/>
  <c r="R19" i="191"/>
  <c r="M112" i="191"/>
  <c r="L111" i="191"/>
  <c r="K116" i="191"/>
  <c r="L116" i="191"/>
  <c r="M97" i="192"/>
  <c r="M111" i="191"/>
  <c r="R94" i="191"/>
  <c r="R87" i="191"/>
  <c r="R82" i="191"/>
  <c r="R74" i="191"/>
  <c r="R69" i="191"/>
  <c r="R53" i="191"/>
  <c r="R93" i="191"/>
  <c r="R85" i="191"/>
  <c r="R81" i="191"/>
  <c r="R73" i="191"/>
  <c r="R62" i="191"/>
  <c r="R96" i="191"/>
  <c r="R84" i="191"/>
  <c r="R72" i="191"/>
  <c r="R61" i="191"/>
  <c r="R60" i="191"/>
  <c r="R52" i="191"/>
  <c r="R89" i="191"/>
  <c r="R79" i="191"/>
  <c r="R91" i="191"/>
  <c r="R80" i="191"/>
  <c r="R71" i="191"/>
  <c r="R58" i="191"/>
  <c r="R57" i="191"/>
  <c r="R83" i="191"/>
  <c r="R95" i="191"/>
  <c r="R97" i="191"/>
  <c r="R59" i="191"/>
  <c r="N112" i="191"/>
  <c r="O112" i="191"/>
  <c r="M116" i="191"/>
  <c r="N116" i="191"/>
  <c r="N111" i="191"/>
  <c r="R23" i="191"/>
  <c r="R27" i="191"/>
  <c r="R28" i="191"/>
  <c r="R36" i="191"/>
  <c r="R40" i="191"/>
  <c r="R44" i="191"/>
  <c r="R24" i="191"/>
  <c r="R32" i="191"/>
  <c r="R37" i="191"/>
  <c r="R41" i="191"/>
  <c r="R45" i="191"/>
  <c r="R25" i="191"/>
  <c r="R38" i="191"/>
  <c r="R42" i="191"/>
  <c r="R46" i="191"/>
  <c r="R21" i="191"/>
  <c r="R26" i="191"/>
  <c r="R39" i="191"/>
  <c r="R43" i="191"/>
  <c r="R114" i="191"/>
  <c r="R115" i="191"/>
  <c r="R113" i="191"/>
  <c r="R20" i="191"/>
  <c r="S28" i="191"/>
  <c r="O97" i="192"/>
  <c r="O111" i="191"/>
  <c r="T93" i="191"/>
  <c r="T85" i="191"/>
  <c r="T81" i="191"/>
  <c r="T73" i="191"/>
  <c r="T62" i="191"/>
  <c r="T52" i="191"/>
  <c r="T96" i="191"/>
  <c r="T91" i="191"/>
  <c r="T84" i="191"/>
  <c r="T80" i="191"/>
  <c r="T72" i="191"/>
  <c r="T94" i="191"/>
  <c r="T89" i="191"/>
  <c r="T82" i="191"/>
  <c r="T79" i="191"/>
  <c r="T69" i="191"/>
  <c r="T53" i="191"/>
  <c r="T95" i="191"/>
  <c r="T87" i="191"/>
  <c r="T83" i="191"/>
  <c r="T74" i="191"/>
  <c r="T71" i="191"/>
  <c r="T58" i="191"/>
  <c r="T57" i="191"/>
  <c r="T61" i="191"/>
  <c r="T60" i="191"/>
  <c r="T97" i="191"/>
  <c r="T59" i="191"/>
  <c r="T19" i="191"/>
  <c r="Q97" i="192"/>
  <c r="Q111" i="191"/>
  <c r="T21" i="191"/>
  <c r="T26" i="191"/>
  <c r="T39" i="191"/>
  <c r="T43" i="191"/>
  <c r="T23" i="191"/>
  <c r="T27" i="191"/>
  <c r="T36" i="191"/>
  <c r="T40" i="191"/>
  <c r="T44" i="191"/>
  <c r="T24" i="191"/>
  <c r="T28" i="191"/>
  <c r="T32" i="191"/>
  <c r="T37" i="191"/>
  <c r="T41" i="191"/>
  <c r="T45" i="191"/>
  <c r="T25" i="191"/>
  <c r="T38" i="191"/>
  <c r="T42" i="191"/>
  <c r="T46" i="191"/>
  <c r="T113" i="191"/>
  <c r="T114" i="191"/>
  <c r="T115" i="191"/>
  <c r="T20" i="191"/>
  <c r="Q112" i="191"/>
  <c r="P111" i="191"/>
  <c r="O116" i="191"/>
  <c r="P116" i="191"/>
  <c r="U28" i="191"/>
  <c r="P112" i="191"/>
  <c r="V19" i="191"/>
  <c r="V59" i="191"/>
  <c r="S112" i="191"/>
  <c r="V25" i="191"/>
  <c r="V28" i="191"/>
  <c r="V38" i="191"/>
  <c r="V42" i="191"/>
  <c r="V46" i="191"/>
  <c r="V21" i="191"/>
  <c r="V26" i="191"/>
  <c r="V39" i="191"/>
  <c r="V43" i="191"/>
  <c r="V23" i="191"/>
  <c r="V27" i="191"/>
  <c r="V36" i="191"/>
  <c r="V40" i="191"/>
  <c r="V44" i="191"/>
  <c r="V24" i="191"/>
  <c r="V32" i="191"/>
  <c r="V37" i="191"/>
  <c r="V41" i="191"/>
  <c r="V45" i="191"/>
  <c r="V113" i="191"/>
  <c r="V114" i="191"/>
  <c r="V115" i="191"/>
  <c r="V20" i="191"/>
  <c r="S97" i="192"/>
  <c r="S111" i="191"/>
  <c r="R112" i="191"/>
  <c r="Q116" i="191"/>
  <c r="R116" i="191"/>
  <c r="R111" i="191"/>
  <c r="V96" i="191"/>
  <c r="V95" i="191"/>
  <c r="V91" i="191"/>
  <c r="V83" i="191"/>
  <c r="V82" i="191"/>
  <c r="V74" i="191"/>
  <c r="V60" i="191"/>
  <c r="V57" i="191"/>
  <c r="V52" i="191"/>
  <c r="T111" i="191"/>
  <c r="S116" i="191"/>
  <c r="T116" i="191"/>
  <c r="V93" i="191"/>
  <c r="V97" i="191"/>
  <c r="U97" i="192"/>
  <c r="V89" i="191"/>
  <c r="V81" i="191"/>
  <c r="V80" i="191"/>
  <c r="V73" i="191"/>
  <c r="V58" i="191"/>
  <c r="V71" i="191"/>
  <c r="V53" i="191"/>
  <c r="V87" i="191"/>
  <c r="V79" i="191"/>
  <c r="V72" i="191"/>
  <c r="V69" i="191"/>
  <c r="V61" i="191"/>
  <c r="V94" i="191"/>
  <c r="V85" i="191"/>
  <c r="V84" i="191"/>
  <c r="V62" i="191"/>
  <c r="U112" i="191"/>
  <c r="U111" i="191"/>
  <c r="T112" i="191"/>
  <c r="V112" i="191"/>
  <c r="U116" i="191"/>
  <c r="V116" i="191"/>
  <c r="V111" i="191"/>
  <c r="G10" i="191"/>
  <c r="G31" i="191"/>
  <c r="H31" i="191"/>
  <c r="G31" i="192"/>
  <c r="H31" i="192"/>
  <c r="G33" i="191"/>
  <c r="H33" i="191"/>
  <c r="G31" i="198"/>
  <c r="G33" i="192"/>
  <c r="I10" i="191"/>
  <c r="I31" i="191"/>
  <c r="J31" i="191"/>
  <c r="I33" i="191"/>
  <c r="J33" i="191"/>
  <c r="H33" i="192"/>
  <c r="G33" i="198"/>
  <c r="H31" i="198"/>
  <c r="H33" i="198"/>
  <c r="K10" i="191"/>
  <c r="K31" i="191"/>
  <c r="L31" i="191"/>
  <c r="M10" i="191"/>
  <c r="M31" i="191"/>
  <c r="M33" i="191"/>
  <c r="K33" i="191"/>
  <c r="N33" i="191"/>
  <c r="N31" i="191"/>
  <c r="L33" i="191"/>
  <c r="O10" i="191"/>
  <c r="O31" i="191"/>
  <c r="O33" i="191"/>
  <c r="P33" i="191"/>
  <c r="P31" i="191"/>
  <c r="Q10" i="191"/>
  <c r="Q31" i="191"/>
  <c r="R31" i="191"/>
  <c r="Q33" i="191"/>
  <c r="R33" i="191"/>
  <c r="S10" i="191"/>
  <c r="S31" i="191"/>
  <c r="T31" i="191"/>
  <c r="U10" i="191"/>
  <c r="U31" i="191"/>
  <c r="U33" i="191"/>
  <c r="V31" i="191"/>
  <c r="S33" i="191"/>
  <c r="T33" i="191"/>
  <c r="V33" i="191"/>
  <c r="U28" i="180"/>
  <c r="V19" i="180"/>
  <c r="V24" i="180"/>
  <c r="U31" i="180"/>
  <c r="V37" i="180"/>
  <c r="V41" i="180"/>
  <c r="V71" i="180"/>
  <c r="V73" i="180"/>
  <c r="V79" i="180"/>
  <c r="V81" i="180"/>
  <c r="V83" i="180"/>
  <c r="V85" i="180"/>
  <c r="V87" i="180"/>
  <c r="V89" i="180"/>
  <c r="V91" i="180"/>
  <c r="V93" i="180"/>
  <c r="V95" i="180"/>
  <c r="V97" i="180"/>
  <c r="V114" i="180"/>
  <c r="V57" i="180"/>
  <c r="V21" i="180"/>
  <c r="V26" i="180"/>
  <c r="V39" i="180"/>
  <c r="V43" i="180"/>
  <c r="V23" i="180"/>
  <c r="V27" i="180"/>
  <c r="V36" i="180"/>
  <c r="V40" i="180"/>
  <c r="V44" i="180"/>
  <c r="V113" i="180"/>
  <c r="V20" i="180"/>
  <c r="V25" i="180"/>
  <c r="V28" i="180"/>
  <c r="V38" i="180"/>
  <c r="V42" i="180"/>
  <c r="V46" i="180"/>
  <c r="V115" i="180"/>
  <c r="V32" i="180"/>
  <c r="U111" i="180"/>
  <c r="V59" i="180"/>
  <c r="V45" i="180"/>
  <c r="V31" i="180"/>
  <c r="U33" i="180"/>
  <c r="V33" i="180"/>
  <c r="V72" i="180"/>
  <c r="V94" i="180"/>
  <c r="V62" i="180"/>
  <c r="U112" i="180"/>
  <c r="U116" i="180"/>
  <c r="V116" i="180"/>
  <c r="V96" i="180"/>
  <c r="V80" i="180"/>
  <c r="V84" i="180"/>
  <c r="V60" i="180"/>
  <c r="V52" i="180"/>
  <c r="V61" i="180"/>
  <c r="V69" i="180"/>
  <c r="V111" i="180"/>
  <c r="V53" i="180"/>
  <c r="V82" i="180"/>
  <c r="V74" i="180"/>
  <c r="V58" i="180"/>
  <c r="V112" i="180"/>
  <c r="D57" i="118"/>
  <c r="D57" i="198"/>
  <c r="D101" i="183"/>
  <c r="D101" i="164"/>
  <c r="D101" i="193"/>
  <c r="C101" i="195"/>
  <c r="D101" i="189"/>
  <c r="D101" i="175"/>
  <c r="D101" i="176"/>
  <c r="D101" i="158"/>
  <c r="D101" i="118"/>
  <c r="D101" i="191"/>
  <c r="D101" i="188"/>
  <c r="D101" i="185"/>
  <c r="D101" i="179"/>
  <c r="D101" i="172"/>
  <c r="D101" i="190"/>
  <c r="D101" i="169"/>
  <c r="D101" i="181"/>
  <c r="D101" i="178"/>
  <c r="D101" i="159"/>
  <c r="D101" i="173"/>
  <c r="D101" i="187"/>
  <c r="D101" i="170"/>
  <c r="D101" i="174"/>
  <c r="D101" i="198"/>
  <c r="D101" i="168"/>
  <c r="D101" i="184"/>
  <c r="D101" i="180"/>
  <c r="D101" i="195"/>
  <c r="D101" i="15"/>
  <c r="C101" i="192"/>
  <c r="D101" i="165"/>
  <c r="D101" i="161"/>
  <c r="D101" i="186"/>
  <c r="D101" i="163"/>
  <c r="D101" i="167"/>
  <c r="D101" i="194"/>
  <c r="D101" i="192"/>
  <c r="F101" i="183"/>
  <c r="F101" i="163"/>
  <c r="F101" i="164"/>
  <c r="F101" i="194"/>
  <c r="F101" i="193"/>
  <c r="E101" i="195"/>
  <c r="F101" i="195"/>
  <c r="F101" i="189"/>
  <c r="F101" i="175"/>
  <c r="F101" i="176"/>
  <c r="F101" i="167"/>
  <c r="F101" i="158"/>
  <c r="F101" i="161"/>
  <c r="F101" i="191"/>
  <c r="F101" i="168"/>
  <c r="F101" i="185"/>
  <c r="F101" i="179"/>
  <c r="F101" i="172"/>
  <c r="F101" i="190"/>
  <c r="F101" i="180"/>
  <c r="F101" i="15"/>
  <c r="F101" i="169"/>
  <c r="F101" i="181"/>
  <c r="F101" i="178"/>
  <c r="F101" i="184"/>
  <c r="F101" i="159"/>
  <c r="F101" i="173"/>
  <c r="F101" i="187"/>
  <c r="F101" i="174"/>
  <c r="F101" i="198"/>
  <c r="F101" i="170"/>
  <c r="F101" i="188"/>
  <c r="F101" i="186"/>
  <c r="E101" i="192"/>
  <c r="F101" i="118"/>
  <c r="F101" i="165"/>
  <c r="F101" i="192"/>
  <c r="H101" i="183"/>
  <c r="H101" i="163"/>
  <c r="H101" i="164"/>
  <c r="H101" i="194"/>
  <c r="H101" i="189"/>
  <c r="H101" i="165"/>
  <c r="H101" i="176"/>
  <c r="H101" i="167"/>
  <c r="H101" i="158"/>
  <c r="H101" i="161"/>
  <c r="H101" i="118"/>
  <c r="H101" i="186"/>
  <c r="H101" i="191"/>
  <c r="H101" i="168"/>
  <c r="H101" i="188"/>
  <c r="H101" i="185"/>
  <c r="H101" i="179"/>
  <c r="H101" i="172"/>
  <c r="H101" i="190"/>
  <c r="H101" i="180"/>
  <c r="H101" i="15"/>
  <c r="H101" i="169"/>
  <c r="H101" i="181"/>
  <c r="H101" i="178"/>
  <c r="H101" i="184"/>
  <c r="H101" i="159"/>
  <c r="H101" i="173"/>
  <c r="H101" i="187"/>
  <c r="H101" i="170"/>
  <c r="H101" i="174"/>
  <c r="H101" i="198"/>
  <c r="G101" i="192"/>
  <c r="H101" i="193"/>
  <c r="G101" i="195"/>
  <c r="H101" i="175"/>
  <c r="H101" i="195"/>
  <c r="H101" i="192"/>
  <c r="D55" i="193"/>
  <c r="F55" i="193"/>
  <c r="H55" i="193"/>
  <c r="J55" i="193"/>
  <c r="L55" i="193"/>
  <c r="N55" i="193"/>
  <c r="P55" i="193"/>
  <c r="R55" i="193"/>
  <c r="T55" i="193"/>
  <c r="V55" i="193"/>
  <c r="D55" i="194"/>
  <c r="C55" i="195"/>
  <c r="D55" i="195"/>
  <c r="F55" i="194"/>
  <c r="E55" i="195"/>
  <c r="F55" i="195"/>
  <c r="H55" i="194"/>
  <c r="G55" i="195"/>
  <c r="H55" i="195"/>
  <c r="J55" i="194"/>
  <c r="I55" i="195"/>
  <c r="J55" i="195"/>
  <c r="L55" i="194"/>
  <c r="K55" i="195"/>
  <c r="L55" i="195"/>
  <c r="N55" i="194"/>
  <c r="M55" i="195"/>
  <c r="N55" i="195"/>
  <c r="P55" i="194"/>
  <c r="O55" i="195"/>
  <c r="P55" i="195"/>
  <c r="R55" i="194"/>
  <c r="Q55" i="195"/>
  <c r="R55" i="195"/>
  <c r="T55" i="194"/>
  <c r="S55" i="195"/>
  <c r="T55" i="195"/>
  <c r="V55" i="194"/>
  <c r="U55" i="195"/>
  <c r="V55" i="195"/>
  <c r="D55" i="164"/>
  <c r="F55" i="164"/>
  <c r="H55" i="164"/>
  <c r="J55" i="164"/>
  <c r="L55" i="164"/>
  <c r="N55" i="164"/>
  <c r="P55" i="164"/>
  <c r="R55" i="164"/>
  <c r="T55" i="164"/>
  <c r="V55" i="164"/>
  <c r="D55" i="118"/>
  <c r="C105" i="118"/>
  <c r="D105" i="118"/>
  <c r="F55" i="118"/>
  <c r="E105" i="118"/>
  <c r="F105" i="118"/>
  <c r="H55" i="118"/>
  <c r="G105" i="118"/>
  <c r="H105" i="118"/>
  <c r="J55" i="118"/>
  <c r="L55" i="118"/>
  <c r="N55" i="118"/>
  <c r="P55" i="118"/>
  <c r="R55" i="118"/>
  <c r="T55" i="118"/>
  <c r="V55" i="118"/>
  <c r="D55" i="15"/>
  <c r="F55" i="15"/>
  <c r="D55" i="158"/>
  <c r="F55" i="158"/>
  <c r="H55" i="158"/>
  <c r="J55" i="158"/>
  <c r="L55" i="158"/>
  <c r="N55" i="158"/>
  <c r="P55" i="158"/>
  <c r="R55" i="158"/>
  <c r="T55" i="158"/>
  <c r="V55" i="158"/>
  <c r="D55" i="161"/>
  <c r="C107" i="118"/>
  <c r="D107" i="118"/>
  <c r="E107" i="118"/>
  <c r="F107" i="118"/>
  <c r="G107" i="118"/>
  <c r="H107" i="118"/>
  <c r="F55" i="161"/>
  <c r="H55" i="161"/>
  <c r="J55" i="161"/>
  <c r="L55" i="161"/>
  <c r="N55" i="161"/>
  <c r="P55" i="161"/>
  <c r="R55" i="161"/>
  <c r="T55" i="161"/>
  <c r="V55" i="161"/>
  <c r="D55" i="181"/>
  <c r="F55" i="181"/>
  <c r="H55" i="181"/>
  <c r="J55" i="181"/>
  <c r="L55" i="181"/>
  <c r="N55" i="181"/>
  <c r="P55" i="181"/>
  <c r="R55" i="181"/>
  <c r="T55" i="181"/>
  <c r="V55" i="181"/>
  <c r="F55" i="183"/>
  <c r="H55" i="183"/>
  <c r="J55" i="183"/>
  <c r="L55" i="183"/>
  <c r="N55" i="183"/>
  <c r="P55" i="183"/>
  <c r="R55" i="183"/>
  <c r="T55" i="183"/>
  <c r="V55" i="183"/>
  <c r="D55" i="186"/>
  <c r="F55" i="186"/>
  <c r="H55" i="186"/>
  <c r="J55" i="186"/>
  <c r="L55" i="186"/>
  <c r="N55" i="186"/>
  <c r="P55" i="186"/>
  <c r="R55" i="186"/>
  <c r="T55" i="186"/>
  <c r="V55" i="186"/>
  <c r="F55" i="188"/>
  <c r="H55" i="188"/>
  <c r="J55" i="188"/>
  <c r="L55" i="188"/>
  <c r="N55" i="188"/>
  <c r="P55" i="188"/>
  <c r="R55" i="188"/>
  <c r="T55" i="188"/>
  <c r="V55" i="188"/>
  <c r="H55" i="191"/>
  <c r="J55" i="191"/>
  <c r="L55" i="191"/>
  <c r="N55" i="191"/>
  <c r="P55" i="191"/>
  <c r="R55" i="191"/>
  <c r="T55" i="191"/>
  <c r="V55" i="191"/>
  <c r="D102" i="183"/>
  <c r="D102" i="163"/>
  <c r="C105" i="163"/>
  <c r="D105" i="163"/>
  <c r="D102" i="164"/>
  <c r="D102" i="194"/>
  <c r="C105" i="194"/>
  <c r="D102" i="193"/>
  <c r="D102" i="189"/>
  <c r="D102" i="175"/>
  <c r="C105" i="175"/>
  <c r="D105" i="175"/>
  <c r="D102" i="165"/>
  <c r="D102" i="167"/>
  <c r="D102" i="158"/>
  <c r="D102" i="161"/>
  <c r="C105" i="161"/>
  <c r="D105" i="161"/>
  <c r="D102" i="186"/>
  <c r="D102" i="191"/>
  <c r="D102" i="168"/>
  <c r="D102" i="188"/>
  <c r="D102" i="185"/>
  <c r="D102" i="179"/>
  <c r="C105" i="179"/>
  <c r="D105" i="179"/>
  <c r="D102" i="172"/>
  <c r="D102" i="190"/>
  <c r="D102" i="180"/>
  <c r="C105" i="15"/>
  <c r="D102" i="15"/>
  <c r="D102" i="169"/>
  <c r="D102" i="181"/>
  <c r="D102" i="178"/>
  <c r="D102" i="184"/>
  <c r="D102" i="159"/>
  <c r="D102" i="187"/>
  <c r="C105" i="187"/>
  <c r="C107" i="187"/>
  <c r="D107" i="187"/>
  <c r="D102" i="170"/>
  <c r="D102" i="174"/>
  <c r="D102" i="198"/>
  <c r="C105" i="185"/>
  <c r="D105" i="185"/>
  <c r="C102" i="195"/>
  <c r="C105" i="180"/>
  <c r="D105" i="180"/>
  <c r="C105" i="186"/>
  <c r="D105" i="186"/>
  <c r="C105" i="158"/>
  <c r="C107" i="158"/>
  <c r="D107" i="158"/>
  <c r="C105" i="189"/>
  <c r="D105" i="189"/>
  <c r="C105" i="193"/>
  <c r="D105" i="193"/>
  <c r="C105" i="164"/>
  <c r="D105" i="164"/>
  <c r="C105" i="170"/>
  <c r="D105" i="170"/>
  <c r="C105" i="184"/>
  <c r="D105" i="184"/>
  <c r="C105" i="181"/>
  <c r="D105" i="181"/>
  <c r="C105" i="172"/>
  <c r="D105" i="172"/>
  <c r="C105" i="168"/>
  <c r="D105" i="168"/>
  <c r="C105" i="174"/>
  <c r="D105" i="174"/>
  <c r="C105" i="159"/>
  <c r="D105" i="159"/>
  <c r="C105" i="178"/>
  <c r="D105" i="178"/>
  <c r="C105" i="167"/>
  <c r="D105" i="167"/>
  <c r="C107" i="179"/>
  <c r="D107" i="179"/>
  <c r="C107" i="175"/>
  <c r="D107" i="175"/>
  <c r="D105" i="187"/>
  <c r="C107" i="163"/>
  <c r="D107" i="163"/>
  <c r="C107" i="161"/>
  <c r="D107" i="161"/>
  <c r="D102" i="173"/>
  <c r="C105" i="173"/>
  <c r="C107" i="15"/>
  <c r="D107" i="15"/>
  <c r="D105" i="15"/>
  <c r="C105" i="169"/>
  <c r="C107" i="168"/>
  <c r="D107" i="168"/>
  <c r="C102" i="192"/>
  <c r="D102" i="192"/>
  <c r="D102" i="176"/>
  <c r="C105" i="176"/>
  <c r="C105" i="165"/>
  <c r="D105" i="194"/>
  <c r="C107" i="194"/>
  <c r="D107" i="194"/>
  <c r="C107" i="193"/>
  <c r="D107" i="193"/>
  <c r="C107" i="189"/>
  <c r="D107" i="189"/>
  <c r="C107" i="185"/>
  <c r="D107" i="185"/>
  <c r="C107" i="184"/>
  <c r="D107" i="184"/>
  <c r="C107" i="181"/>
  <c r="D107" i="181"/>
  <c r="C107" i="180"/>
  <c r="D107" i="180"/>
  <c r="C107" i="174"/>
  <c r="D107" i="174"/>
  <c r="C107" i="170"/>
  <c r="D107" i="170"/>
  <c r="C107" i="167"/>
  <c r="D107" i="167"/>
  <c r="C107" i="159"/>
  <c r="D107" i="159"/>
  <c r="D105" i="158"/>
  <c r="C107" i="186"/>
  <c r="D107" i="186"/>
  <c r="C107" i="172"/>
  <c r="D107" i="172"/>
  <c r="C107" i="164"/>
  <c r="D107" i="164"/>
  <c r="C107" i="178"/>
  <c r="D107" i="178"/>
  <c r="D102" i="195"/>
  <c r="C105" i="195"/>
  <c r="C107" i="173"/>
  <c r="D107" i="173"/>
  <c r="D105" i="173"/>
  <c r="D105" i="169"/>
  <c r="C107" i="169"/>
  <c r="D107" i="169"/>
  <c r="D105" i="165"/>
  <c r="C107" i="165"/>
  <c r="D107" i="165"/>
  <c r="D105" i="176"/>
  <c r="C107" i="176"/>
  <c r="D107" i="176"/>
  <c r="F102" i="183"/>
  <c r="H102" i="183"/>
  <c r="F102" i="163"/>
  <c r="H102" i="163"/>
  <c r="F102" i="164"/>
  <c r="H102" i="164"/>
  <c r="F102" i="194"/>
  <c r="H102" i="194"/>
  <c r="G105" i="193"/>
  <c r="F102" i="189"/>
  <c r="F102" i="175"/>
  <c r="H102" i="175"/>
  <c r="F102" i="165"/>
  <c r="H102" i="176"/>
  <c r="F102" i="167"/>
  <c r="H102" i="167"/>
  <c r="E105" i="158"/>
  <c r="F105" i="158"/>
  <c r="H102" i="158"/>
  <c r="F102" i="161"/>
  <c r="H102" i="161"/>
  <c r="F102" i="186"/>
  <c r="G105" i="186"/>
  <c r="F102" i="191"/>
  <c r="H102" i="191"/>
  <c r="F102" i="168"/>
  <c r="H102" i="168"/>
  <c r="F102" i="188"/>
  <c r="H102" i="188"/>
  <c r="F102" i="185"/>
  <c r="H102" i="185"/>
  <c r="F102" i="179"/>
  <c r="E105" i="172"/>
  <c r="H102" i="172"/>
  <c r="F102" i="190"/>
  <c r="H102" i="190"/>
  <c r="F102" i="180"/>
  <c r="H102" i="180"/>
  <c r="F102" i="15"/>
  <c r="H102" i="15"/>
  <c r="E105" i="169"/>
  <c r="F105" i="169"/>
  <c r="H102" i="169"/>
  <c r="E105" i="181"/>
  <c r="F105" i="181"/>
  <c r="H102" i="181"/>
  <c r="F102" i="178"/>
  <c r="H102" i="178"/>
  <c r="F102" i="184"/>
  <c r="G105" i="184"/>
  <c r="E105" i="159"/>
  <c r="F105" i="159"/>
  <c r="G105" i="159"/>
  <c r="H105" i="159"/>
  <c r="F102" i="173"/>
  <c r="H102" i="173"/>
  <c r="F102" i="187"/>
  <c r="H102" i="187"/>
  <c r="F102" i="170"/>
  <c r="H102" i="170"/>
  <c r="F102" i="174"/>
  <c r="H102" i="174"/>
  <c r="F102" i="198"/>
  <c r="H102" i="198"/>
  <c r="G105" i="169"/>
  <c r="H105" i="169"/>
  <c r="G105" i="181"/>
  <c r="H105" i="181"/>
  <c r="D105" i="195"/>
  <c r="C107" i="195"/>
  <c r="D107" i="195"/>
  <c r="G105" i="163"/>
  <c r="H105" i="163"/>
  <c r="E105" i="183"/>
  <c r="F105" i="183"/>
  <c r="F102" i="158"/>
  <c r="E105" i="165"/>
  <c r="F105" i="165"/>
  <c r="E105" i="178"/>
  <c r="E107" i="178"/>
  <c r="F107" i="178"/>
  <c r="E105" i="190"/>
  <c r="F105" i="190"/>
  <c r="E105" i="161"/>
  <c r="F105" i="161"/>
  <c r="E105" i="187"/>
  <c r="F105" i="187"/>
  <c r="E105" i="189"/>
  <c r="F105" i="189"/>
  <c r="H102" i="159"/>
  <c r="G105" i="191"/>
  <c r="G107" i="191"/>
  <c r="H107" i="191"/>
  <c r="E105" i="186"/>
  <c r="E107" i="186"/>
  <c r="F107" i="186"/>
  <c r="E105" i="175"/>
  <c r="F105" i="175"/>
  <c r="G105" i="183"/>
  <c r="G107" i="183"/>
  <c r="H107" i="183"/>
  <c r="H102" i="193"/>
  <c r="E105" i="164"/>
  <c r="F105" i="164"/>
  <c r="G105" i="185"/>
  <c r="H105" i="185"/>
  <c r="E105" i="188"/>
  <c r="E107" i="188"/>
  <c r="F107" i="188"/>
  <c r="F102" i="169"/>
  <c r="F102" i="172"/>
  <c r="F102" i="181"/>
  <c r="G105" i="172"/>
  <c r="H105" i="172"/>
  <c r="E107" i="159"/>
  <c r="F107" i="159"/>
  <c r="G105" i="188"/>
  <c r="H105" i="188"/>
  <c r="G105" i="173"/>
  <c r="E105" i="185"/>
  <c r="F105" i="185"/>
  <c r="G102" i="195"/>
  <c r="H102" i="195"/>
  <c r="G105" i="194"/>
  <c r="H105" i="194"/>
  <c r="H102" i="186"/>
  <c r="G105" i="178"/>
  <c r="H105" i="178"/>
  <c r="E105" i="168"/>
  <c r="F105" i="168"/>
  <c r="E105" i="194"/>
  <c r="F105" i="194"/>
  <c r="H102" i="184"/>
  <c r="G105" i="175"/>
  <c r="H105" i="175"/>
  <c r="F105" i="172"/>
  <c r="E107" i="172"/>
  <c r="F107" i="172"/>
  <c r="H105" i="186"/>
  <c r="G107" i="186"/>
  <c r="H107" i="186"/>
  <c r="H105" i="193"/>
  <c r="G107" i="193"/>
  <c r="H107" i="193"/>
  <c r="E105" i="174"/>
  <c r="F105" i="174"/>
  <c r="E107" i="181"/>
  <c r="F107" i="181"/>
  <c r="E107" i="169"/>
  <c r="F107" i="169"/>
  <c r="E105" i="15"/>
  <c r="E105" i="179"/>
  <c r="F105" i="179"/>
  <c r="G105" i="164"/>
  <c r="G107" i="169"/>
  <c r="H107" i="169"/>
  <c r="E105" i="184"/>
  <c r="E107" i="158"/>
  <c r="F107" i="158"/>
  <c r="G105" i="190"/>
  <c r="G105" i="168"/>
  <c r="G107" i="168"/>
  <c r="H107" i="168"/>
  <c r="G105" i="161"/>
  <c r="G105" i="158"/>
  <c r="G107" i="163"/>
  <c r="H107" i="163"/>
  <c r="E105" i="163"/>
  <c r="H105" i="184"/>
  <c r="G107" i="184"/>
  <c r="H107" i="184"/>
  <c r="H102" i="179"/>
  <c r="G105" i="179"/>
  <c r="G105" i="187"/>
  <c r="G102" i="192"/>
  <c r="H102" i="192"/>
  <c r="G105" i="174"/>
  <c r="E105" i="173"/>
  <c r="G107" i="159"/>
  <c r="H107" i="159"/>
  <c r="F102" i="159"/>
  <c r="E102" i="192"/>
  <c r="F102" i="192"/>
  <c r="F102" i="176"/>
  <c r="E105" i="176"/>
  <c r="H102" i="165"/>
  <c r="G105" i="165"/>
  <c r="H102" i="189"/>
  <c r="G105" i="189"/>
  <c r="F102" i="193"/>
  <c r="E105" i="193"/>
  <c r="E102" i="195"/>
  <c r="G107" i="181"/>
  <c r="H107" i="181"/>
  <c r="E107" i="165"/>
  <c r="F107" i="165"/>
  <c r="E107" i="161"/>
  <c r="F107" i="161"/>
  <c r="H105" i="191"/>
  <c r="E107" i="190"/>
  <c r="F107" i="190"/>
  <c r="E107" i="189"/>
  <c r="F107" i="189"/>
  <c r="E107" i="183"/>
  <c r="F107" i="183"/>
  <c r="E107" i="168"/>
  <c r="F107" i="168"/>
  <c r="F105" i="188"/>
  <c r="F105" i="186"/>
  <c r="F105" i="178"/>
  <c r="E107" i="164"/>
  <c r="F107" i="164"/>
  <c r="E107" i="187"/>
  <c r="F107" i="187"/>
  <c r="G105" i="195"/>
  <c r="G107" i="195"/>
  <c r="H107" i="195"/>
  <c r="H105" i="183"/>
  <c r="G107" i="185"/>
  <c r="H107" i="185"/>
  <c r="E107" i="179"/>
  <c r="F107" i="179"/>
  <c r="E107" i="175"/>
  <c r="F107" i="175"/>
  <c r="G107" i="194"/>
  <c r="H107" i="194"/>
  <c r="H105" i="168"/>
  <c r="E107" i="185"/>
  <c r="F107" i="185"/>
  <c r="G107" i="172"/>
  <c r="H107" i="172"/>
  <c r="G107" i="175"/>
  <c r="H107" i="175"/>
  <c r="H105" i="173"/>
  <c r="G107" i="173"/>
  <c r="H107" i="173"/>
  <c r="G107" i="188"/>
  <c r="H107" i="188"/>
  <c r="G107" i="178"/>
  <c r="H107" i="178"/>
  <c r="E107" i="174"/>
  <c r="F107" i="174"/>
  <c r="E107" i="194"/>
  <c r="F107" i="194"/>
  <c r="G107" i="161"/>
  <c r="H107" i="161"/>
  <c r="H105" i="161"/>
  <c r="E107" i="184"/>
  <c r="F107" i="184"/>
  <c r="F105" i="184"/>
  <c r="G107" i="158"/>
  <c r="H107" i="158"/>
  <c r="H105" i="158"/>
  <c r="H105" i="190"/>
  <c r="G107" i="190"/>
  <c r="H107" i="190"/>
  <c r="F105" i="163"/>
  <c r="E107" i="163"/>
  <c r="F107" i="163"/>
  <c r="H105" i="164"/>
  <c r="G107" i="164"/>
  <c r="H107" i="164"/>
  <c r="F105" i="15"/>
  <c r="E107" i="15"/>
  <c r="F107" i="15"/>
  <c r="H105" i="189"/>
  <c r="G107" i="189"/>
  <c r="H107" i="189"/>
  <c r="F105" i="176"/>
  <c r="E107" i="176"/>
  <c r="F107" i="176"/>
  <c r="F105" i="173"/>
  <c r="E107" i="173"/>
  <c r="F107" i="173"/>
  <c r="H105" i="179"/>
  <c r="G107" i="179"/>
  <c r="H107" i="179"/>
  <c r="H105" i="165"/>
  <c r="G107" i="165"/>
  <c r="H107" i="165"/>
  <c r="H105" i="174"/>
  <c r="G107" i="174"/>
  <c r="H107" i="174"/>
  <c r="F105" i="193"/>
  <c r="E107" i="193"/>
  <c r="F107" i="193"/>
  <c r="F102" i="195"/>
  <c r="E105" i="195"/>
  <c r="H105" i="187"/>
  <c r="G107" i="187"/>
  <c r="H107" i="187"/>
  <c r="H105" i="195"/>
  <c r="F105" i="195"/>
  <c r="E107" i="195"/>
  <c r="F107" i="195"/>
  <c r="I10" i="177"/>
  <c r="I31" i="177"/>
  <c r="I33" i="177"/>
  <c r="I31" i="192"/>
  <c r="I28" i="192"/>
  <c r="J19" i="192"/>
  <c r="I28" i="177"/>
  <c r="J31" i="177"/>
  <c r="J63" i="164"/>
  <c r="J63" i="177"/>
  <c r="J19" i="177"/>
  <c r="J63" i="174"/>
  <c r="J63" i="168"/>
  <c r="J63" i="158"/>
  <c r="J63" i="187"/>
  <c r="J63" i="175"/>
  <c r="J63" i="172"/>
  <c r="I31" i="198"/>
  <c r="I33" i="198"/>
  <c r="I33" i="192"/>
  <c r="J33" i="192"/>
  <c r="J63" i="15"/>
  <c r="I111" i="177"/>
  <c r="J59" i="177"/>
  <c r="I59" i="192"/>
  <c r="J102" i="197"/>
  <c r="J24" i="198"/>
  <c r="J38" i="198"/>
  <c r="J21" i="198"/>
  <c r="J25" i="198"/>
  <c r="J28" i="198"/>
  <c r="J42" i="198"/>
  <c r="J46" i="198"/>
  <c r="J63" i="198"/>
  <c r="J99" i="177"/>
  <c r="J103" i="177"/>
  <c r="J37" i="198"/>
  <c r="J40" i="198"/>
  <c r="J100" i="177"/>
  <c r="J23" i="198"/>
  <c r="J26" i="198"/>
  <c r="J32" i="198"/>
  <c r="J36" i="198"/>
  <c r="J39" i="198"/>
  <c r="J41" i="198"/>
  <c r="J45" i="198"/>
  <c r="J56" i="177"/>
  <c r="J68" i="177"/>
  <c r="J70" i="177"/>
  <c r="J86" i="177"/>
  <c r="J88" i="177"/>
  <c r="J27" i="198"/>
  <c r="J44" i="198"/>
  <c r="J104" i="177"/>
  <c r="J20" i="198"/>
  <c r="J43" i="198"/>
  <c r="J54" i="177"/>
  <c r="J65" i="177"/>
  <c r="J97" i="198"/>
  <c r="J63" i="181"/>
  <c r="J63" i="173"/>
  <c r="J20" i="177"/>
  <c r="J25" i="177"/>
  <c r="J38" i="177"/>
  <c r="J42" i="177"/>
  <c r="J46" i="177"/>
  <c r="J24" i="177"/>
  <c r="J32" i="177"/>
  <c r="J33" i="177"/>
  <c r="J37" i="177"/>
  <c r="J41" i="177"/>
  <c r="J45" i="177"/>
  <c r="J55" i="177"/>
  <c r="J67" i="177"/>
  <c r="J75" i="177"/>
  <c r="J77" i="177"/>
  <c r="J97" i="177"/>
  <c r="J21" i="177"/>
  <c r="J26" i="177"/>
  <c r="J39" i="177"/>
  <c r="J43" i="177"/>
  <c r="J64" i="177"/>
  <c r="J66" i="177"/>
  <c r="J76" i="177"/>
  <c r="J78" i="177"/>
  <c r="J90" i="177"/>
  <c r="J92" i="177"/>
  <c r="J40" i="177"/>
  <c r="J23" i="177"/>
  <c r="J114" i="177"/>
  <c r="J28" i="177"/>
  <c r="J44" i="177"/>
  <c r="J115" i="177"/>
  <c r="J36" i="177"/>
  <c r="J27" i="177"/>
  <c r="J113" i="177"/>
  <c r="J98" i="177"/>
  <c r="J101" i="177"/>
  <c r="J63" i="184"/>
  <c r="J63" i="159"/>
  <c r="J63" i="169"/>
  <c r="J63" i="180"/>
  <c r="J63" i="188"/>
  <c r="J63" i="118"/>
  <c r="J63" i="165"/>
  <c r="J63" i="194"/>
  <c r="J21" i="192"/>
  <c r="J26" i="192"/>
  <c r="J39" i="192"/>
  <c r="J43" i="192"/>
  <c r="J24" i="192"/>
  <c r="J32" i="192"/>
  <c r="J37" i="192"/>
  <c r="J41" i="192"/>
  <c r="J45" i="192"/>
  <c r="J23" i="192"/>
  <c r="J27" i="192"/>
  <c r="J28" i="192"/>
  <c r="J36" i="192"/>
  <c r="J40" i="192"/>
  <c r="J44" i="192"/>
  <c r="J115" i="192"/>
  <c r="J31" i="192"/>
  <c r="J38" i="192"/>
  <c r="J114" i="192"/>
  <c r="J97" i="192"/>
  <c r="J20" i="192"/>
  <c r="J42" i="192"/>
  <c r="J113" i="192"/>
  <c r="J46" i="192"/>
  <c r="J25" i="192"/>
  <c r="J19" i="198"/>
  <c r="J63" i="178"/>
  <c r="J63" i="186"/>
  <c r="J63" i="179"/>
  <c r="J63" i="191"/>
  <c r="J63" i="167"/>
  <c r="J63" i="189"/>
  <c r="J63" i="163"/>
  <c r="J63" i="170"/>
  <c r="J63" i="190"/>
  <c r="J63" i="185"/>
  <c r="J63" i="161"/>
  <c r="J63" i="176"/>
  <c r="J63" i="183"/>
  <c r="J31" i="198"/>
  <c r="J33" i="198"/>
  <c r="J102" i="177"/>
  <c r="J63" i="193"/>
  <c r="I63" i="195"/>
  <c r="J63" i="195"/>
  <c r="J84" i="177"/>
  <c r="I84" i="192"/>
  <c r="J96" i="177"/>
  <c r="I96" i="192"/>
  <c r="J80" i="177"/>
  <c r="I80" i="192"/>
  <c r="J94" i="177"/>
  <c r="I94" i="192"/>
  <c r="J62" i="177"/>
  <c r="I112" i="177"/>
  <c r="I116" i="177"/>
  <c r="J116" i="177"/>
  <c r="I62" i="192"/>
  <c r="J93" i="177"/>
  <c r="I93" i="192"/>
  <c r="J85" i="177"/>
  <c r="I85" i="192"/>
  <c r="J69" i="177"/>
  <c r="I69" i="192"/>
  <c r="J61" i="177"/>
  <c r="I61" i="192"/>
  <c r="J75" i="183"/>
  <c r="J75" i="163"/>
  <c r="J75" i="164"/>
  <c r="J75" i="194"/>
  <c r="J75" i="189"/>
  <c r="J75" i="175"/>
  <c r="J75" i="165"/>
  <c r="J75" i="167"/>
  <c r="J75" i="158"/>
  <c r="J75" i="176"/>
  <c r="J75" i="118"/>
  <c r="J75" i="186"/>
  <c r="J75" i="161"/>
  <c r="J75" i="190"/>
  <c r="J75" i="168"/>
  <c r="J75" i="188"/>
  <c r="J75" i="185"/>
  <c r="J75" i="179"/>
  <c r="J75" i="172"/>
  <c r="J75" i="180"/>
  <c r="J75" i="191"/>
  <c r="J75" i="181"/>
  <c r="J75" i="159"/>
  <c r="J75" i="173"/>
  <c r="J75" i="170"/>
  <c r="J75" i="169"/>
  <c r="J75" i="184"/>
  <c r="J75" i="198"/>
  <c r="J75" i="178"/>
  <c r="J75" i="174"/>
  <c r="J75" i="187"/>
  <c r="J98" i="183"/>
  <c r="J98" i="163"/>
  <c r="J98" i="164"/>
  <c r="J98" i="194"/>
  <c r="J98" i="175"/>
  <c r="J98" i="189"/>
  <c r="J98" i="167"/>
  <c r="J98" i="165"/>
  <c r="J98" i="176"/>
  <c r="J98" i="158"/>
  <c r="J98" i="118"/>
  <c r="J98" i="161"/>
  <c r="J98" i="190"/>
  <c r="J98" i="168"/>
  <c r="J98" i="188"/>
  <c r="J98" i="185"/>
  <c r="J98" i="179"/>
  <c r="J98" i="172"/>
  <c r="J98" i="180"/>
  <c r="J98" i="186"/>
  <c r="J98" i="191"/>
  <c r="J98" i="181"/>
  <c r="J98" i="159"/>
  <c r="J98" i="173"/>
  <c r="J98" i="170"/>
  <c r="J98" i="169"/>
  <c r="J98" i="184"/>
  <c r="J98" i="174"/>
  <c r="J98" i="187"/>
  <c r="J98" i="198"/>
  <c r="J98" i="178"/>
  <c r="J92" i="183"/>
  <c r="J92" i="163"/>
  <c r="J92" i="164"/>
  <c r="J92" i="194"/>
  <c r="J92" i="189"/>
  <c r="J92" i="175"/>
  <c r="J92" i="165"/>
  <c r="J92" i="176"/>
  <c r="J92" i="167"/>
  <c r="J92" i="161"/>
  <c r="J92" i="118"/>
  <c r="J92" i="158"/>
  <c r="J92" i="186"/>
  <c r="J92" i="191"/>
  <c r="J92" i="168"/>
  <c r="J92" i="188"/>
  <c r="J92" i="185"/>
  <c r="J92" i="179"/>
  <c r="J92" i="172"/>
  <c r="J92" i="180"/>
  <c r="J92" i="190"/>
  <c r="J92" i="169"/>
  <c r="J92" i="178"/>
  <c r="J92" i="187"/>
  <c r="J92" i="181"/>
  <c r="J92" i="184"/>
  <c r="J92" i="173"/>
  <c r="J92" i="159"/>
  <c r="J92" i="170"/>
  <c r="J92" i="198"/>
  <c r="J92" i="174"/>
  <c r="J78" i="183"/>
  <c r="J78" i="163"/>
  <c r="J78" i="164"/>
  <c r="J78" i="194"/>
  <c r="J78" i="189"/>
  <c r="J78" i="175"/>
  <c r="J78" i="165"/>
  <c r="J78" i="176"/>
  <c r="J78" i="167"/>
  <c r="J78" i="161"/>
  <c r="J78" i="118"/>
  <c r="J78" i="158"/>
  <c r="J78" i="186"/>
  <c r="J78" i="191"/>
  <c r="J78" i="168"/>
  <c r="J78" i="188"/>
  <c r="J78" i="185"/>
  <c r="J78" i="179"/>
  <c r="J78" i="172"/>
  <c r="J78" i="180"/>
  <c r="J78" i="190"/>
  <c r="J78" i="169"/>
  <c r="J78" i="159"/>
  <c r="J78" i="170"/>
  <c r="J78" i="173"/>
  <c r="J78" i="181"/>
  <c r="J78" i="184"/>
  <c r="J78" i="174"/>
  <c r="J78" i="198"/>
  <c r="J78" i="178"/>
  <c r="J78" i="187"/>
  <c r="J66" i="183"/>
  <c r="J66" i="163"/>
  <c r="J66" i="164"/>
  <c r="J66" i="194"/>
  <c r="J66" i="189"/>
  <c r="J66" i="175"/>
  <c r="J66" i="165"/>
  <c r="J66" i="167"/>
  <c r="J66" i="158"/>
  <c r="J66" i="176"/>
  <c r="J66" i="161"/>
  <c r="J66" i="118"/>
  <c r="J66" i="186"/>
  <c r="J66" i="191"/>
  <c r="J66" i="168"/>
  <c r="J66" i="190"/>
  <c r="J66" i="188"/>
  <c r="J66" i="185"/>
  <c r="J66" i="179"/>
  <c r="J66" i="172"/>
  <c r="J66" i="180"/>
  <c r="J66" i="178"/>
  <c r="J66" i="187"/>
  <c r="J66" i="169"/>
  <c r="J66" i="184"/>
  <c r="J66" i="173"/>
  <c r="J66" i="170"/>
  <c r="J66" i="174"/>
  <c r="J66" i="181"/>
  <c r="J66" i="198"/>
  <c r="J66" i="159"/>
  <c r="J99" i="183"/>
  <c r="J99" i="163"/>
  <c r="J99" i="164"/>
  <c r="J99" i="194"/>
  <c r="J99" i="189"/>
  <c r="J99" i="175"/>
  <c r="J99" i="165"/>
  <c r="J99" i="176"/>
  <c r="J99" i="167"/>
  <c r="J99" i="158"/>
  <c r="J99" i="161"/>
  <c r="J99" i="118"/>
  <c r="J99" i="186"/>
  <c r="J99" i="191"/>
  <c r="J99" i="168"/>
  <c r="J99" i="188"/>
  <c r="J99" i="185"/>
  <c r="J99" i="179"/>
  <c r="J99" i="172"/>
  <c r="J99" i="180"/>
  <c r="J99" i="190"/>
  <c r="J99" i="169"/>
  <c r="J99" i="173"/>
  <c r="J99" i="178"/>
  <c r="J99" i="187"/>
  <c r="J99" i="159"/>
  <c r="J99" i="170"/>
  <c r="J99" i="181"/>
  <c r="J99" i="184"/>
  <c r="J99" i="174"/>
  <c r="J99" i="198"/>
  <c r="J60" i="177"/>
  <c r="I60" i="192"/>
  <c r="J67" i="183"/>
  <c r="J67" i="163"/>
  <c r="J67" i="164"/>
  <c r="J67" i="194"/>
  <c r="J67" i="189"/>
  <c r="J67" i="175"/>
  <c r="J67" i="165"/>
  <c r="J67" i="176"/>
  <c r="J67" i="167"/>
  <c r="J67" i="161"/>
  <c r="J67" i="118"/>
  <c r="J67" i="158"/>
  <c r="J67" i="191"/>
  <c r="J67" i="168"/>
  <c r="J67" i="186"/>
  <c r="J67" i="188"/>
  <c r="J67" i="185"/>
  <c r="J67" i="179"/>
  <c r="J67" i="172"/>
  <c r="J67" i="180"/>
  <c r="J67" i="190"/>
  <c r="J67" i="169"/>
  <c r="J67" i="181"/>
  <c r="J67" i="184"/>
  <c r="J67" i="174"/>
  <c r="J67" i="159"/>
  <c r="J67" i="170"/>
  <c r="J67" i="178"/>
  <c r="J67" i="187"/>
  <c r="J67" i="198"/>
  <c r="J67" i="173"/>
  <c r="J76" i="183"/>
  <c r="J76" i="163"/>
  <c r="J76" i="164"/>
  <c r="J76" i="194"/>
  <c r="J76" i="189"/>
  <c r="J76" i="175"/>
  <c r="J76" i="165"/>
  <c r="J76" i="176"/>
  <c r="J76" i="167"/>
  <c r="J76" i="161"/>
  <c r="J76" i="118"/>
  <c r="J76" i="158"/>
  <c r="J76" i="186"/>
  <c r="J76" i="191"/>
  <c r="J76" i="168"/>
  <c r="J76" i="188"/>
  <c r="J76" i="185"/>
  <c r="J76" i="179"/>
  <c r="J76" i="172"/>
  <c r="J76" i="180"/>
  <c r="J76" i="190"/>
  <c r="J76" i="169"/>
  <c r="J76" i="173"/>
  <c r="J76" i="178"/>
  <c r="J76" i="187"/>
  <c r="J76" i="159"/>
  <c r="J76" i="170"/>
  <c r="J76" i="184"/>
  <c r="J76" i="198"/>
  <c r="J76" i="181"/>
  <c r="J76" i="174"/>
  <c r="J95" i="197"/>
  <c r="I105" i="197"/>
  <c r="J82" i="177"/>
  <c r="I82" i="192"/>
  <c r="J74" i="177"/>
  <c r="I74" i="192"/>
  <c r="J58" i="177"/>
  <c r="I58" i="192"/>
  <c r="J89" i="177"/>
  <c r="I89" i="192"/>
  <c r="J81" i="177"/>
  <c r="I81" i="192"/>
  <c r="J73" i="177"/>
  <c r="I73" i="192"/>
  <c r="J65" i="183"/>
  <c r="J65" i="163"/>
  <c r="J65" i="164"/>
  <c r="J65" i="194"/>
  <c r="J65" i="189"/>
  <c r="J65" i="175"/>
  <c r="J65" i="165"/>
  <c r="J65" i="176"/>
  <c r="J65" i="167"/>
  <c r="J65" i="118"/>
  <c r="J65" i="158"/>
  <c r="J65" i="161"/>
  <c r="J65" i="186"/>
  <c r="J65" i="191"/>
  <c r="J65" i="168"/>
  <c r="J65" i="188"/>
  <c r="J65" i="185"/>
  <c r="J65" i="179"/>
  <c r="J65" i="172"/>
  <c r="J65" i="180"/>
  <c r="J65" i="190"/>
  <c r="J65" i="169"/>
  <c r="J65" i="159"/>
  <c r="J65" i="170"/>
  <c r="J65" i="173"/>
  <c r="J65" i="181"/>
  <c r="J65" i="184"/>
  <c r="J65" i="174"/>
  <c r="J65" i="178"/>
  <c r="J65" i="198"/>
  <c r="J65" i="187"/>
  <c r="J104" i="183"/>
  <c r="J104" i="163"/>
  <c r="J104" i="194"/>
  <c r="J104" i="164"/>
  <c r="J104" i="189"/>
  <c r="J104" i="175"/>
  <c r="J104" i="165"/>
  <c r="J104" i="167"/>
  <c r="J104" i="176"/>
  <c r="J104" i="158"/>
  <c r="J104" i="161"/>
  <c r="J104" i="168"/>
  <c r="J104" i="190"/>
  <c r="J104" i="186"/>
  <c r="J104" i="191"/>
  <c r="J104" i="188"/>
  <c r="J104" i="185"/>
  <c r="J104" i="179"/>
  <c r="J104" i="172"/>
  <c r="J104" i="180"/>
  <c r="J104" i="169"/>
  <c r="J104" i="173"/>
  <c r="J104" i="170"/>
  <c r="J104" i="178"/>
  <c r="J104" i="187"/>
  <c r="J104" i="181"/>
  <c r="J104" i="159"/>
  <c r="J104" i="174"/>
  <c r="J104" i="198"/>
  <c r="J104" i="184"/>
  <c r="J88" i="183"/>
  <c r="J88" i="163"/>
  <c r="J88" i="164"/>
  <c r="J88" i="194"/>
  <c r="J88" i="189"/>
  <c r="J88" i="175"/>
  <c r="J88" i="165"/>
  <c r="J88" i="176"/>
  <c r="J88" i="167"/>
  <c r="J88" i="161"/>
  <c r="J88" i="118"/>
  <c r="J88" i="186"/>
  <c r="J88" i="191"/>
  <c r="J88" i="168"/>
  <c r="J88" i="188"/>
  <c r="J88" i="185"/>
  <c r="J88" i="179"/>
  <c r="J88" i="172"/>
  <c r="J88" i="180"/>
  <c r="J88" i="158"/>
  <c r="J88" i="190"/>
  <c r="J88" i="169"/>
  <c r="J88" i="181"/>
  <c r="J88" i="184"/>
  <c r="J88" i="159"/>
  <c r="J88" i="170"/>
  <c r="J88" i="178"/>
  <c r="J88" i="187"/>
  <c r="J88" i="173"/>
  <c r="J88" i="174"/>
  <c r="J88" i="198"/>
  <c r="J70" i="183"/>
  <c r="J70" i="163"/>
  <c r="J70" i="164"/>
  <c r="J70" i="194"/>
  <c r="J70" i="189"/>
  <c r="J70" i="175"/>
  <c r="J70" i="165"/>
  <c r="J70" i="176"/>
  <c r="J70" i="167"/>
  <c r="J70" i="161"/>
  <c r="J70" i="118"/>
  <c r="J70" i="158"/>
  <c r="J70" i="186"/>
  <c r="J70" i="191"/>
  <c r="J70" i="168"/>
  <c r="J70" i="188"/>
  <c r="J70" i="185"/>
  <c r="J70" i="179"/>
  <c r="J70" i="172"/>
  <c r="J70" i="180"/>
  <c r="J70" i="190"/>
  <c r="J70" i="169"/>
  <c r="J70" i="178"/>
  <c r="J70" i="187"/>
  <c r="J70" i="181"/>
  <c r="J70" i="184"/>
  <c r="J70" i="173"/>
  <c r="J70" i="198"/>
  <c r="J70" i="159"/>
  <c r="J70" i="170"/>
  <c r="J70" i="174"/>
  <c r="J56" i="183"/>
  <c r="J56" i="163"/>
  <c r="J56" i="164"/>
  <c r="J56" i="194"/>
  <c r="J56" i="189"/>
  <c r="J56" i="175"/>
  <c r="J56" i="165"/>
  <c r="J56" i="167"/>
  <c r="J56" i="158"/>
  <c r="J56" i="176"/>
  <c r="J56" i="118"/>
  <c r="J56" i="186"/>
  <c r="J56" i="161"/>
  <c r="J56" i="188"/>
  <c r="J56" i="190"/>
  <c r="J56" i="168"/>
  <c r="J56" i="185"/>
  <c r="J56" i="179"/>
  <c r="J56" i="172"/>
  <c r="J56" i="180"/>
  <c r="J56" i="181"/>
  <c r="J56" i="159"/>
  <c r="J56" i="174"/>
  <c r="J56" i="173"/>
  <c r="J56" i="170"/>
  <c r="J56" i="191"/>
  <c r="J56" i="169"/>
  <c r="J56" i="184"/>
  <c r="J56" i="178"/>
  <c r="J56" i="187"/>
  <c r="J56" i="198"/>
  <c r="I63" i="192"/>
  <c r="J63" i="192"/>
  <c r="J52" i="177"/>
  <c r="I105" i="177"/>
  <c r="I52" i="192"/>
  <c r="J91" i="177"/>
  <c r="I91" i="192"/>
  <c r="J83" i="177"/>
  <c r="I83" i="192"/>
  <c r="J57" i="177"/>
  <c r="I57" i="192"/>
  <c r="J90" i="183"/>
  <c r="J90" i="163"/>
  <c r="J90" i="164"/>
  <c r="J90" i="194"/>
  <c r="J90" i="189"/>
  <c r="J90" i="175"/>
  <c r="J90" i="165"/>
  <c r="J90" i="167"/>
  <c r="J90" i="176"/>
  <c r="J90" i="158"/>
  <c r="J90" i="161"/>
  <c r="J90" i="118"/>
  <c r="J90" i="168"/>
  <c r="J90" i="190"/>
  <c r="J90" i="186"/>
  <c r="J90" i="191"/>
  <c r="J90" i="188"/>
  <c r="J90" i="185"/>
  <c r="J90" i="179"/>
  <c r="J90" i="172"/>
  <c r="J90" i="180"/>
  <c r="J90" i="169"/>
  <c r="J90" i="173"/>
  <c r="J90" i="170"/>
  <c r="J90" i="178"/>
  <c r="J90" i="187"/>
  <c r="J90" i="181"/>
  <c r="J90" i="159"/>
  <c r="J90" i="174"/>
  <c r="J90" i="184"/>
  <c r="J90" i="198"/>
  <c r="J64" i="183"/>
  <c r="J64" i="163"/>
  <c r="J64" i="164"/>
  <c r="J64" i="194"/>
  <c r="J64" i="189"/>
  <c r="J64" i="175"/>
  <c r="J64" i="167"/>
  <c r="J64" i="158"/>
  <c r="J64" i="176"/>
  <c r="J64" i="165"/>
  <c r="J64" i="161"/>
  <c r="J64" i="186"/>
  <c r="J64" i="191"/>
  <c r="J64" i="190"/>
  <c r="J64" i="118"/>
  <c r="J64" i="188"/>
  <c r="J64" i="185"/>
  <c r="J64" i="179"/>
  <c r="J64" i="172"/>
  <c r="J64" i="180"/>
  <c r="J64" i="168"/>
  <c r="J64" i="184"/>
  <c r="J64" i="181"/>
  <c r="J64" i="159"/>
  <c r="J64" i="174"/>
  <c r="J64" i="178"/>
  <c r="J64" i="187"/>
  <c r="J64" i="198"/>
  <c r="J64" i="169"/>
  <c r="J64" i="173"/>
  <c r="J64" i="170"/>
  <c r="J111" i="177"/>
  <c r="I111" i="192"/>
  <c r="J72" i="177"/>
  <c r="I72" i="192"/>
  <c r="J95" i="177"/>
  <c r="I95" i="192"/>
  <c r="J87" i="177"/>
  <c r="I87" i="192"/>
  <c r="J79" i="177"/>
  <c r="I79" i="192"/>
  <c r="J71" i="177"/>
  <c r="I71" i="192"/>
  <c r="J53" i="177"/>
  <c r="I53" i="192"/>
  <c r="J77" i="183"/>
  <c r="J77" i="163"/>
  <c r="J77" i="164"/>
  <c r="J77" i="194"/>
  <c r="J77" i="189"/>
  <c r="J77" i="175"/>
  <c r="J77" i="165"/>
  <c r="J77" i="167"/>
  <c r="J77" i="158"/>
  <c r="J77" i="176"/>
  <c r="J77" i="161"/>
  <c r="J77" i="191"/>
  <c r="J77" i="190"/>
  <c r="J77" i="186"/>
  <c r="J77" i="188"/>
  <c r="J77" i="185"/>
  <c r="J77" i="179"/>
  <c r="J77" i="172"/>
  <c r="J77" i="180"/>
  <c r="J77" i="184"/>
  <c r="J77" i="118"/>
  <c r="J77" i="181"/>
  <c r="J77" i="159"/>
  <c r="J77" i="168"/>
  <c r="J77" i="178"/>
  <c r="J77" i="187"/>
  <c r="J77" i="169"/>
  <c r="J77" i="198"/>
  <c r="J77" i="173"/>
  <c r="J77" i="170"/>
  <c r="J77" i="174"/>
  <c r="J54" i="198"/>
  <c r="J102" i="183"/>
  <c r="J102" i="163"/>
  <c r="J102" i="164"/>
  <c r="J102" i="194"/>
  <c r="J102" i="189"/>
  <c r="J102" i="165"/>
  <c r="J102" i="167"/>
  <c r="J102" i="175"/>
  <c r="J102" i="176"/>
  <c r="J102" i="158"/>
  <c r="J102" i="161"/>
  <c r="J102" i="186"/>
  <c r="J102" i="191"/>
  <c r="J102" i="168"/>
  <c r="J102" i="190"/>
  <c r="J102" i="188"/>
  <c r="J102" i="185"/>
  <c r="J102" i="179"/>
  <c r="J102" i="172"/>
  <c r="J102" i="180"/>
  <c r="J102" i="178"/>
  <c r="J102" i="187"/>
  <c r="J102" i="169"/>
  <c r="J102" i="184"/>
  <c r="J102" i="173"/>
  <c r="J102" i="170"/>
  <c r="J102" i="181"/>
  <c r="J102" i="174"/>
  <c r="J102" i="159"/>
  <c r="J102" i="198"/>
  <c r="J86" i="183"/>
  <c r="J86" i="163"/>
  <c r="J86" i="194"/>
  <c r="J86" i="164"/>
  <c r="J86" i="189"/>
  <c r="J86" i="165"/>
  <c r="J86" i="167"/>
  <c r="J86" i="176"/>
  <c r="J86" i="175"/>
  <c r="J86" i="158"/>
  <c r="J86" i="118"/>
  <c r="J86" i="186"/>
  <c r="J86" i="191"/>
  <c r="J86" i="161"/>
  <c r="J86" i="168"/>
  <c r="J86" i="190"/>
  <c r="J86" i="188"/>
  <c r="J86" i="185"/>
  <c r="J86" i="179"/>
  <c r="J86" i="172"/>
  <c r="J86" i="180"/>
  <c r="J86" i="178"/>
  <c r="J86" i="187"/>
  <c r="J86" i="169"/>
  <c r="J86" i="184"/>
  <c r="J86" i="173"/>
  <c r="J86" i="170"/>
  <c r="J86" i="159"/>
  <c r="J86" i="181"/>
  <c r="J86" i="174"/>
  <c r="J86" i="198"/>
  <c r="J68" i="183"/>
  <c r="J68" i="163"/>
  <c r="J68" i="164"/>
  <c r="J68" i="194"/>
  <c r="J68" i="189"/>
  <c r="J68" i="175"/>
  <c r="J68" i="165"/>
  <c r="J68" i="167"/>
  <c r="J68" i="158"/>
  <c r="J68" i="176"/>
  <c r="J68" i="161"/>
  <c r="J68" i="186"/>
  <c r="J68" i="118"/>
  <c r="J68" i="168"/>
  <c r="J68" i="190"/>
  <c r="J68" i="191"/>
  <c r="J68" i="188"/>
  <c r="J68" i="185"/>
  <c r="J68" i="179"/>
  <c r="J68" i="172"/>
  <c r="J68" i="180"/>
  <c r="J68" i="169"/>
  <c r="J68" i="173"/>
  <c r="J68" i="170"/>
  <c r="J68" i="178"/>
  <c r="J68" i="187"/>
  <c r="J68" i="181"/>
  <c r="J68" i="159"/>
  <c r="J68" i="174"/>
  <c r="J68" i="184"/>
  <c r="J68" i="198"/>
  <c r="J100" i="183"/>
  <c r="J100" i="163"/>
  <c r="J100" i="164"/>
  <c r="J100" i="194"/>
  <c r="J100" i="189"/>
  <c r="J100" i="175"/>
  <c r="J100" i="165"/>
  <c r="J100" i="167"/>
  <c r="J100" i="176"/>
  <c r="J100" i="158"/>
  <c r="J100" i="161"/>
  <c r="J100" i="186"/>
  <c r="J100" i="191"/>
  <c r="J100" i="190"/>
  <c r="J100" i="188"/>
  <c r="J100" i="185"/>
  <c r="J100" i="179"/>
  <c r="J100" i="172"/>
  <c r="J100" i="180"/>
  <c r="J100" i="168"/>
  <c r="J100" i="184"/>
  <c r="J100" i="181"/>
  <c r="J100" i="159"/>
  <c r="J100" i="178"/>
  <c r="J100" i="187"/>
  <c r="J100" i="173"/>
  <c r="J100" i="170"/>
  <c r="J100" i="169"/>
  <c r="J100" i="198"/>
  <c r="J100" i="174"/>
  <c r="J103" i="183"/>
  <c r="J103" i="163"/>
  <c r="J103" i="164"/>
  <c r="J103" i="194"/>
  <c r="J103" i="189"/>
  <c r="J103" i="175"/>
  <c r="J103" i="165"/>
  <c r="J103" i="176"/>
  <c r="J103" i="167"/>
  <c r="J103" i="161"/>
  <c r="J103" i="158"/>
  <c r="J103" i="186"/>
  <c r="J103" i="191"/>
  <c r="J103" i="168"/>
  <c r="J103" i="188"/>
  <c r="J103" i="185"/>
  <c r="J103" i="179"/>
  <c r="J103" i="172"/>
  <c r="J103" i="190"/>
  <c r="J103" i="169"/>
  <c r="J103" i="181"/>
  <c r="J103" i="184"/>
  <c r="J103" i="180"/>
  <c r="J103" i="159"/>
  <c r="J103" i="170"/>
  <c r="J103" i="178"/>
  <c r="J103" i="187"/>
  <c r="J103" i="173"/>
  <c r="J103" i="174"/>
  <c r="J103" i="198"/>
  <c r="J59" i="192"/>
  <c r="J59" i="198"/>
  <c r="I86" i="195"/>
  <c r="J86" i="195"/>
  <c r="J86" i="193"/>
  <c r="J102" i="15"/>
  <c r="I102" i="192"/>
  <c r="J102" i="192"/>
  <c r="J54" i="159"/>
  <c r="J54" i="190"/>
  <c r="J54" i="188"/>
  <c r="J54" i="189"/>
  <c r="J54" i="183"/>
  <c r="J72" i="192"/>
  <c r="J72" i="198"/>
  <c r="J64" i="15"/>
  <c r="I64" i="192"/>
  <c r="J64" i="192"/>
  <c r="J90" i="15"/>
  <c r="I90" i="192"/>
  <c r="J90" i="192"/>
  <c r="I65" i="195"/>
  <c r="J65" i="195"/>
  <c r="J65" i="193"/>
  <c r="J66" i="193"/>
  <c r="I66" i="195"/>
  <c r="J66" i="195"/>
  <c r="J92" i="15"/>
  <c r="I92" i="192"/>
  <c r="J92" i="192"/>
  <c r="J94" i="192"/>
  <c r="J94" i="198"/>
  <c r="J103" i="193"/>
  <c r="I103" i="195"/>
  <c r="J103" i="195"/>
  <c r="J100" i="193"/>
  <c r="I100" i="195"/>
  <c r="J100" i="195"/>
  <c r="J54" i="178"/>
  <c r="J54" i="170"/>
  <c r="J54" i="187"/>
  <c r="J54" i="172"/>
  <c r="J54" i="168"/>
  <c r="J54" i="164"/>
  <c r="J54" i="194"/>
  <c r="I77" i="192"/>
  <c r="J77" i="192"/>
  <c r="J77" i="15"/>
  <c r="J77" i="193"/>
  <c r="I77" i="195"/>
  <c r="J77" i="195"/>
  <c r="J83" i="192"/>
  <c r="J83" i="198"/>
  <c r="J68" i="193"/>
  <c r="I68" i="195"/>
  <c r="J68" i="195"/>
  <c r="J54" i="184"/>
  <c r="J54" i="169"/>
  <c r="J54" i="179"/>
  <c r="J54" i="191"/>
  <c r="J54" i="176"/>
  <c r="J54" i="165"/>
  <c r="I54" i="195"/>
  <c r="J54" i="193"/>
  <c r="J53" i="192"/>
  <c r="J53" i="198"/>
  <c r="J79" i="192"/>
  <c r="J79" i="198"/>
  <c r="J95" i="192"/>
  <c r="J95" i="198"/>
  <c r="J111" i="192"/>
  <c r="I111" i="198"/>
  <c r="J90" i="193"/>
  <c r="I90" i="195"/>
  <c r="J90" i="195"/>
  <c r="J105" i="177"/>
  <c r="I107" i="177"/>
  <c r="J107" i="177"/>
  <c r="J104" i="15"/>
  <c r="I104" i="192"/>
  <c r="J104" i="192"/>
  <c r="I65" i="192"/>
  <c r="J65" i="192"/>
  <c r="J65" i="15"/>
  <c r="I67" i="192"/>
  <c r="J67" i="192"/>
  <c r="J67" i="15"/>
  <c r="I66" i="192"/>
  <c r="J66" i="192"/>
  <c r="J66" i="15"/>
  <c r="I92" i="195"/>
  <c r="J92" i="195"/>
  <c r="J92" i="193"/>
  <c r="J112" i="177"/>
  <c r="I112" i="192"/>
  <c r="J80" i="192"/>
  <c r="J80" i="198"/>
  <c r="J84" i="192"/>
  <c r="J84" i="198"/>
  <c r="J68" i="15"/>
  <c r="I68" i="192"/>
  <c r="J68" i="192"/>
  <c r="I54" i="192"/>
  <c r="J54" i="192"/>
  <c r="J54" i="15"/>
  <c r="J54" i="167"/>
  <c r="J71" i="192"/>
  <c r="J71" i="198"/>
  <c r="J56" i="15"/>
  <c r="I56" i="192"/>
  <c r="J56" i="192"/>
  <c r="I70" i="192"/>
  <c r="J70" i="192"/>
  <c r="J70" i="15"/>
  <c r="J100" i="15"/>
  <c r="I100" i="192"/>
  <c r="J100" i="192"/>
  <c r="J86" i="15"/>
  <c r="I86" i="192"/>
  <c r="J86" i="192"/>
  <c r="J102" i="193"/>
  <c r="I102" i="195"/>
  <c r="J102" i="195"/>
  <c r="J54" i="173"/>
  <c r="J54" i="181"/>
  <c r="J54" i="180"/>
  <c r="J54" i="185"/>
  <c r="J54" i="186"/>
  <c r="J54" i="158"/>
  <c r="J54" i="175"/>
  <c r="J54" i="163"/>
  <c r="J57" i="192"/>
  <c r="J57" i="198"/>
  <c r="J91" i="192"/>
  <c r="J91" i="198"/>
  <c r="I88" i="195"/>
  <c r="J88" i="195"/>
  <c r="J88" i="193"/>
  <c r="J104" i="193"/>
  <c r="I104" i="195"/>
  <c r="J104" i="195"/>
  <c r="J81" i="192"/>
  <c r="J58" i="192"/>
  <c r="J58" i="198"/>
  <c r="J82" i="192"/>
  <c r="J82" i="198"/>
  <c r="J76" i="193"/>
  <c r="I76" i="195"/>
  <c r="J76" i="195"/>
  <c r="I99" i="195"/>
  <c r="J99" i="195"/>
  <c r="J99" i="193"/>
  <c r="J78" i="15"/>
  <c r="I78" i="192"/>
  <c r="J78" i="192"/>
  <c r="J98" i="193"/>
  <c r="I98" i="195"/>
  <c r="J98" i="195"/>
  <c r="I75" i="192"/>
  <c r="J75" i="192"/>
  <c r="J75" i="15"/>
  <c r="J69" i="192"/>
  <c r="J69" i="198"/>
  <c r="J93" i="192"/>
  <c r="J93" i="198"/>
  <c r="J54" i="174"/>
  <c r="J54" i="118"/>
  <c r="J87" i="192"/>
  <c r="J87" i="198"/>
  <c r="I67" i="195"/>
  <c r="J67" i="195"/>
  <c r="J67" i="193"/>
  <c r="J75" i="193"/>
  <c r="I75" i="195"/>
  <c r="J75" i="195"/>
  <c r="J96" i="192"/>
  <c r="J96" i="198"/>
  <c r="J103" i="15"/>
  <c r="I103" i="192"/>
  <c r="J103" i="192"/>
  <c r="J54" i="161"/>
  <c r="J64" i="193"/>
  <c r="I64" i="195"/>
  <c r="J64" i="195"/>
  <c r="J52" i="192"/>
  <c r="J56" i="193"/>
  <c r="I56" i="195"/>
  <c r="J56" i="195"/>
  <c r="I70" i="195"/>
  <c r="J70" i="195"/>
  <c r="J70" i="193"/>
  <c r="J88" i="15"/>
  <c r="I88" i="192"/>
  <c r="J88" i="192"/>
  <c r="J73" i="192"/>
  <c r="J73" i="198"/>
  <c r="J89" i="192"/>
  <c r="J89" i="198"/>
  <c r="J74" i="192"/>
  <c r="J74" i="198"/>
  <c r="J105" i="197"/>
  <c r="I107" i="197"/>
  <c r="J107" i="197"/>
  <c r="J76" i="15"/>
  <c r="I76" i="192"/>
  <c r="J76" i="192"/>
  <c r="J60" i="192"/>
  <c r="J60" i="198"/>
  <c r="J99" i="15"/>
  <c r="I99" i="192"/>
  <c r="J99" i="192"/>
  <c r="I78" i="195"/>
  <c r="J78" i="195"/>
  <c r="J78" i="193"/>
  <c r="J98" i="15"/>
  <c r="I98" i="192"/>
  <c r="J98" i="192"/>
  <c r="J61" i="192"/>
  <c r="J61" i="198"/>
  <c r="J85" i="192"/>
  <c r="J85" i="198"/>
  <c r="J62" i="192"/>
  <c r="J62" i="198"/>
  <c r="J81" i="198"/>
  <c r="I115" i="198"/>
  <c r="J115" i="198"/>
  <c r="J52" i="198"/>
  <c r="I113" i="198"/>
  <c r="J113" i="198"/>
  <c r="J54" i="195"/>
  <c r="J112" i="192"/>
  <c r="I112" i="198"/>
  <c r="J112" i="198"/>
  <c r="J111" i="198"/>
  <c r="I116" i="192"/>
  <c r="J116" i="192"/>
  <c r="I116" i="198"/>
  <c r="K10" i="177"/>
  <c r="M10" i="177"/>
  <c r="O10" i="177"/>
  <c r="Q10" i="177"/>
  <c r="S10" i="177"/>
  <c r="U10" i="177"/>
  <c r="K28" i="177"/>
  <c r="L21" i="177"/>
  <c r="M28" i="177"/>
  <c r="N21" i="177"/>
  <c r="O28" i="177"/>
  <c r="P20" i="177"/>
  <c r="Q28" i="177"/>
  <c r="R20" i="177"/>
  <c r="S28" i="177"/>
  <c r="T21" i="177"/>
  <c r="U28" i="177"/>
  <c r="V21" i="177"/>
  <c r="V28" i="177"/>
  <c r="K31" i="177"/>
  <c r="L31" i="177"/>
  <c r="M31" i="177"/>
  <c r="M31" i="192"/>
  <c r="O31" i="177"/>
  <c r="P31" i="177"/>
  <c r="Q31" i="177"/>
  <c r="Q33" i="177"/>
  <c r="R33" i="177"/>
  <c r="S31" i="177"/>
  <c r="T31" i="177"/>
  <c r="U31" i="177"/>
  <c r="U33" i="177"/>
  <c r="V33" i="177"/>
  <c r="L32" i="177"/>
  <c r="P32" i="177"/>
  <c r="R32" i="177"/>
  <c r="T32" i="177"/>
  <c r="K33" i="177"/>
  <c r="L33" i="177"/>
  <c r="M33" i="177"/>
  <c r="N33" i="177"/>
  <c r="S33" i="177"/>
  <c r="T33" i="177"/>
  <c r="L36" i="177"/>
  <c r="N36" i="177"/>
  <c r="P36" i="177"/>
  <c r="T36" i="177"/>
  <c r="V36" i="177"/>
  <c r="L37" i="177"/>
  <c r="P37" i="177"/>
  <c r="R37" i="177"/>
  <c r="T37" i="177"/>
  <c r="L38" i="177"/>
  <c r="N38" i="177"/>
  <c r="P38" i="177"/>
  <c r="T38" i="177"/>
  <c r="V38" i="177"/>
  <c r="L39" i="177"/>
  <c r="P39" i="177"/>
  <c r="R39" i="177"/>
  <c r="T39" i="177"/>
  <c r="L40" i="177"/>
  <c r="N40" i="177"/>
  <c r="P40" i="177"/>
  <c r="T40" i="177"/>
  <c r="V40" i="177"/>
  <c r="L41" i="177"/>
  <c r="P41" i="177"/>
  <c r="R41" i="177"/>
  <c r="T41" i="177"/>
  <c r="L42" i="177"/>
  <c r="N42" i="177"/>
  <c r="P42" i="177"/>
  <c r="T42" i="177"/>
  <c r="V42" i="177"/>
  <c r="L43" i="177"/>
  <c r="P43" i="177"/>
  <c r="R43" i="177"/>
  <c r="T43" i="177"/>
  <c r="L44" i="177"/>
  <c r="N44" i="177"/>
  <c r="P44" i="177"/>
  <c r="T44" i="177"/>
  <c r="V44" i="177"/>
  <c r="L45" i="177"/>
  <c r="P45" i="177"/>
  <c r="R45" i="177"/>
  <c r="T45" i="177"/>
  <c r="L46" i="177"/>
  <c r="N46" i="177"/>
  <c r="P46" i="177"/>
  <c r="T46" i="177"/>
  <c r="V46" i="177"/>
  <c r="L52" i="177"/>
  <c r="N52" i="177"/>
  <c r="P52" i="177"/>
  <c r="R52" i="177"/>
  <c r="T52" i="177"/>
  <c r="V52" i="177"/>
  <c r="L53" i="177"/>
  <c r="N53" i="177"/>
  <c r="P53" i="177"/>
  <c r="R53" i="177"/>
  <c r="T53" i="177"/>
  <c r="V53" i="177"/>
  <c r="L55" i="177"/>
  <c r="N55" i="177"/>
  <c r="P55" i="177"/>
  <c r="R55" i="177"/>
  <c r="T55" i="177"/>
  <c r="V55" i="177"/>
  <c r="L57" i="177"/>
  <c r="N57" i="177"/>
  <c r="P57" i="177"/>
  <c r="R57" i="177"/>
  <c r="T57" i="177"/>
  <c r="V57" i="177"/>
  <c r="L58" i="177"/>
  <c r="N58" i="177"/>
  <c r="P58" i="177"/>
  <c r="R58" i="177"/>
  <c r="T58" i="177"/>
  <c r="V58" i="177"/>
  <c r="L59" i="177"/>
  <c r="N59" i="177"/>
  <c r="P59" i="177"/>
  <c r="R59" i="177"/>
  <c r="T59" i="177"/>
  <c r="V59" i="177"/>
  <c r="L60" i="177"/>
  <c r="N60" i="177"/>
  <c r="P60" i="177"/>
  <c r="R60" i="177"/>
  <c r="T60" i="177"/>
  <c r="V60" i="177"/>
  <c r="L61" i="177"/>
  <c r="P61" i="177"/>
  <c r="R61" i="177"/>
  <c r="T61" i="177"/>
  <c r="V61" i="177"/>
  <c r="L62" i="177"/>
  <c r="N62" i="177"/>
  <c r="P62" i="177"/>
  <c r="T62" i="177"/>
  <c r="V62" i="177"/>
  <c r="L69" i="177"/>
  <c r="N69" i="177"/>
  <c r="P69" i="177"/>
  <c r="R69" i="177"/>
  <c r="T69" i="177"/>
  <c r="V69" i="177"/>
  <c r="L71" i="177"/>
  <c r="N71" i="177"/>
  <c r="P71" i="177"/>
  <c r="R71" i="177"/>
  <c r="T71" i="177"/>
  <c r="V71" i="177"/>
  <c r="L72" i="177"/>
  <c r="N72" i="177"/>
  <c r="P72" i="177"/>
  <c r="R72" i="177"/>
  <c r="T72" i="177"/>
  <c r="V72" i="177"/>
  <c r="L73" i="177"/>
  <c r="N73" i="177"/>
  <c r="P73" i="177"/>
  <c r="R73" i="177"/>
  <c r="T73" i="177"/>
  <c r="V73" i="177"/>
  <c r="L74" i="177"/>
  <c r="N74" i="177"/>
  <c r="P74" i="177"/>
  <c r="R74" i="177"/>
  <c r="T74" i="177"/>
  <c r="V74" i="177"/>
  <c r="L79" i="177"/>
  <c r="N79" i="177"/>
  <c r="P79" i="177"/>
  <c r="R79" i="177"/>
  <c r="T79" i="177"/>
  <c r="V79" i="177"/>
  <c r="L80" i="177"/>
  <c r="N80" i="177"/>
  <c r="P80" i="177"/>
  <c r="R80" i="177"/>
  <c r="T80" i="177"/>
  <c r="V80" i="177"/>
  <c r="L81" i="177"/>
  <c r="N81" i="177"/>
  <c r="P81" i="177"/>
  <c r="R81" i="177"/>
  <c r="T81" i="177"/>
  <c r="V81" i="177"/>
  <c r="L82" i="177"/>
  <c r="N82" i="177"/>
  <c r="P82" i="177"/>
  <c r="R82" i="177"/>
  <c r="T82" i="177"/>
  <c r="V82" i="177"/>
  <c r="L83" i="177"/>
  <c r="N83" i="177"/>
  <c r="P83" i="177"/>
  <c r="R83" i="177"/>
  <c r="T83" i="177"/>
  <c r="V83" i="177"/>
  <c r="L84" i="177"/>
  <c r="N84" i="177"/>
  <c r="P84" i="177"/>
  <c r="R84" i="177"/>
  <c r="T84" i="177"/>
  <c r="V84" i="177"/>
  <c r="L85" i="177"/>
  <c r="N85" i="177"/>
  <c r="P85" i="177"/>
  <c r="R85" i="177"/>
  <c r="T85" i="177"/>
  <c r="V85" i="177"/>
  <c r="L87" i="177"/>
  <c r="N87" i="177"/>
  <c r="P87" i="177"/>
  <c r="R87" i="177"/>
  <c r="T87" i="177"/>
  <c r="V87" i="177"/>
  <c r="L89" i="177"/>
  <c r="N89" i="177"/>
  <c r="P89" i="177"/>
  <c r="R89" i="177"/>
  <c r="T89" i="177"/>
  <c r="V89" i="177"/>
  <c r="L91" i="177"/>
  <c r="N91" i="177"/>
  <c r="P91" i="177"/>
  <c r="R91" i="177"/>
  <c r="T91" i="177"/>
  <c r="V91" i="177"/>
  <c r="L93" i="177"/>
  <c r="N93" i="177"/>
  <c r="P93" i="177"/>
  <c r="R93" i="177"/>
  <c r="T93" i="177"/>
  <c r="V93" i="177"/>
  <c r="L94" i="177"/>
  <c r="N94" i="177"/>
  <c r="P94" i="177"/>
  <c r="R94" i="177"/>
  <c r="T94" i="177"/>
  <c r="V94" i="177"/>
  <c r="L95" i="177"/>
  <c r="N95" i="177"/>
  <c r="P95" i="177"/>
  <c r="R95" i="177"/>
  <c r="T95" i="177"/>
  <c r="V95" i="177"/>
  <c r="L96" i="177"/>
  <c r="N96" i="177"/>
  <c r="P96" i="177"/>
  <c r="R96" i="177"/>
  <c r="T96" i="177"/>
  <c r="V96" i="177"/>
  <c r="L97" i="177"/>
  <c r="N97" i="177"/>
  <c r="P97" i="177"/>
  <c r="R97" i="177"/>
  <c r="T97" i="177"/>
  <c r="V97" i="177"/>
  <c r="L101" i="177"/>
  <c r="N101" i="177"/>
  <c r="P101" i="177"/>
  <c r="R101" i="177"/>
  <c r="T101" i="177"/>
  <c r="V101" i="177"/>
  <c r="K111" i="177"/>
  <c r="K111" i="192"/>
  <c r="K111" i="198"/>
  <c r="M111" i="177"/>
  <c r="N111" i="177"/>
  <c r="O111" i="177"/>
  <c r="O111" i="192"/>
  <c r="Q111" i="177"/>
  <c r="R111" i="177"/>
  <c r="S111" i="177"/>
  <c r="U111" i="177"/>
  <c r="V111" i="177"/>
  <c r="K112" i="177"/>
  <c r="L112" i="177"/>
  <c r="M112" i="177"/>
  <c r="N112" i="177"/>
  <c r="O112" i="177"/>
  <c r="P112" i="177"/>
  <c r="S112" i="177"/>
  <c r="T112" i="177"/>
  <c r="U112" i="177"/>
  <c r="V112" i="177"/>
  <c r="L113" i="177"/>
  <c r="N113" i="177"/>
  <c r="P113" i="177"/>
  <c r="R113" i="177"/>
  <c r="T113" i="177"/>
  <c r="V113" i="177"/>
  <c r="L114" i="177"/>
  <c r="N114" i="177"/>
  <c r="P114" i="177"/>
  <c r="R114" i="177"/>
  <c r="T114" i="177"/>
  <c r="V114" i="177"/>
  <c r="L115" i="177"/>
  <c r="N115" i="177"/>
  <c r="P115" i="177"/>
  <c r="R115" i="177"/>
  <c r="T115" i="177"/>
  <c r="V115" i="177"/>
  <c r="Q28" i="192"/>
  <c r="U28" i="192"/>
  <c r="K31" i="192"/>
  <c r="K31" i="198"/>
  <c r="K33" i="198"/>
  <c r="O31" i="192"/>
  <c r="O33" i="192"/>
  <c r="S31" i="192"/>
  <c r="S33" i="192"/>
  <c r="U31" i="192"/>
  <c r="U31" i="198"/>
  <c r="U33" i="198"/>
  <c r="K33" i="192"/>
  <c r="K52" i="192"/>
  <c r="M52" i="192"/>
  <c r="O52" i="192"/>
  <c r="Q52" i="192"/>
  <c r="S52" i="192"/>
  <c r="U52" i="192"/>
  <c r="K53" i="192"/>
  <c r="M53" i="192"/>
  <c r="O53" i="192"/>
  <c r="Q53" i="192"/>
  <c r="S53" i="192"/>
  <c r="U53" i="192"/>
  <c r="K57" i="192"/>
  <c r="M57" i="192"/>
  <c r="O57" i="192"/>
  <c r="Q57" i="192"/>
  <c r="S57" i="192"/>
  <c r="U57" i="192"/>
  <c r="K58" i="192"/>
  <c r="M58" i="192"/>
  <c r="O58" i="192"/>
  <c r="Q58" i="192"/>
  <c r="S58" i="192"/>
  <c r="U58" i="192"/>
  <c r="K59" i="192"/>
  <c r="M59" i="192"/>
  <c r="O59" i="192"/>
  <c r="Q59" i="192"/>
  <c r="S59" i="192"/>
  <c r="U59" i="192"/>
  <c r="K60" i="192"/>
  <c r="M60" i="192"/>
  <c r="O60" i="192"/>
  <c r="Q60" i="192"/>
  <c r="S60" i="192"/>
  <c r="U60" i="192"/>
  <c r="K61" i="192"/>
  <c r="O61" i="192"/>
  <c r="Q61" i="192"/>
  <c r="S61" i="192"/>
  <c r="U61" i="192"/>
  <c r="K62" i="192"/>
  <c r="M62" i="192"/>
  <c r="O62" i="192"/>
  <c r="Q62" i="192"/>
  <c r="S62" i="192"/>
  <c r="U62" i="192"/>
  <c r="K69" i="192"/>
  <c r="M69" i="192"/>
  <c r="O69" i="192"/>
  <c r="Q69" i="192"/>
  <c r="S69" i="192"/>
  <c r="U69" i="192"/>
  <c r="K71" i="192"/>
  <c r="M71" i="192"/>
  <c r="O71" i="192"/>
  <c r="Q71" i="192"/>
  <c r="S71" i="192"/>
  <c r="U71" i="192"/>
  <c r="K72" i="192"/>
  <c r="M72" i="192"/>
  <c r="O72" i="192"/>
  <c r="Q72" i="192"/>
  <c r="S72" i="192"/>
  <c r="U72" i="192"/>
  <c r="K73" i="192"/>
  <c r="M73" i="192"/>
  <c r="O73" i="192"/>
  <c r="Q73" i="192"/>
  <c r="S73" i="192"/>
  <c r="U73" i="192"/>
  <c r="K74" i="192"/>
  <c r="M74" i="192"/>
  <c r="O74" i="192"/>
  <c r="Q74" i="192"/>
  <c r="S74" i="192"/>
  <c r="U74" i="192"/>
  <c r="K79" i="192"/>
  <c r="M79" i="192"/>
  <c r="O79" i="192"/>
  <c r="Q79" i="192"/>
  <c r="S79" i="192"/>
  <c r="U79" i="192"/>
  <c r="K80" i="192"/>
  <c r="M80" i="192"/>
  <c r="O80" i="192"/>
  <c r="Q80" i="192"/>
  <c r="S80" i="192"/>
  <c r="U80" i="192"/>
  <c r="K81" i="192"/>
  <c r="M81" i="192"/>
  <c r="O81" i="192"/>
  <c r="Q81" i="192"/>
  <c r="S81" i="192"/>
  <c r="U81" i="192"/>
  <c r="K82" i="192"/>
  <c r="M82" i="192"/>
  <c r="O82" i="192"/>
  <c r="Q82" i="192"/>
  <c r="S82" i="192"/>
  <c r="U82" i="192"/>
  <c r="K83" i="192"/>
  <c r="M83" i="192"/>
  <c r="O83" i="192"/>
  <c r="Q83" i="192"/>
  <c r="S83" i="192"/>
  <c r="U83" i="192"/>
  <c r="K84" i="192"/>
  <c r="M84" i="192"/>
  <c r="O84" i="192"/>
  <c r="Q84" i="192"/>
  <c r="S84" i="192"/>
  <c r="U84" i="192"/>
  <c r="K85" i="192"/>
  <c r="M85" i="192"/>
  <c r="O85" i="192"/>
  <c r="Q85" i="192"/>
  <c r="S85" i="192"/>
  <c r="U85" i="192"/>
  <c r="K87" i="192"/>
  <c r="M87" i="192"/>
  <c r="O87" i="192"/>
  <c r="Q87" i="192"/>
  <c r="S87" i="192"/>
  <c r="U87" i="192"/>
  <c r="K89" i="192"/>
  <c r="M89" i="192"/>
  <c r="O89" i="192"/>
  <c r="Q89" i="192"/>
  <c r="S89" i="192"/>
  <c r="U89" i="192"/>
  <c r="K91" i="192"/>
  <c r="M91" i="192"/>
  <c r="O91" i="192"/>
  <c r="Q91" i="192"/>
  <c r="S91" i="192"/>
  <c r="U91" i="192"/>
  <c r="K93" i="192"/>
  <c r="M93" i="192"/>
  <c r="O93" i="192"/>
  <c r="Q93" i="192"/>
  <c r="S93" i="192"/>
  <c r="U93" i="192"/>
  <c r="K94" i="192"/>
  <c r="M94" i="192"/>
  <c r="O94" i="192"/>
  <c r="Q94" i="192"/>
  <c r="S94" i="192"/>
  <c r="U94" i="192"/>
  <c r="K95" i="192"/>
  <c r="M95" i="192"/>
  <c r="O95" i="192"/>
  <c r="Q95" i="192"/>
  <c r="S95" i="192"/>
  <c r="U95" i="192"/>
  <c r="K96" i="192"/>
  <c r="M96" i="192"/>
  <c r="O96" i="192"/>
  <c r="Q96" i="192"/>
  <c r="S96" i="192"/>
  <c r="U96" i="192"/>
  <c r="Q111" i="192"/>
  <c r="S111" i="192"/>
  <c r="K112" i="192"/>
  <c r="O112" i="192"/>
  <c r="O112" i="198"/>
  <c r="S112" i="192"/>
  <c r="S112" i="198"/>
  <c r="U112" i="192"/>
  <c r="K113" i="198"/>
  <c r="Q113" i="198"/>
  <c r="K112" i="198"/>
  <c r="S113" i="198"/>
  <c r="K115" i="198"/>
  <c r="L115" i="198"/>
  <c r="Q115" i="198"/>
  <c r="R115" i="198"/>
  <c r="S115" i="198"/>
  <c r="T115" i="198"/>
  <c r="N63" i="175"/>
  <c r="N42" i="198"/>
  <c r="V41" i="192"/>
  <c r="V97" i="192"/>
  <c r="V39" i="192"/>
  <c r="V95" i="192"/>
  <c r="V93" i="192"/>
  <c r="V89" i="192"/>
  <c r="V83" i="192"/>
  <c r="V81" i="192"/>
  <c r="V79" i="192"/>
  <c r="V73" i="192"/>
  <c r="V71" i="192"/>
  <c r="V62" i="192"/>
  <c r="R36" i="192"/>
  <c r="R42" i="192"/>
  <c r="R114" i="192"/>
  <c r="P36" i="198"/>
  <c r="P40" i="198"/>
  <c r="P46" i="198"/>
  <c r="P90" i="163"/>
  <c r="P104" i="186"/>
  <c r="P78" i="164"/>
  <c r="P38" i="198"/>
  <c r="P44" i="198"/>
  <c r="P56" i="168"/>
  <c r="P70" i="158"/>
  <c r="P97" i="198"/>
  <c r="P103" i="179"/>
  <c r="P68" i="118"/>
  <c r="P42" i="198"/>
  <c r="P86" i="177"/>
  <c r="P98" i="188"/>
  <c r="P77" i="194"/>
  <c r="P89" i="198"/>
  <c r="R94" i="192"/>
  <c r="R72" i="192"/>
  <c r="N104" i="163"/>
  <c r="N100" i="177"/>
  <c r="N94" i="198"/>
  <c r="N80" i="198"/>
  <c r="P73" i="198"/>
  <c r="P62" i="198"/>
  <c r="N58" i="198"/>
  <c r="P53" i="198"/>
  <c r="N40" i="198"/>
  <c r="V45" i="192"/>
  <c r="R19" i="192"/>
  <c r="P83" i="198"/>
  <c r="R84" i="192"/>
  <c r="R82" i="192"/>
  <c r="R80" i="192"/>
  <c r="R74" i="192"/>
  <c r="R69" i="192"/>
  <c r="R61" i="192"/>
  <c r="P93" i="198"/>
  <c r="N87" i="198"/>
  <c r="P85" i="198"/>
  <c r="N76" i="177"/>
  <c r="N75" i="177"/>
  <c r="P60" i="198"/>
  <c r="P96" i="198"/>
  <c r="P94" i="198"/>
  <c r="P91" i="198"/>
  <c r="P87" i="198"/>
  <c r="P84" i="198"/>
  <c r="P82" i="198"/>
  <c r="P80" i="198"/>
  <c r="P74" i="198"/>
  <c r="P72" i="198"/>
  <c r="P69" i="198"/>
  <c r="P61" i="198"/>
  <c r="R60" i="192"/>
  <c r="V59" i="192"/>
  <c r="P81" i="198"/>
  <c r="P63" i="198"/>
  <c r="R87" i="192"/>
  <c r="P59" i="198"/>
  <c r="P57" i="198"/>
  <c r="N103" i="158"/>
  <c r="N97" i="198"/>
  <c r="N92" i="181"/>
  <c r="P58" i="198"/>
  <c r="V112" i="192"/>
  <c r="M28" i="192"/>
  <c r="N43" i="192"/>
  <c r="U116" i="177"/>
  <c r="V116" i="177"/>
  <c r="U111" i="192"/>
  <c r="V111" i="192"/>
  <c r="R96" i="192"/>
  <c r="S116" i="192"/>
  <c r="N59" i="198"/>
  <c r="R58" i="192"/>
  <c r="V57" i="192"/>
  <c r="N57" i="198"/>
  <c r="R53" i="192"/>
  <c r="V52" i="192"/>
  <c r="R21" i="192"/>
  <c r="R27" i="192"/>
  <c r="R40" i="192"/>
  <c r="R46" i="192"/>
  <c r="R20" i="192"/>
  <c r="R38" i="192"/>
  <c r="R44" i="192"/>
  <c r="S111" i="198"/>
  <c r="N100" i="198"/>
  <c r="N24" i="198"/>
  <c r="N32" i="198"/>
  <c r="N38" i="198"/>
  <c r="N56" i="177"/>
  <c r="N90" i="177"/>
  <c r="N44" i="198"/>
  <c r="N98" i="163"/>
  <c r="N96" i="198"/>
  <c r="N86" i="164"/>
  <c r="N82" i="198"/>
  <c r="N74" i="198"/>
  <c r="N73" i="198"/>
  <c r="N69" i="198"/>
  <c r="N68" i="194"/>
  <c r="N67" i="187"/>
  <c r="N66" i="163"/>
  <c r="N65" i="178"/>
  <c r="N64" i="177"/>
  <c r="N62" i="198"/>
  <c r="N53" i="198"/>
  <c r="N46" i="198"/>
  <c r="N37" i="198"/>
  <c r="N93" i="192"/>
  <c r="N93" i="198"/>
  <c r="R91" i="192"/>
  <c r="N89" i="192"/>
  <c r="N89" i="198"/>
  <c r="V85" i="192"/>
  <c r="N83" i="192"/>
  <c r="N83" i="198"/>
  <c r="N79" i="198"/>
  <c r="N71" i="198"/>
  <c r="V20" i="192"/>
  <c r="V115" i="192"/>
  <c r="V32" i="192"/>
  <c r="V113" i="192"/>
  <c r="P99" i="181"/>
  <c r="P99" i="177"/>
  <c r="P88" i="177"/>
  <c r="N72" i="198"/>
  <c r="N60" i="198"/>
  <c r="P112" i="198"/>
  <c r="R111" i="192"/>
  <c r="V96" i="192"/>
  <c r="R95" i="192"/>
  <c r="V94" i="192"/>
  <c r="R93" i="192"/>
  <c r="V91" i="192"/>
  <c r="R89" i="192"/>
  <c r="V87" i="192"/>
  <c r="R85" i="192"/>
  <c r="V84" i="192"/>
  <c r="R83" i="192"/>
  <c r="V82" i="192"/>
  <c r="R81" i="192"/>
  <c r="V80" i="192"/>
  <c r="R79" i="192"/>
  <c r="V74" i="192"/>
  <c r="R73" i="192"/>
  <c r="V72" i="192"/>
  <c r="R71" i="192"/>
  <c r="V69" i="192"/>
  <c r="R62" i="192"/>
  <c r="V61" i="192"/>
  <c r="N84" i="198"/>
  <c r="P75" i="159"/>
  <c r="P67" i="198"/>
  <c r="P67" i="177"/>
  <c r="P64" i="198"/>
  <c r="P64" i="177"/>
  <c r="P24" i="198"/>
  <c r="P63" i="177"/>
  <c r="K116" i="198"/>
  <c r="V60" i="192"/>
  <c r="R59" i="192"/>
  <c r="V58" i="192"/>
  <c r="R57" i="192"/>
  <c r="V53" i="192"/>
  <c r="R52" i="192"/>
  <c r="J116" i="198"/>
  <c r="O31" i="198"/>
  <c r="O33" i="198"/>
  <c r="P33" i="198"/>
  <c r="Q31" i="192"/>
  <c r="Q33" i="192"/>
  <c r="U112" i="198"/>
  <c r="Q111" i="198"/>
  <c r="P52" i="198"/>
  <c r="O113" i="198"/>
  <c r="P113" i="198"/>
  <c r="O116" i="192"/>
  <c r="O111" i="198"/>
  <c r="M112" i="192"/>
  <c r="N91" i="198"/>
  <c r="N85" i="198"/>
  <c r="M116" i="177"/>
  <c r="N116" i="177"/>
  <c r="M111" i="192"/>
  <c r="M111" i="198"/>
  <c r="K116" i="192"/>
  <c r="M31" i="198"/>
  <c r="O33" i="177"/>
  <c r="P33" i="177"/>
  <c r="N31" i="177"/>
  <c r="S31" i="198"/>
  <c r="S33" i="198"/>
  <c r="P63" i="178"/>
  <c r="V24" i="192"/>
  <c r="V25" i="177"/>
  <c r="N23" i="177"/>
  <c r="V19" i="177"/>
  <c r="P19" i="177"/>
  <c r="N26" i="198"/>
  <c r="V26" i="192"/>
  <c r="V27" i="177"/>
  <c r="N25" i="177"/>
  <c r="R21" i="177"/>
  <c r="T19" i="177"/>
  <c r="N43" i="198"/>
  <c r="N41" i="198"/>
  <c r="N39" i="198"/>
  <c r="N36" i="198"/>
  <c r="P28" i="198"/>
  <c r="P25" i="198"/>
  <c r="N19" i="198"/>
  <c r="P63" i="181"/>
  <c r="V43" i="192"/>
  <c r="R23" i="192"/>
  <c r="V19" i="192"/>
  <c r="R31" i="177"/>
  <c r="N28" i="177"/>
  <c r="N27" i="177"/>
  <c r="R24" i="177"/>
  <c r="V20" i="177"/>
  <c r="N19" i="177"/>
  <c r="V37" i="192"/>
  <c r="V31" i="192"/>
  <c r="R25" i="192"/>
  <c r="V21" i="192"/>
  <c r="V31" i="177"/>
  <c r="R28" i="177"/>
  <c r="R26" i="177"/>
  <c r="V23" i="177"/>
  <c r="N20" i="177"/>
  <c r="R19" i="177"/>
  <c r="L19" i="177"/>
  <c r="N103" i="161"/>
  <c r="P98" i="191"/>
  <c r="N77" i="183"/>
  <c r="N77" i="194"/>
  <c r="N77" i="175"/>
  <c r="N77" i="158"/>
  <c r="N77" i="161"/>
  <c r="N77" i="168"/>
  <c r="N77" i="191"/>
  <c r="N77" i="185"/>
  <c r="N77" i="172"/>
  <c r="N77" i="190"/>
  <c r="N77" i="187"/>
  <c r="N77" i="170"/>
  <c r="N77" i="174"/>
  <c r="N77" i="181"/>
  <c r="N68" i="186"/>
  <c r="P102" i="198"/>
  <c r="P95" i="198"/>
  <c r="P102" i="197"/>
  <c r="P32" i="198"/>
  <c r="P37" i="198"/>
  <c r="P39" i="198"/>
  <c r="P41" i="198"/>
  <c r="P43" i="198"/>
  <c r="P45" i="198"/>
  <c r="P23" i="198"/>
  <c r="P21" i="198"/>
  <c r="P19" i="198"/>
  <c r="P92" i="184"/>
  <c r="P102" i="178"/>
  <c r="N92" i="175"/>
  <c r="N90" i="183"/>
  <c r="N90" i="163"/>
  <c r="N90" i="194"/>
  <c r="N90" i="164"/>
  <c r="N90" i="189"/>
  <c r="N90" i="165"/>
  <c r="N90" i="175"/>
  <c r="N90" i="158"/>
  <c r="N90" i="118"/>
  <c r="N90" i="176"/>
  <c r="N90" i="161"/>
  <c r="N90" i="168"/>
  <c r="N90" i="188"/>
  <c r="N90" i="179"/>
  <c r="N90" i="167"/>
  <c r="N90" i="191"/>
  <c r="N90" i="185"/>
  <c r="N90" i="180"/>
  <c r="N90" i="169"/>
  <c r="N90" i="186"/>
  <c r="N90" i="172"/>
  <c r="N90" i="190"/>
  <c r="N90" i="187"/>
  <c r="N90" i="170"/>
  <c r="N90" i="184"/>
  <c r="N90" i="174"/>
  <c r="N90" i="181"/>
  <c r="N90" i="178"/>
  <c r="N90" i="173"/>
  <c r="N64" i="163"/>
  <c r="N64" i="175"/>
  <c r="N64" i="118"/>
  <c r="N64" i="188"/>
  <c r="N64" i="172"/>
  <c r="N64" i="190"/>
  <c r="N64" i="170"/>
  <c r="N64" i="178"/>
  <c r="N63" i="168"/>
  <c r="N63" i="190"/>
  <c r="N63" i="173"/>
  <c r="P102" i="183"/>
  <c r="P102" i="164"/>
  <c r="P102" i="189"/>
  <c r="P102" i="176"/>
  <c r="P102" i="168"/>
  <c r="P102" i="188"/>
  <c r="P102" i="191"/>
  <c r="P102" i="185"/>
  <c r="P102" i="161"/>
  <c r="P102" i="172"/>
  <c r="P102" i="159"/>
  <c r="P102" i="187"/>
  <c r="P102" i="174"/>
  <c r="N99" i="183"/>
  <c r="N99" i="163"/>
  <c r="N99" i="194"/>
  <c r="N99" i="164"/>
  <c r="N99" i="165"/>
  <c r="N99" i="189"/>
  <c r="N99" i="175"/>
  <c r="N99" i="158"/>
  <c r="N99" i="167"/>
  <c r="N99" i="118"/>
  <c r="N99" i="186"/>
  <c r="N99" i="168"/>
  <c r="N99" i="188"/>
  <c r="N99" i="179"/>
  <c r="N99" i="161"/>
  <c r="N99" i="191"/>
  <c r="N99" i="185"/>
  <c r="N99" i="172"/>
  <c r="N99" i="190"/>
  <c r="N99" i="180"/>
  <c r="N99" i="169"/>
  <c r="N99" i="176"/>
  <c r="N99" i="184"/>
  <c r="N99" i="174"/>
  <c r="N99" i="181"/>
  <c r="N99" i="178"/>
  <c r="N99" i="173"/>
  <c r="N99" i="159"/>
  <c r="N98" i="164"/>
  <c r="P88" i="183"/>
  <c r="P88" i="163"/>
  <c r="P88" i="194"/>
  <c r="P88" i="164"/>
  <c r="P88" i="189"/>
  <c r="P88" i="175"/>
  <c r="P88" i="165"/>
  <c r="P88" i="176"/>
  <c r="P88" i="167"/>
  <c r="P88" i="161"/>
  <c r="P88" i="186"/>
  <c r="P88" i="158"/>
  <c r="P88" i="191"/>
  <c r="P88" i="185"/>
  <c r="P88" i="118"/>
  <c r="P88" i="168"/>
  <c r="P88" i="188"/>
  <c r="P88" i="179"/>
  <c r="P88" i="172"/>
  <c r="P88" i="190"/>
  <c r="P88" i="180"/>
  <c r="P88" i="169"/>
  <c r="P88" i="159"/>
  <c r="P88" i="184"/>
  <c r="P88" i="187"/>
  <c r="P88" i="170"/>
  <c r="P88" i="174"/>
  <c r="P88" i="173"/>
  <c r="P79" i="198"/>
  <c r="P76" i="183"/>
  <c r="P76" i="163"/>
  <c r="P76" i="164"/>
  <c r="P76" i="194"/>
  <c r="P76" i="189"/>
  <c r="P76" i="175"/>
  <c r="P76" i="165"/>
  <c r="P76" i="176"/>
  <c r="P76" i="167"/>
  <c r="P76" i="161"/>
  <c r="P76" i="186"/>
  <c r="P76" i="158"/>
  <c r="P76" i="191"/>
  <c r="P76" i="185"/>
  <c r="P76" i="172"/>
  <c r="P76" i="118"/>
  <c r="P76" i="168"/>
  <c r="P76" i="188"/>
  <c r="P76" i="179"/>
  <c r="P76" i="180"/>
  <c r="P76" i="190"/>
  <c r="P76" i="169"/>
  <c r="P76" i="159"/>
  <c r="P76" i="184"/>
  <c r="P76" i="187"/>
  <c r="P76" i="170"/>
  <c r="P76" i="174"/>
  <c r="P76" i="173"/>
  <c r="P75" i="183"/>
  <c r="P75" i="163"/>
  <c r="P75" i="164"/>
  <c r="P75" i="194"/>
  <c r="P75" i="189"/>
  <c r="P75" i="175"/>
  <c r="P75" i="165"/>
  <c r="P75" i="176"/>
  <c r="P75" i="167"/>
  <c r="P75" i="161"/>
  <c r="P75" i="186"/>
  <c r="P75" i="191"/>
  <c r="P75" i="185"/>
  <c r="P75" i="172"/>
  <c r="P75" i="158"/>
  <c r="P75" i="118"/>
  <c r="P75" i="168"/>
  <c r="P75" i="188"/>
  <c r="P75" i="179"/>
  <c r="P75" i="180"/>
  <c r="P75" i="190"/>
  <c r="P75" i="169"/>
  <c r="P75" i="184"/>
  <c r="P75" i="187"/>
  <c r="P75" i="170"/>
  <c r="P75" i="174"/>
  <c r="P75" i="173"/>
  <c r="P75" i="181"/>
  <c r="P75" i="178"/>
  <c r="P71" i="198"/>
  <c r="P67" i="164"/>
  <c r="P67" i="194"/>
  <c r="P67" i="175"/>
  <c r="P67" i="165"/>
  <c r="P67" i="161"/>
  <c r="P67" i="186"/>
  <c r="P67" i="185"/>
  <c r="P67" i="172"/>
  <c r="P67" i="188"/>
  <c r="P67" i="179"/>
  <c r="P67" i="190"/>
  <c r="P67" i="169"/>
  <c r="P67" i="187"/>
  <c r="P67" i="170"/>
  <c r="P66" i="183"/>
  <c r="P66" i="163"/>
  <c r="P66" i="164"/>
  <c r="P66" i="194"/>
  <c r="P66" i="189"/>
  <c r="P66" i="175"/>
  <c r="P66" i="165"/>
  <c r="P66" i="176"/>
  <c r="P66" i="167"/>
  <c r="P66" i="161"/>
  <c r="P66" i="186"/>
  <c r="P66" i="191"/>
  <c r="P66" i="185"/>
  <c r="P66" i="172"/>
  <c r="P66" i="118"/>
  <c r="P66" i="168"/>
  <c r="P66" i="188"/>
  <c r="P66" i="179"/>
  <c r="P66" i="180"/>
  <c r="P66" i="190"/>
  <c r="P66" i="169"/>
  <c r="P66" i="184"/>
  <c r="P66" i="187"/>
  <c r="P66" i="170"/>
  <c r="P66" i="174"/>
  <c r="P66" i="173"/>
  <c r="P66" i="158"/>
  <c r="P66" i="181"/>
  <c r="P66" i="178"/>
  <c r="P65" i="163"/>
  <c r="P65" i="164"/>
  <c r="P65" i="189"/>
  <c r="P65" i="165"/>
  <c r="P65" i="175"/>
  <c r="P65" i="158"/>
  <c r="P65" i="185"/>
  <c r="P65" i="172"/>
  <c r="P65" i="188"/>
  <c r="P65" i="179"/>
  <c r="P65" i="118"/>
  <c r="P65" i="169"/>
  <c r="P65" i="178"/>
  <c r="P65" i="180"/>
  <c r="P64" i="164"/>
  <c r="P64" i="183"/>
  <c r="P64" i="175"/>
  <c r="P64" i="165"/>
  <c r="P64" i="158"/>
  <c r="P64" i="118"/>
  <c r="P64" i="191"/>
  <c r="P64" i="168"/>
  <c r="P64" i="188"/>
  <c r="P64" i="180"/>
  <c r="P64" i="169"/>
  <c r="P64" i="178"/>
  <c r="P64" i="159"/>
  <c r="P64" i="170"/>
  <c r="P64" i="174"/>
  <c r="P63" i="183"/>
  <c r="P63" i="163"/>
  <c r="P63" i="164"/>
  <c r="P63" i="194"/>
  <c r="P63" i="189"/>
  <c r="P63" i="175"/>
  <c r="P63" i="165"/>
  <c r="P63" i="176"/>
  <c r="P63" i="167"/>
  <c r="P63" i="161"/>
  <c r="P63" i="186"/>
  <c r="P63" i="158"/>
  <c r="P63" i="185"/>
  <c r="P63" i="172"/>
  <c r="P63" i="118"/>
  <c r="P63" i="191"/>
  <c r="P63" i="168"/>
  <c r="P63" i="188"/>
  <c r="P63" i="179"/>
  <c r="P63" i="180"/>
  <c r="P63" i="190"/>
  <c r="P63" i="169"/>
  <c r="P63" i="159"/>
  <c r="P63" i="184"/>
  <c r="P63" i="187"/>
  <c r="P63" i="170"/>
  <c r="P63" i="174"/>
  <c r="P63" i="173"/>
  <c r="P56" i="189"/>
  <c r="N102" i="197"/>
  <c r="N20" i="198"/>
  <c r="N23" i="198"/>
  <c r="N25" i="198"/>
  <c r="N27" i="198"/>
  <c r="N28" i="198"/>
  <c r="N21" i="198"/>
  <c r="P20" i="198"/>
  <c r="P92" i="174"/>
  <c r="P65" i="170"/>
  <c r="N99" i="187"/>
  <c r="P102" i="173"/>
  <c r="P66" i="159"/>
  <c r="P76" i="178"/>
  <c r="P76" i="181"/>
  <c r="N102" i="183"/>
  <c r="N102" i="164"/>
  <c r="N102" i="194"/>
  <c r="N102" i="163"/>
  <c r="N102" i="189"/>
  <c r="N102" i="175"/>
  <c r="N102" i="165"/>
  <c r="N102" i="176"/>
  <c r="N102" i="167"/>
  <c r="N102" i="158"/>
  <c r="N102" i="161"/>
  <c r="N102" i="186"/>
  <c r="N102" i="191"/>
  <c r="N102" i="185"/>
  <c r="N102" i="168"/>
  <c r="N102" i="188"/>
  <c r="N102" i="179"/>
  <c r="N102" i="172"/>
  <c r="N102" i="190"/>
  <c r="N102" i="180"/>
  <c r="N102" i="169"/>
  <c r="N102" i="184"/>
  <c r="N102" i="187"/>
  <c r="N102" i="170"/>
  <c r="N102" i="174"/>
  <c r="N102" i="173"/>
  <c r="N102" i="181"/>
  <c r="N102" i="178"/>
  <c r="P100" i="163"/>
  <c r="P100" i="194"/>
  <c r="P100" i="165"/>
  <c r="P100" i="176"/>
  <c r="P100" i="161"/>
  <c r="P100" i="186"/>
  <c r="P100" i="168"/>
  <c r="P100" i="188"/>
  <c r="P100" i="180"/>
  <c r="P100" i="169"/>
  <c r="P100" i="181"/>
  <c r="P100" i="178"/>
  <c r="P100" i="187"/>
  <c r="P100" i="170"/>
  <c r="P99" i="163"/>
  <c r="P99" i="194"/>
  <c r="P99" i="175"/>
  <c r="P99" i="167"/>
  <c r="P99" i="161"/>
  <c r="P99" i="191"/>
  <c r="P99" i="185"/>
  <c r="P99" i="188"/>
  <c r="P99" i="179"/>
  <c r="P99" i="190"/>
  <c r="P99" i="180"/>
  <c r="P99" i="184"/>
  <c r="P99" i="187"/>
  <c r="P99" i="173"/>
  <c r="N88" i="179"/>
  <c r="N86" i="163"/>
  <c r="N86" i="191"/>
  <c r="N76" i="168"/>
  <c r="N75" i="183"/>
  <c r="N75" i="163"/>
  <c r="N75" i="164"/>
  <c r="N75" i="194"/>
  <c r="N75" i="175"/>
  <c r="N75" i="165"/>
  <c r="N75" i="189"/>
  <c r="N75" i="158"/>
  <c r="N75" i="176"/>
  <c r="N75" i="167"/>
  <c r="N75" i="118"/>
  <c r="N75" i="168"/>
  <c r="N75" i="188"/>
  <c r="N75" i="179"/>
  <c r="N75" i="186"/>
  <c r="N75" i="161"/>
  <c r="N75" i="191"/>
  <c r="N75" i="185"/>
  <c r="N75" i="172"/>
  <c r="N75" i="169"/>
  <c r="N75" i="180"/>
  <c r="N75" i="181"/>
  <c r="N75" i="178"/>
  <c r="N75" i="173"/>
  <c r="N75" i="190"/>
  <c r="N75" i="159"/>
  <c r="N75" i="187"/>
  <c r="N75" i="170"/>
  <c r="N68" i="163"/>
  <c r="N68" i="175"/>
  <c r="N68" i="118"/>
  <c r="N68" i="168"/>
  <c r="N68" i="185"/>
  <c r="N68" i="190"/>
  <c r="N68" i="184"/>
  <c r="N68" i="173"/>
  <c r="N67" i="183"/>
  <c r="N67" i="163"/>
  <c r="N67" i="164"/>
  <c r="N67" i="194"/>
  <c r="N67" i="175"/>
  <c r="N67" i="165"/>
  <c r="N67" i="189"/>
  <c r="N67" i="158"/>
  <c r="N67" i="167"/>
  <c r="N67" i="118"/>
  <c r="N67" i="186"/>
  <c r="N67" i="168"/>
  <c r="N67" i="188"/>
  <c r="N67" i="179"/>
  <c r="N67" i="161"/>
  <c r="N67" i="176"/>
  <c r="N67" i="191"/>
  <c r="N67" i="185"/>
  <c r="N67" i="172"/>
  <c r="N67" i="190"/>
  <c r="N67" i="169"/>
  <c r="N67" i="184"/>
  <c r="N67" i="174"/>
  <c r="N67" i="181"/>
  <c r="N67" i="178"/>
  <c r="N67" i="173"/>
  <c r="N67" i="180"/>
  <c r="N67" i="159"/>
  <c r="N65" i="167"/>
  <c r="N65" i="184"/>
  <c r="N90" i="159"/>
  <c r="N100" i="183"/>
  <c r="N100" i="163"/>
  <c r="N100" i="194"/>
  <c r="N100" i="164"/>
  <c r="N100" i="189"/>
  <c r="N100" i="165"/>
  <c r="N100" i="175"/>
  <c r="N100" i="158"/>
  <c r="N100" i="176"/>
  <c r="N100" i="161"/>
  <c r="N100" i="168"/>
  <c r="N100" i="188"/>
  <c r="N100" i="179"/>
  <c r="N100" i="167"/>
  <c r="N100" i="191"/>
  <c r="N100" i="185"/>
  <c r="N100" i="186"/>
  <c r="N100" i="180"/>
  <c r="N100" i="169"/>
  <c r="N100" i="172"/>
  <c r="N100" i="190"/>
  <c r="N100" i="187"/>
  <c r="N100" i="170"/>
  <c r="N100" i="184"/>
  <c r="N100" i="174"/>
  <c r="N100" i="181"/>
  <c r="N100" i="178"/>
  <c r="N100" i="173"/>
  <c r="P92" i="183"/>
  <c r="P92" i="163"/>
  <c r="P92" i="164"/>
  <c r="P92" i="194"/>
  <c r="P92" i="189"/>
  <c r="P92" i="175"/>
  <c r="P92" i="165"/>
  <c r="P92" i="176"/>
  <c r="P92" i="167"/>
  <c r="P92" i="158"/>
  <c r="P92" i="161"/>
  <c r="P92" i="186"/>
  <c r="P92" i="191"/>
  <c r="P92" i="185"/>
  <c r="P92" i="168"/>
  <c r="P92" i="188"/>
  <c r="P92" i="179"/>
  <c r="P92" i="172"/>
  <c r="P92" i="190"/>
  <c r="P92" i="118"/>
  <c r="P92" i="180"/>
  <c r="P92" i="169"/>
  <c r="P92" i="173"/>
  <c r="P92" i="181"/>
  <c r="P92" i="178"/>
  <c r="P92" i="159"/>
  <c r="P90" i="183"/>
  <c r="P90" i="176"/>
  <c r="P90" i="168"/>
  <c r="P90" i="159"/>
  <c r="N102" i="198"/>
  <c r="P100" i="198"/>
  <c r="P99" i="198"/>
  <c r="N90" i="198"/>
  <c r="N88" i="198"/>
  <c r="N77" i="198"/>
  <c r="N75" i="198"/>
  <c r="N67" i="198"/>
  <c r="N63" i="198"/>
  <c r="N54" i="198"/>
  <c r="P27" i="198"/>
  <c r="P26" i="198"/>
  <c r="N99" i="170"/>
  <c r="P92" i="170"/>
  <c r="N63" i="170"/>
  <c r="P100" i="173"/>
  <c r="P64" i="173"/>
  <c r="N100" i="159"/>
  <c r="P67" i="178"/>
  <c r="N103" i="181"/>
  <c r="P67" i="181"/>
  <c r="N61" i="177"/>
  <c r="M61" i="192"/>
  <c r="U33" i="192"/>
  <c r="M33" i="192"/>
  <c r="S28" i="192"/>
  <c r="O28" i="192"/>
  <c r="P72" i="192"/>
  <c r="K28" i="192"/>
  <c r="L71" i="192"/>
  <c r="P111" i="177"/>
  <c r="O116" i="177"/>
  <c r="P116" i="177"/>
  <c r="R115" i="192"/>
  <c r="V114" i="192"/>
  <c r="N114" i="192"/>
  <c r="R113" i="192"/>
  <c r="R97" i="192"/>
  <c r="V46" i="192"/>
  <c r="N46" i="192"/>
  <c r="R45" i="192"/>
  <c r="V44" i="192"/>
  <c r="N44" i="192"/>
  <c r="R43" i="192"/>
  <c r="V42" i="192"/>
  <c r="R41" i="192"/>
  <c r="V40" i="192"/>
  <c r="R39" i="192"/>
  <c r="V38" i="192"/>
  <c r="N38" i="192"/>
  <c r="R37" i="192"/>
  <c r="V36" i="192"/>
  <c r="N36" i="192"/>
  <c r="R32" i="192"/>
  <c r="V28" i="192"/>
  <c r="R28" i="192"/>
  <c r="N28" i="192"/>
  <c r="V27" i="192"/>
  <c r="R26" i="192"/>
  <c r="V25" i="192"/>
  <c r="N25" i="192"/>
  <c r="R24" i="192"/>
  <c r="V23" i="192"/>
  <c r="N23" i="192"/>
  <c r="T111" i="177"/>
  <c r="S116" i="177"/>
  <c r="T116" i="177"/>
  <c r="R62" i="177"/>
  <c r="Q112" i="177"/>
  <c r="L111" i="177"/>
  <c r="K116" i="177"/>
  <c r="L116" i="177"/>
  <c r="T27" i="177"/>
  <c r="L27" i="177"/>
  <c r="P26" i="177"/>
  <c r="T25" i="177"/>
  <c r="L25" i="177"/>
  <c r="P24" i="177"/>
  <c r="T23" i="177"/>
  <c r="L23" i="177"/>
  <c r="P21" i="177"/>
  <c r="T20" i="177"/>
  <c r="L20" i="177"/>
  <c r="R46" i="177"/>
  <c r="V45" i="177"/>
  <c r="N45" i="177"/>
  <c r="R44" i="177"/>
  <c r="V43" i="177"/>
  <c r="N43" i="177"/>
  <c r="R42" i="177"/>
  <c r="V41" i="177"/>
  <c r="N41" i="177"/>
  <c r="R40" i="177"/>
  <c r="V39" i="177"/>
  <c r="N39" i="177"/>
  <c r="R38" i="177"/>
  <c r="V37" i="177"/>
  <c r="N37" i="177"/>
  <c r="R36" i="177"/>
  <c r="V32" i="177"/>
  <c r="N32" i="177"/>
  <c r="T28" i="177"/>
  <c r="P28" i="177"/>
  <c r="L28" i="177"/>
  <c r="R27" i="177"/>
  <c r="V26" i="177"/>
  <c r="N26" i="177"/>
  <c r="R25" i="177"/>
  <c r="V24" i="177"/>
  <c r="N24" i="177"/>
  <c r="R23" i="177"/>
  <c r="P27" i="177"/>
  <c r="T26" i="177"/>
  <c r="L26" i="177"/>
  <c r="P25" i="177"/>
  <c r="T24" i="177"/>
  <c r="L24" i="177"/>
  <c r="P23" i="177"/>
  <c r="O115" i="198"/>
  <c r="P115" i="198"/>
  <c r="U115" i="198"/>
  <c r="V115" i="198"/>
  <c r="N81" i="198"/>
  <c r="M115" i="198"/>
  <c r="N115" i="198"/>
  <c r="T63" i="167"/>
  <c r="N65" i="158"/>
  <c r="N86" i="170"/>
  <c r="N86" i="188"/>
  <c r="N88" i="178"/>
  <c r="N88" i="176"/>
  <c r="P104" i="194"/>
  <c r="N65" i="169"/>
  <c r="N65" i="194"/>
  <c r="N86" i="159"/>
  <c r="N86" i="176"/>
  <c r="N88" i="15"/>
  <c r="N88" i="175"/>
  <c r="P68" i="189"/>
  <c r="N98" i="181"/>
  <c r="N65" i="191"/>
  <c r="N76" i="159"/>
  <c r="N86" i="165"/>
  <c r="N88" i="172"/>
  <c r="N88" i="164"/>
  <c r="P86" i="186"/>
  <c r="N98" i="188"/>
  <c r="N76" i="170"/>
  <c r="P103" i="190"/>
  <c r="N98" i="184"/>
  <c r="N88" i="187"/>
  <c r="T24" i="198"/>
  <c r="P77" i="170"/>
  <c r="N65" i="170"/>
  <c r="N65" i="190"/>
  <c r="N65" i="172"/>
  <c r="N65" i="179"/>
  <c r="N65" i="118"/>
  <c r="N65" i="165"/>
  <c r="N65" i="164"/>
  <c r="N76" i="174"/>
  <c r="N76" i="158"/>
  <c r="N86" i="187"/>
  <c r="N86" i="173"/>
  <c r="N86" i="180"/>
  <c r="N86" i="161"/>
  <c r="N86" i="168"/>
  <c r="N86" i="158"/>
  <c r="N86" i="183"/>
  <c r="N88" i="181"/>
  <c r="N88" i="169"/>
  <c r="N88" i="185"/>
  <c r="N88" i="188"/>
  <c r="N88" i="118"/>
  <c r="N88" i="189"/>
  <c r="N88" i="183"/>
  <c r="P70" i="179"/>
  <c r="N98" i="167"/>
  <c r="P103" i="181"/>
  <c r="N104" i="159"/>
  <c r="P77" i="118"/>
  <c r="N88" i="170"/>
  <c r="N65" i="187"/>
  <c r="N65" i="180"/>
  <c r="N65" i="185"/>
  <c r="N65" i="188"/>
  <c r="N65" i="176"/>
  <c r="N65" i="175"/>
  <c r="N65" i="163"/>
  <c r="N76" i="190"/>
  <c r="N86" i="190"/>
  <c r="N86" i="178"/>
  <c r="N86" i="169"/>
  <c r="N86" i="186"/>
  <c r="N86" i="118"/>
  <c r="N86" i="175"/>
  <c r="N86" i="194"/>
  <c r="N88" i="159"/>
  <c r="N88" i="174"/>
  <c r="N88" i="180"/>
  <c r="N88" i="191"/>
  <c r="N88" i="168"/>
  <c r="N88" i="167"/>
  <c r="N88" i="165"/>
  <c r="N92" i="173"/>
  <c r="T26" i="198"/>
  <c r="T44" i="198"/>
  <c r="P70" i="164"/>
  <c r="N98" i="185"/>
  <c r="N98" i="189"/>
  <c r="P103" i="165"/>
  <c r="N86" i="184"/>
  <c r="N65" i="198"/>
  <c r="N86" i="198"/>
  <c r="N65" i="174"/>
  <c r="N65" i="159"/>
  <c r="N65" i="161"/>
  <c r="N65" i="186"/>
  <c r="N65" i="168"/>
  <c r="N65" i="189"/>
  <c r="N65" i="183"/>
  <c r="N76" i="161"/>
  <c r="N76" i="183"/>
  <c r="N86" i="172"/>
  <c r="N86" i="181"/>
  <c r="N86" i="185"/>
  <c r="N86" i="179"/>
  <c r="N86" i="167"/>
  <c r="N86" i="189"/>
  <c r="N88" i="173"/>
  <c r="N88" i="184"/>
  <c r="N88" i="190"/>
  <c r="N88" i="161"/>
  <c r="N88" i="186"/>
  <c r="N88" i="158"/>
  <c r="T19" i="198"/>
  <c r="T36" i="198"/>
  <c r="T63" i="189"/>
  <c r="P68" i="180"/>
  <c r="P86" i="174"/>
  <c r="N98" i="187"/>
  <c r="N98" i="179"/>
  <c r="N98" i="165"/>
  <c r="P104" i="172"/>
  <c r="N92" i="190"/>
  <c r="N65" i="173"/>
  <c r="N76" i="187"/>
  <c r="P78" i="185"/>
  <c r="N63" i="174"/>
  <c r="N63" i="191"/>
  <c r="N63" i="158"/>
  <c r="N63" i="183"/>
  <c r="P98" i="181"/>
  <c r="N103" i="170"/>
  <c r="N63" i="177"/>
  <c r="P56" i="159"/>
  <c r="P90" i="180"/>
  <c r="N98" i="159"/>
  <c r="N98" i="191"/>
  <c r="N98" i="176"/>
  <c r="N63" i="159"/>
  <c r="N63" i="169"/>
  <c r="N63" i="188"/>
  <c r="N77" i="177"/>
  <c r="N77" i="164"/>
  <c r="N77" i="165"/>
  <c r="N77" i="176"/>
  <c r="N77" i="179"/>
  <c r="N77" i="169"/>
  <c r="N77" i="15"/>
  <c r="N77" i="184"/>
  <c r="N77" i="173"/>
  <c r="N77" i="163"/>
  <c r="N77" i="189"/>
  <c r="N77" i="118"/>
  <c r="N77" i="188"/>
  <c r="N77" i="180"/>
  <c r="N77" i="186"/>
  <c r="N77" i="167"/>
  <c r="N77" i="178"/>
  <c r="N77" i="159"/>
  <c r="P67" i="163"/>
  <c r="P67" i="189"/>
  <c r="P67" i="167"/>
  <c r="P67" i="191"/>
  <c r="P67" i="168"/>
  <c r="P67" i="180"/>
  <c r="P67" i="184"/>
  <c r="P67" i="173"/>
  <c r="P67" i="183"/>
  <c r="P67" i="176"/>
  <c r="P67" i="158"/>
  <c r="P67" i="118"/>
  <c r="P67" i="159"/>
  <c r="P67" i="174"/>
  <c r="P64" i="163"/>
  <c r="P64" i="189"/>
  <c r="P64" i="167"/>
  <c r="P64" i="186"/>
  <c r="P64" i="172"/>
  <c r="P64" i="181"/>
  <c r="P64" i="187"/>
  <c r="P64" i="194"/>
  <c r="P64" i="176"/>
  <c r="P64" i="161"/>
  <c r="P64" i="185"/>
  <c r="P64" i="179"/>
  <c r="P64" i="190"/>
  <c r="P64" i="184"/>
  <c r="P99" i="183"/>
  <c r="P99" i="189"/>
  <c r="P99" i="176"/>
  <c r="P99" i="158"/>
  <c r="P99" i="168"/>
  <c r="P99" i="172"/>
  <c r="P99" i="159"/>
  <c r="P99" i="174"/>
  <c r="P99" i="178"/>
  <c r="P99" i="164"/>
  <c r="P99" i="165"/>
  <c r="P99" i="186"/>
  <c r="P99" i="118"/>
  <c r="P99" i="169"/>
  <c r="P99" i="170"/>
  <c r="P65" i="177"/>
  <c r="P65" i="184"/>
  <c r="P65" i="198"/>
  <c r="P65" i="174"/>
  <c r="P65" i="183"/>
  <c r="P65" i="167"/>
  <c r="P65" i="186"/>
  <c r="P65" i="168"/>
  <c r="P65" i="181"/>
  <c r="P65" i="187"/>
  <c r="P65" i="194"/>
  <c r="P65" i="176"/>
  <c r="P65" i="161"/>
  <c r="P65" i="191"/>
  <c r="P65" i="190"/>
  <c r="P65" i="173"/>
  <c r="P65" i="159"/>
  <c r="P102" i="177"/>
  <c r="P102" i="194"/>
  <c r="P102" i="175"/>
  <c r="P102" i="158"/>
  <c r="P102" i="186"/>
  <c r="P102" i="169"/>
  <c r="P102" i="15"/>
  <c r="P102" i="184"/>
  <c r="P102" i="181"/>
  <c r="P102" i="163"/>
  <c r="P102" i="165"/>
  <c r="P102" i="167"/>
  <c r="P102" i="179"/>
  <c r="P102" i="180"/>
  <c r="P102" i="190"/>
  <c r="P102" i="170"/>
  <c r="P100" i="177"/>
  <c r="P100" i="164"/>
  <c r="P100" i="175"/>
  <c r="P100" i="158"/>
  <c r="P100" i="185"/>
  <c r="P100" i="190"/>
  <c r="P100" i="184"/>
  <c r="P100" i="183"/>
  <c r="P100" i="189"/>
  <c r="P100" i="167"/>
  <c r="P100" i="191"/>
  <c r="P100" i="179"/>
  <c r="P100" i="172"/>
  <c r="P100" i="159"/>
  <c r="P100" i="174"/>
  <c r="N103" i="177"/>
  <c r="N103" i="175"/>
  <c r="N103" i="169"/>
  <c r="N103" i="164"/>
  <c r="N78" i="177"/>
  <c r="N78" i="170"/>
  <c r="N78" i="176"/>
  <c r="P98" i="177"/>
  <c r="P98" i="167"/>
  <c r="P98" i="187"/>
  <c r="P98" i="190"/>
  <c r="P54" i="178"/>
  <c r="P54" i="170"/>
  <c r="P56" i="164"/>
  <c r="P56" i="191"/>
  <c r="P56" i="181"/>
  <c r="P56" i="167"/>
  <c r="P56" i="187"/>
  <c r="P78" i="194"/>
  <c r="P78" i="158"/>
  <c r="P78" i="159"/>
  <c r="P78" i="177"/>
  <c r="P78" i="198"/>
  <c r="P78" i="175"/>
  <c r="P78" i="180"/>
  <c r="N63" i="194"/>
  <c r="N63" i="189"/>
  <c r="N63" i="186"/>
  <c r="N63" i="161"/>
  <c r="N63" i="176"/>
  <c r="N63" i="184"/>
  <c r="N63" i="178"/>
  <c r="N63" i="187"/>
  <c r="N63" i="164"/>
  <c r="N63" i="165"/>
  <c r="N63" i="118"/>
  <c r="N63" i="179"/>
  <c r="N63" i="172"/>
  <c r="N63" i="15"/>
  <c r="N63" i="181"/>
  <c r="P90" i="174"/>
  <c r="P90" i="186"/>
  <c r="P54" i="164"/>
  <c r="P56" i="163"/>
  <c r="P78" i="172"/>
  <c r="N63" i="180"/>
  <c r="N63" i="185"/>
  <c r="N63" i="167"/>
  <c r="N63" i="163"/>
  <c r="P98" i="163"/>
  <c r="P56" i="177"/>
  <c r="N98" i="183"/>
  <c r="M98" i="195"/>
  <c r="N98" i="195"/>
  <c r="N98" i="158"/>
  <c r="N98" i="168"/>
  <c r="N98" i="161"/>
  <c r="N98" i="169"/>
  <c r="N98" i="173"/>
  <c r="N98" i="194"/>
  <c r="N98" i="175"/>
  <c r="N98" i="118"/>
  <c r="N98" i="186"/>
  <c r="N98" i="180"/>
  <c r="N98" i="178"/>
  <c r="N98" i="170"/>
  <c r="N98" i="190"/>
  <c r="N88" i="177"/>
  <c r="N88" i="194"/>
  <c r="N88" i="163"/>
  <c r="P90" i="190"/>
  <c r="P98" i="159"/>
  <c r="P78" i="187"/>
  <c r="P98" i="198"/>
  <c r="N103" i="198"/>
  <c r="P90" i="170"/>
  <c r="P90" i="178"/>
  <c r="P90" i="15"/>
  <c r="P90" i="185"/>
  <c r="P90" i="161"/>
  <c r="P90" i="165"/>
  <c r="P90" i="194"/>
  <c r="P78" i="184"/>
  <c r="T42" i="198"/>
  <c r="T102" i="197"/>
  <c r="P54" i="181"/>
  <c r="P56" i="173"/>
  <c r="P56" i="184"/>
  <c r="P56" i="180"/>
  <c r="P56" i="118"/>
  <c r="P56" i="158"/>
  <c r="P56" i="176"/>
  <c r="P56" i="183"/>
  <c r="T63" i="168"/>
  <c r="T63" i="163"/>
  <c r="P78" i="178"/>
  <c r="P78" i="169"/>
  <c r="P78" i="179"/>
  <c r="P78" i="191"/>
  <c r="P78" i="167"/>
  <c r="P78" i="189"/>
  <c r="P78" i="163"/>
  <c r="N78" i="190"/>
  <c r="N78" i="165"/>
  <c r="P54" i="184"/>
  <c r="P90" i="198"/>
  <c r="P98" i="173"/>
  <c r="P98" i="184"/>
  <c r="P98" i="172"/>
  <c r="P98" i="168"/>
  <c r="P98" i="158"/>
  <c r="P98" i="176"/>
  <c r="P98" i="189"/>
  <c r="P98" i="183"/>
  <c r="N103" i="187"/>
  <c r="N103" i="180"/>
  <c r="N103" i="179"/>
  <c r="N103" i="185"/>
  <c r="N103" i="167"/>
  <c r="N103" i="163"/>
  <c r="P90" i="173"/>
  <c r="P78" i="118"/>
  <c r="P56" i="198"/>
  <c r="P90" i="177"/>
  <c r="T113" i="198"/>
  <c r="N103" i="178"/>
  <c r="P78" i="174"/>
  <c r="P90" i="187"/>
  <c r="P90" i="181"/>
  <c r="P90" i="179"/>
  <c r="P90" i="191"/>
  <c r="P90" i="158"/>
  <c r="P90" i="175"/>
  <c r="P90" i="164"/>
  <c r="P54" i="187"/>
  <c r="T40" i="198"/>
  <c r="P54" i="173"/>
  <c r="P54" i="191"/>
  <c r="P54" i="158"/>
  <c r="P54" i="183"/>
  <c r="P56" i="174"/>
  <c r="P56" i="169"/>
  <c r="P56" i="179"/>
  <c r="P56" i="172"/>
  <c r="P56" i="186"/>
  <c r="P56" i="165"/>
  <c r="P56" i="194"/>
  <c r="T63" i="181"/>
  <c r="T63" i="185"/>
  <c r="P78" i="181"/>
  <c r="P78" i="15"/>
  <c r="P78" i="188"/>
  <c r="P78" i="186"/>
  <c r="P78" i="176"/>
  <c r="P78" i="193"/>
  <c r="P78" i="183"/>
  <c r="N78" i="185"/>
  <c r="N78" i="163"/>
  <c r="P54" i="198"/>
  <c r="P98" i="174"/>
  <c r="P98" i="169"/>
  <c r="P98" i="118"/>
  <c r="P98" i="186"/>
  <c r="P98" i="165"/>
  <c r="P98" i="194"/>
  <c r="N103" i="173"/>
  <c r="N103" i="184"/>
  <c r="N103" i="190"/>
  <c r="N103" i="188"/>
  <c r="N103" i="191"/>
  <c r="N103" i="176"/>
  <c r="N103" i="189"/>
  <c r="N103" i="183"/>
  <c r="P78" i="170"/>
  <c r="P54" i="177"/>
  <c r="P90" i="172"/>
  <c r="T82" i="198"/>
  <c r="T23" i="198"/>
  <c r="P90" i="184"/>
  <c r="P90" i="169"/>
  <c r="P90" i="188"/>
  <c r="P90" i="118"/>
  <c r="P90" i="167"/>
  <c r="P90" i="189"/>
  <c r="N66" i="165"/>
  <c r="T25" i="198"/>
  <c r="T38" i="198"/>
  <c r="P54" i="169"/>
  <c r="P56" i="178"/>
  <c r="P56" i="170"/>
  <c r="P56" i="190"/>
  <c r="P56" i="188"/>
  <c r="P56" i="185"/>
  <c r="P56" i="161"/>
  <c r="P56" i="175"/>
  <c r="T63" i="187"/>
  <c r="P78" i="173"/>
  <c r="P78" i="190"/>
  <c r="P78" i="168"/>
  <c r="P78" i="161"/>
  <c r="P78" i="165"/>
  <c r="N78" i="188"/>
  <c r="P98" i="178"/>
  <c r="P98" i="170"/>
  <c r="P98" i="180"/>
  <c r="P98" i="179"/>
  <c r="P98" i="185"/>
  <c r="P98" i="161"/>
  <c r="P98" i="175"/>
  <c r="P98" i="164"/>
  <c r="N103" i="174"/>
  <c r="N103" i="159"/>
  <c r="N103" i="172"/>
  <c r="N103" i="168"/>
  <c r="N103" i="186"/>
  <c r="N103" i="165"/>
  <c r="N103" i="194"/>
  <c r="T63" i="194"/>
  <c r="V96" i="198"/>
  <c r="N42" i="192"/>
  <c r="N27" i="192"/>
  <c r="N40" i="192"/>
  <c r="N85" i="192"/>
  <c r="N82" i="192"/>
  <c r="N57" i="192"/>
  <c r="N79" i="192"/>
  <c r="N32" i="192"/>
  <c r="N69" i="192"/>
  <c r="N26" i="192"/>
  <c r="N37" i="192"/>
  <c r="N31" i="192"/>
  <c r="N71" i="192"/>
  <c r="N98" i="174"/>
  <c r="N98" i="198"/>
  <c r="N75" i="174"/>
  <c r="N75" i="184"/>
  <c r="P88" i="181"/>
  <c r="P88" i="198"/>
  <c r="P88" i="178"/>
  <c r="P76" i="198"/>
  <c r="P76" i="177"/>
  <c r="P92" i="177"/>
  <c r="P92" i="198"/>
  <c r="P92" i="187"/>
  <c r="P75" i="198"/>
  <c r="P75" i="177"/>
  <c r="P66" i="177"/>
  <c r="P66" i="198"/>
  <c r="N104" i="167"/>
  <c r="N45" i="198"/>
  <c r="N76" i="198"/>
  <c r="P77" i="188"/>
  <c r="P77" i="164"/>
  <c r="N68" i="174"/>
  <c r="N68" i="15"/>
  <c r="N68" i="172"/>
  <c r="N68" i="188"/>
  <c r="N68" i="176"/>
  <c r="N68" i="189"/>
  <c r="N68" i="164"/>
  <c r="N76" i="181"/>
  <c r="N76" i="169"/>
  <c r="N76" i="191"/>
  <c r="N76" i="188"/>
  <c r="N76" i="167"/>
  <c r="N76" i="175"/>
  <c r="N76" i="163"/>
  <c r="P104" i="187"/>
  <c r="L62" i="198"/>
  <c r="T63" i="178"/>
  <c r="T63" i="170"/>
  <c r="T63" i="190"/>
  <c r="T63" i="188"/>
  <c r="T63" i="172"/>
  <c r="T63" i="161"/>
  <c r="T63" i="175"/>
  <c r="T63" i="164"/>
  <c r="P68" i="190"/>
  <c r="P68" i="167"/>
  <c r="P70" i="169"/>
  <c r="P70" i="165"/>
  <c r="P86" i="118"/>
  <c r="P103" i="187"/>
  <c r="P103" i="167"/>
  <c r="P104" i="15"/>
  <c r="P104" i="189"/>
  <c r="N56" i="118"/>
  <c r="N64" i="173"/>
  <c r="N64" i="184"/>
  <c r="N64" i="191"/>
  <c r="N64" i="186"/>
  <c r="N64" i="179"/>
  <c r="N64" i="176"/>
  <c r="N64" i="189"/>
  <c r="N64" i="164"/>
  <c r="N92" i="170"/>
  <c r="N92" i="167"/>
  <c r="N104" i="174"/>
  <c r="N104" i="185"/>
  <c r="P77" i="177"/>
  <c r="N76" i="180"/>
  <c r="N56" i="184"/>
  <c r="N64" i="159"/>
  <c r="N68" i="198"/>
  <c r="P77" i="172"/>
  <c r="P77" i="167"/>
  <c r="N68" i="178"/>
  <c r="N68" i="170"/>
  <c r="N68" i="169"/>
  <c r="N68" i="191"/>
  <c r="N68" i="161"/>
  <c r="N68" i="158"/>
  <c r="M68" i="195"/>
  <c r="N68" i="195"/>
  <c r="N68" i="183"/>
  <c r="N76" i="173"/>
  <c r="N76" i="184"/>
  <c r="N76" i="172"/>
  <c r="N76" i="176"/>
  <c r="N76" i="186"/>
  <c r="N76" i="189"/>
  <c r="N76" i="194"/>
  <c r="T63" i="173"/>
  <c r="T63" i="184"/>
  <c r="T63" i="180"/>
  <c r="T63" i="118"/>
  <c r="T63" i="191"/>
  <c r="T63" i="176"/>
  <c r="S63" i="195"/>
  <c r="T63" i="195"/>
  <c r="T63" i="183"/>
  <c r="P68" i="168"/>
  <c r="P68" i="164"/>
  <c r="P70" i="185"/>
  <c r="P86" i="169"/>
  <c r="P86" i="165"/>
  <c r="P103" i="185"/>
  <c r="P103" i="163"/>
  <c r="P104" i="161"/>
  <c r="N64" i="181"/>
  <c r="N64" i="187"/>
  <c r="N64" i="169"/>
  <c r="N64" i="185"/>
  <c r="N64" i="168"/>
  <c r="N64" i="158"/>
  <c r="N64" i="193"/>
  <c r="N64" i="183"/>
  <c r="N92" i="180"/>
  <c r="N92" i="194"/>
  <c r="P31" i="198"/>
  <c r="N104" i="181"/>
  <c r="N104" i="189"/>
  <c r="N64" i="198"/>
  <c r="N104" i="198"/>
  <c r="P77" i="169"/>
  <c r="P77" i="189"/>
  <c r="N68" i="181"/>
  <c r="N68" i="187"/>
  <c r="N68" i="180"/>
  <c r="N68" i="179"/>
  <c r="N68" i="167"/>
  <c r="N68" i="165"/>
  <c r="N76" i="178"/>
  <c r="N76" i="15"/>
  <c r="N76" i="185"/>
  <c r="N76" i="179"/>
  <c r="N76" i="118"/>
  <c r="N76" i="165"/>
  <c r="N76" i="164"/>
  <c r="N104" i="173"/>
  <c r="T63" i="174"/>
  <c r="T63" i="169"/>
  <c r="T63" i="179"/>
  <c r="T63" i="158"/>
  <c r="T63" i="186"/>
  <c r="T63" i="165"/>
  <c r="P68" i="170"/>
  <c r="P70" i="159"/>
  <c r="P86" i="180"/>
  <c r="P86" i="194"/>
  <c r="P104" i="178"/>
  <c r="N56" i="174"/>
  <c r="N56" i="170"/>
  <c r="N64" i="174"/>
  <c r="N64" i="180"/>
  <c r="N64" i="167"/>
  <c r="N64" i="161"/>
  <c r="N64" i="165"/>
  <c r="N64" i="194"/>
  <c r="N92" i="189"/>
  <c r="N104" i="179"/>
  <c r="T41" i="198"/>
  <c r="T45" i="198"/>
  <c r="T46" i="198"/>
  <c r="T97" i="198"/>
  <c r="T39" i="198"/>
  <c r="T43" i="198"/>
  <c r="T72" i="198"/>
  <c r="T80" i="198"/>
  <c r="T74" i="198"/>
  <c r="T58" i="198"/>
  <c r="T53" i="198"/>
  <c r="T89" i="198"/>
  <c r="T83" i="198"/>
  <c r="T79" i="198"/>
  <c r="T71" i="198"/>
  <c r="T59" i="198"/>
  <c r="T32" i="198"/>
  <c r="T28" i="198"/>
  <c r="T96" i="198"/>
  <c r="T52" i="198"/>
  <c r="T112" i="198"/>
  <c r="T27" i="198"/>
  <c r="T94" i="198"/>
  <c r="T63" i="159"/>
  <c r="T61" i="198"/>
  <c r="T69" i="198"/>
  <c r="T93" i="198"/>
  <c r="T85" i="198"/>
  <c r="T81" i="198"/>
  <c r="T73" i="198"/>
  <c r="T62" i="198"/>
  <c r="T63" i="177"/>
  <c r="T91" i="198"/>
  <c r="T37" i="198"/>
  <c r="T31" i="198"/>
  <c r="T57" i="198"/>
  <c r="T20" i="198"/>
  <c r="T87" i="198"/>
  <c r="T21" i="198"/>
  <c r="T33" i="198"/>
  <c r="T60" i="198"/>
  <c r="T84" i="198"/>
  <c r="N104" i="177"/>
  <c r="N104" i="164"/>
  <c r="N104" i="175"/>
  <c r="N104" i="161"/>
  <c r="N104" i="158"/>
  <c r="N104" i="178"/>
  <c r="N104" i="184"/>
  <c r="N104" i="194"/>
  <c r="N104" i="165"/>
  <c r="N104" i="186"/>
  <c r="N104" i="168"/>
  <c r="N104" i="180"/>
  <c r="N104" i="172"/>
  <c r="N104" i="187"/>
  <c r="N104" i="183"/>
  <c r="N104" i="193"/>
  <c r="N104" i="176"/>
  <c r="N104" i="191"/>
  <c r="N104" i="188"/>
  <c r="N104" i="169"/>
  <c r="N104" i="190"/>
  <c r="N104" i="170"/>
  <c r="P68" i="194"/>
  <c r="P68" i="198"/>
  <c r="P103" i="164"/>
  <c r="P103" i="177"/>
  <c r="P103" i="174"/>
  <c r="P70" i="170"/>
  <c r="P70" i="198"/>
  <c r="P104" i="183"/>
  <c r="P104" i="198"/>
  <c r="N60" i="192"/>
  <c r="T111" i="198"/>
  <c r="N94" i="192"/>
  <c r="T63" i="198"/>
  <c r="N78" i="173"/>
  <c r="N56" i="198"/>
  <c r="N66" i="198"/>
  <c r="P77" i="174"/>
  <c r="P77" i="190"/>
  <c r="P77" i="181"/>
  <c r="P77" i="179"/>
  <c r="P77" i="191"/>
  <c r="P77" i="158"/>
  <c r="P77" i="175"/>
  <c r="P77" i="183"/>
  <c r="N66" i="173"/>
  <c r="N66" i="167"/>
  <c r="N78" i="178"/>
  <c r="P68" i="174"/>
  <c r="P68" i="159"/>
  <c r="P68" i="169"/>
  <c r="P68" i="188"/>
  <c r="P68" i="191"/>
  <c r="P68" i="158"/>
  <c r="P68" i="175"/>
  <c r="P68" i="183"/>
  <c r="P70" i="173"/>
  <c r="P70" i="118"/>
  <c r="P70" i="172"/>
  <c r="P70" i="161"/>
  <c r="P70" i="175"/>
  <c r="P70" i="194"/>
  <c r="P86" i="173"/>
  <c r="P86" i="184"/>
  <c r="P86" i="15"/>
  <c r="P86" i="168"/>
  <c r="P86" i="191"/>
  <c r="P86" i="176"/>
  <c r="P86" i="189"/>
  <c r="P86" i="183"/>
  <c r="P103" i="170"/>
  <c r="P103" i="178"/>
  <c r="P103" i="180"/>
  <c r="P103" i="186"/>
  <c r="P103" i="158"/>
  <c r="P103" i="189"/>
  <c r="P103" i="194"/>
  <c r="P104" i="173"/>
  <c r="P104" i="184"/>
  <c r="P104" i="190"/>
  <c r="P104" i="191"/>
  <c r="P104" i="168"/>
  <c r="P104" i="175"/>
  <c r="P104" i="164"/>
  <c r="N56" i="186"/>
  <c r="N78" i="161"/>
  <c r="N78" i="169"/>
  <c r="N78" i="179"/>
  <c r="N78" i="118"/>
  <c r="N78" i="175"/>
  <c r="N78" i="164"/>
  <c r="N92" i="184"/>
  <c r="N92" i="15"/>
  <c r="N92" i="169"/>
  <c r="N92" i="186"/>
  <c r="N92" i="168"/>
  <c r="N92" i="158"/>
  <c r="N92" i="164"/>
  <c r="N92" i="178"/>
  <c r="P77" i="198"/>
  <c r="P86" i="159"/>
  <c r="P68" i="177"/>
  <c r="P86" i="198"/>
  <c r="P104" i="177"/>
  <c r="N59" i="192"/>
  <c r="N80" i="192"/>
  <c r="N91" i="192"/>
  <c r="N73" i="192"/>
  <c r="N58" i="192"/>
  <c r="P70" i="180"/>
  <c r="P70" i="184"/>
  <c r="P103" i="184"/>
  <c r="P104" i="170"/>
  <c r="N78" i="198"/>
  <c r="N92" i="198"/>
  <c r="P77" i="187"/>
  <c r="P77" i="159"/>
  <c r="P77" i="180"/>
  <c r="P77" i="168"/>
  <c r="P77" i="186"/>
  <c r="P77" i="176"/>
  <c r="P77" i="193"/>
  <c r="P77" i="163"/>
  <c r="N66" i="185"/>
  <c r="N66" i="164"/>
  <c r="P68" i="187"/>
  <c r="P68" i="178"/>
  <c r="P68" i="15"/>
  <c r="P68" i="172"/>
  <c r="P68" i="186"/>
  <c r="P68" i="176"/>
  <c r="P68" i="163"/>
  <c r="P70" i="178"/>
  <c r="P70" i="15"/>
  <c r="P70" i="188"/>
  <c r="P70" i="191"/>
  <c r="P70" i="167"/>
  <c r="P70" i="189"/>
  <c r="P70" i="163"/>
  <c r="P86" i="178"/>
  <c r="P86" i="170"/>
  <c r="P86" i="190"/>
  <c r="P86" i="179"/>
  <c r="P86" i="158"/>
  <c r="P86" i="161"/>
  <c r="O86" i="195"/>
  <c r="P86" i="195"/>
  <c r="P86" i="164"/>
  <c r="P103" i="159"/>
  <c r="P103" i="15"/>
  <c r="P103" i="191"/>
  <c r="P103" i="188"/>
  <c r="P103" i="176"/>
  <c r="P103" i="193"/>
  <c r="P103" i="183"/>
  <c r="P104" i="181"/>
  <c r="P104" i="169"/>
  <c r="P104" i="176"/>
  <c r="P104" i="179"/>
  <c r="P104" i="158"/>
  <c r="P104" i="165"/>
  <c r="P104" i="163"/>
  <c r="N56" i="178"/>
  <c r="N56" i="189"/>
  <c r="N78" i="174"/>
  <c r="N78" i="187"/>
  <c r="N78" i="172"/>
  <c r="N78" i="191"/>
  <c r="N78" i="168"/>
  <c r="N78" i="158"/>
  <c r="N78" i="193"/>
  <c r="N78" i="183"/>
  <c r="N92" i="187"/>
  <c r="N92" i="172"/>
  <c r="N92" i="185"/>
  <c r="N92" i="179"/>
  <c r="N92" i="118"/>
  <c r="N92" i="165"/>
  <c r="N92" i="163"/>
  <c r="P70" i="187"/>
  <c r="P70" i="177"/>
  <c r="P77" i="173"/>
  <c r="P103" i="198"/>
  <c r="N92" i="177"/>
  <c r="N72" i="192"/>
  <c r="N84" i="192"/>
  <c r="N96" i="192"/>
  <c r="N52" i="192"/>
  <c r="N62" i="192"/>
  <c r="P77" i="184"/>
  <c r="P77" i="178"/>
  <c r="P77" i="15"/>
  <c r="P77" i="185"/>
  <c r="P77" i="161"/>
  <c r="P77" i="165"/>
  <c r="N66" i="179"/>
  <c r="P103" i="172"/>
  <c r="N78" i="181"/>
  <c r="P68" i="173"/>
  <c r="P68" i="184"/>
  <c r="P68" i="181"/>
  <c r="P68" i="179"/>
  <c r="P68" i="185"/>
  <c r="P68" i="161"/>
  <c r="P68" i="165"/>
  <c r="P70" i="181"/>
  <c r="P70" i="190"/>
  <c r="P70" i="168"/>
  <c r="P70" i="186"/>
  <c r="P70" i="176"/>
  <c r="P70" i="183"/>
  <c r="P86" i="181"/>
  <c r="P86" i="187"/>
  <c r="P86" i="172"/>
  <c r="P86" i="188"/>
  <c r="P86" i="185"/>
  <c r="P86" i="167"/>
  <c r="P86" i="175"/>
  <c r="P86" i="163"/>
  <c r="P103" i="173"/>
  <c r="P103" i="169"/>
  <c r="P103" i="161"/>
  <c r="P103" i="168"/>
  <c r="P103" i="175"/>
  <c r="P104" i="159"/>
  <c r="P104" i="174"/>
  <c r="P104" i="180"/>
  <c r="P104" i="185"/>
  <c r="P104" i="188"/>
  <c r="P104" i="167"/>
  <c r="O104" i="195"/>
  <c r="P104" i="195"/>
  <c r="N56" i="169"/>
  <c r="N56" i="194"/>
  <c r="N78" i="184"/>
  <c r="N78" i="159"/>
  <c r="N78" i="180"/>
  <c r="N78" i="186"/>
  <c r="N78" i="167"/>
  <c r="N78" i="189"/>
  <c r="N78" i="194"/>
  <c r="N92" i="174"/>
  <c r="N92" i="159"/>
  <c r="N92" i="161"/>
  <c r="N92" i="191"/>
  <c r="N92" i="188"/>
  <c r="N92" i="176"/>
  <c r="N92" i="193"/>
  <c r="N92" i="183"/>
  <c r="P70" i="174"/>
  <c r="N20" i="192"/>
  <c r="N45" i="192"/>
  <c r="N39" i="192"/>
  <c r="N97" i="192"/>
  <c r="N113" i="192"/>
  <c r="N24" i="192"/>
  <c r="N41" i="192"/>
  <c r="N115" i="192"/>
  <c r="N21" i="192"/>
  <c r="N74" i="192"/>
  <c r="N87" i="192"/>
  <c r="N81" i="192"/>
  <c r="N53" i="192"/>
  <c r="N95" i="192"/>
  <c r="N19" i="192"/>
  <c r="U111" i="198"/>
  <c r="V111" i="198"/>
  <c r="U116" i="192"/>
  <c r="V116" i="192"/>
  <c r="S116" i="198"/>
  <c r="T116" i="198"/>
  <c r="M116" i="192"/>
  <c r="N116" i="192"/>
  <c r="N111" i="192"/>
  <c r="N66" i="174"/>
  <c r="N66" i="159"/>
  <c r="N66" i="190"/>
  <c r="N66" i="172"/>
  <c r="N66" i="186"/>
  <c r="N66" i="118"/>
  <c r="N66" i="189"/>
  <c r="N66" i="194"/>
  <c r="N56" i="173"/>
  <c r="N56" i="180"/>
  <c r="N56" i="161"/>
  <c r="N56" i="168"/>
  <c r="N56" i="158"/>
  <c r="N56" i="175"/>
  <c r="N56" i="183"/>
  <c r="N65" i="181"/>
  <c r="N65" i="177"/>
  <c r="N86" i="174"/>
  <c r="N86" i="177"/>
  <c r="N102" i="159"/>
  <c r="N102" i="177"/>
  <c r="N98" i="172"/>
  <c r="N98" i="177"/>
  <c r="V52" i="198"/>
  <c r="U113" i="198"/>
  <c r="N56" i="191"/>
  <c r="R94" i="198"/>
  <c r="R63" i="177"/>
  <c r="N66" i="170"/>
  <c r="N66" i="178"/>
  <c r="N66" i="180"/>
  <c r="N66" i="191"/>
  <c r="N66" i="188"/>
  <c r="N66" i="176"/>
  <c r="N66" i="193"/>
  <c r="N56" i="187"/>
  <c r="N56" i="181"/>
  <c r="N56" i="172"/>
  <c r="N56" i="179"/>
  <c r="N56" i="167"/>
  <c r="N56" i="165"/>
  <c r="N56" i="164"/>
  <c r="N52" i="198"/>
  <c r="M113" i="198"/>
  <c r="N113" i="198"/>
  <c r="N67" i="170"/>
  <c r="N67" i="177"/>
  <c r="N99" i="198"/>
  <c r="N99" i="177"/>
  <c r="N54" i="181"/>
  <c r="N66" i="184"/>
  <c r="N66" i="177"/>
  <c r="N56" i="190"/>
  <c r="N66" i="187"/>
  <c r="N66" i="181"/>
  <c r="N66" i="169"/>
  <c r="N66" i="161"/>
  <c r="N66" i="168"/>
  <c r="N66" i="158"/>
  <c r="N66" i="175"/>
  <c r="N66" i="183"/>
  <c r="L73" i="198"/>
  <c r="L63" i="177"/>
  <c r="N56" i="159"/>
  <c r="N56" i="15"/>
  <c r="N56" i="185"/>
  <c r="N56" i="188"/>
  <c r="N56" i="176"/>
  <c r="N56" i="193"/>
  <c r="N56" i="163"/>
  <c r="N68" i="159"/>
  <c r="N68" i="177"/>
  <c r="R31" i="192"/>
  <c r="Q31" i="198"/>
  <c r="Q33" i="198"/>
  <c r="R33" i="198"/>
  <c r="P111" i="198"/>
  <c r="O116" i="198"/>
  <c r="P116" i="198"/>
  <c r="N111" i="198"/>
  <c r="N112" i="192"/>
  <c r="M112" i="198"/>
  <c r="N112" i="198"/>
  <c r="M33" i="198"/>
  <c r="N31" i="198"/>
  <c r="L19" i="192"/>
  <c r="P91" i="192"/>
  <c r="R63" i="191"/>
  <c r="R63" i="193"/>
  <c r="L87" i="192"/>
  <c r="R58" i="198"/>
  <c r="L53" i="198"/>
  <c r="L85" i="198"/>
  <c r="R52" i="198"/>
  <c r="R91" i="198"/>
  <c r="L33" i="192"/>
  <c r="L116" i="192"/>
  <c r="L111" i="192"/>
  <c r="L84" i="192"/>
  <c r="R63" i="161"/>
  <c r="R63" i="183"/>
  <c r="R74" i="198"/>
  <c r="L112" i="198"/>
  <c r="L116" i="198"/>
  <c r="L82" i="192"/>
  <c r="R63" i="187"/>
  <c r="R63" i="168"/>
  <c r="P83" i="192"/>
  <c r="L33" i="198"/>
  <c r="R85" i="198"/>
  <c r="L60" i="198"/>
  <c r="R59" i="198"/>
  <c r="L83" i="192"/>
  <c r="R63" i="198"/>
  <c r="L95" i="192"/>
  <c r="R63" i="178"/>
  <c r="R63" i="158"/>
  <c r="P96" i="192"/>
  <c r="L59" i="198"/>
  <c r="L74" i="198"/>
  <c r="R82" i="198"/>
  <c r="R73" i="198"/>
  <c r="T20" i="192"/>
  <c r="T23" i="192"/>
  <c r="T25" i="192"/>
  <c r="T27" i="192"/>
  <c r="T36" i="192"/>
  <c r="T38" i="192"/>
  <c r="T40" i="192"/>
  <c r="T42" i="192"/>
  <c r="T44" i="192"/>
  <c r="T46" i="192"/>
  <c r="T21" i="192"/>
  <c r="T24" i="192"/>
  <c r="T26" i="192"/>
  <c r="T32" i="192"/>
  <c r="T37" i="192"/>
  <c r="T39" i="192"/>
  <c r="T41" i="192"/>
  <c r="T43" i="192"/>
  <c r="T45" i="192"/>
  <c r="T31" i="192"/>
  <c r="T59" i="192"/>
  <c r="T52" i="192"/>
  <c r="T60" i="192"/>
  <c r="T61" i="192"/>
  <c r="T97" i="192"/>
  <c r="T53" i="192"/>
  <c r="T57" i="192"/>
  <c r="T74" i="192"/>
  <c r="T82" i="192"/>
  <c r="T94" i="192"/>
  <c r="T113" i="192"/>
  <c r="T87" i="192"/>
  <c r="T91" i="192"/>
  <c r="T28" i="192"/>
  <c r="T83" i="192"/>
  <c r="T114" i="192"/>
  <c r="T71" i="192"/>
  <c r="T79" i="192"/>
  <c r="T95" i="192"/>
  <c r="T58" i="192"/>
  <c r="T115" i="192"/>
  <c r="T69" i="192"/>
  <c r="P54" i="175"/>
  <c r="P66" i="193"/>
  <c r="O66" i="195"/>
  <c r="P66" i="195"/>
  <c r="P75" i="193"/>
  <c r="O75" i="195"/>
  <c r="P75" i="195"/>
  <c r="P88" i="15"/>
  <c r="O88" i="192"/>
  <c r="P88" i="192"/>
  <c r="N54" i="159"/>
  <c r="N54" i="191"/>
  <c r="N77" i="193"/>
  <c r="M77" i="195"/>
  <c r="N77" i="195"/>
  <c r="N103" i="193"/>
  <c r="N33" i="192"/>
  <c r="P33" i="192"/>
  <c r="T72" i="192"/>
  <c r="T93" i="192"/>
  <c r="T111" i="192"/>
  <c r="R63" i="184"/>
  <c r="N65" i="15"/>
  <c r="N76" i="193"/>
  <c r="P99" i="193"/>
  <c r="O99" i="195"/>
  <c r="P99" i="195"/>
  <c r="N102" i="193"/>
  <c r="M102" i="195"/>
  <c r="N102" i="195"/>
  <c r="P84" i="192"/>
  <c r="P54" i="180"/>
  <c r="P54" i="167"/>
  <c r="P54" i="193"/>
  <c r="O54" i="195"/>
  <c r="L63" i="163"/>
  <c r="L63" i="164"/>
  <c r="L63" i="183"/>
  <c r="L63" i="194"/>
  <c r="L63" i="189"/>
  <c r="L63" i="175"/>
  <c r="L63" i="165"/>
  <c r="L63" i="176"/>
  <c r="L63" i="167"/>
  <c r="L63" i="158"/>
  <c r="L63" i="161"/>
  <c r="L63" i="186"/>
  <c r="L63" i="118"/>
  <c r="L63" i="191"/>
  <c r="L63" i="185"/>
  <c r="L63" i="172"/>
  <c r="L63" i="168"/>
  <c r="L63" i="188"/>
  <c r="L63" i="179"/>
  <c r="L63" i="180"/>
  <c r="L63" i="169"/>
  <c r="L63" i="181"/>
  <c r="L63" i="178"/>
  <c r="L63" i="190"/>
  <c r="L63" i="159"/>
  <c r="L63" i="184"/>
  <c r="L63" i="187"/>
  <c r="L63" i="170"/>
  <c r="L63" i="174"/>
  <c r="L63" i="173"/>
  <c r="L63" i="198"/>
  <c r="T63" i="15"/>
  <c r="P64" i="15"/>
  <c r="P70" i="193"/>
  <c r="N99" i="15"/>
  <c r="P102" i="193"/>
  <c r="O102" i="195"/>
  <c r="P102" i="195"/>
  <c r="P104" i="193"/>
  <c r="T84" i="192"/>
  <c r="N54" i="178"/>
  <c r="N54" i="15"/>
  <c r="N54" i="180"/>
  <c r="N54" i="186"/>
  <c r="N54" i="118"/>
  <c r="N54" i="167"/>
  <c r="N54" i="194"/>
  <c r="R63" i="190"/>
  <c r="R63" i="181"/>
  <c r="R63" i="169"/>
  <c r="R63" i="186"/>
  <c r="R63" i="118"/>
  <c r="R63" i="189"/>
  <c r="R63" i="194"/>
  <c r="N64" i="15"/>
  <c r="N90" i="193"/>
  <c r="M90" i="195"/>
  <c r="N90" i="195"/>
  <c r="P19" i="192"/>
  <c r="T85" i="192"/>
  <c r="O105" i="197"/>
  <c r="P95" i="197"/>
  <c r="P95" i="192"/>
  <c r="P98" i="15"/>
  <c r="R53" i="198"/>
  <c r="R60" i="198"/>
  <c r="L80" i="198"/>
  <c r="R89" i="198"/>
  <c r="R63" i="174"/>
  <c r="R61" i="198"/>
  <c r="R79" i="198"/>
  <c r="L89" i="198"/>
  <c r="R113" i="198"/>
  <c r="R84" i="198"/>
  <c r="R62" i="198"/>
  <c r="L81" i="198"/>
  <c r="L57" i="198"/>
  <c r="N61" i="192"/>
  <c r="N61" i="198"/>
  <c r="N67" i="193"/>
  <c r="M67" i="195"/>
  <c r="N67" i="195"/>
  <c r="N75" i="193"/>
  <c r="M75" i="195"/>
  <c r="N75" i="195"/>
  <c r="N86" i="193"/>
  <c r="P100" i="193"/>
  <c r="O100" i="195"/>
  <c r="P100" i="195"/>
  <c r="P54" i="118"/>
  <c r="P54" i="188"/>
  <c r="P54" i="163"/>
  <c r="P66" i="15"/>
  <c r="O66" i="192"/>
  <c r="P66" i="192"/>
  <c r="N54" i="184"/>
  <c r="N54" i="188"/>
  <c r="N54" i="193"/>
  <c r="M54" i="195"/>
  <c r="N54" i="183"/>
  <c r="R112" i="177"/>
  <c r="Q116" i="177"/>
  <c r="R116" i="177"/>
  <c r="Q112" i="192"/>
  <c r="L20" i="192"/>
  <c r="L23" i="192"/>
  <c r="L25" i="192"/>
  <c r="L27" i="192"/>
  <c r="L36" i="192"/>
  <c r="L38" i="192"/>
  <c r="L40" i="192"/>
  <c r="L42" i="192"/>
  <c r="L44" i="192"/>
  <c r="L46" i="192"/>
  <c r="L21" i="192"/>
  <c r="L24" i="192"/>
  <c r="L26" i="192"/>
  <c r="L32" i="192"/>
  <c r="L37" i="192"/>
  <c r="L39" i="192"/>
  <c r="L41" i="192"/>
  <c r="L43" i="192"/>
  <c r="L45" i="192"/>
  <c r="L53" i="192"/>
  <c r="L57" i="192"/>
  <c r="L61" i="192"/>
  <c r="L114" i="192"/>
  <c r="L115" i="192"/>
  <c r="L58" i="192"/>
  <c r="L31" i="192"/>
  <c r="L59" i="192"/>
  <c r="L72" i="192"/>
  <c r="L80" i="192"/>
  <c r="L97" i="192"/>
  <c r="L52" i="192"/>
  <c r="L60" i="192"/>
  <c r="L69" i="192"/>
  <c r="L93" i="192"/>
  <c r="L73" i="192"/>
  <c r="L81" i="192"/>
  <c r="L89" i="192"/>
  <c r="L113" i="192"/>
  <c r="L112" i="192"/>
  <c r="L28" i="192"/>
  <c r="L85" i="192"/>
  <c r="R33" i="192"/>
  <c r="T33" i="192"/>
  <c r="T80" i="192"/>
  <c r="L96" i="192"/>
  <c r="T116" i="192"/>
  <c r="R102" i="197"/>
  <c r="R21" i="198"/>
  <c r="R24" i="198"/>
  <c r="R26" i="198"/>
  <c r="R28" i="198"/>
  <c r="R25" i="198"/>
  <c r="R42" i="198"/>
  <c r="R43" i="198"/>
  <c r="R97" i="198"/>
  <c r="R99" i="177"/>
  <c r="R56" i="177"/>
  <c r="R70" i="177"/>
  <c r="R78" i="177"/>
  <c r="R103" i="177"/>
  <c r="R104" i="177"/>
  <c r="R27" i="198"/>
  <c r="R36" i="198"/>
  <c r="R37" i="198"/>
  <c r="R44" i="198"/>
  <c r="R45" i="198"/>
  <c r="R98" i="177"/>
  <c r="R100" i="177"/>
  <c r="R23" i="198"/>
  <c r="R32" i="198"/>
  <c r="R40" i="198"/>
  <c r="R64" i="177"/>
  <c r="R65" i="177"/>
  <c r="R66" i="177"/>
  <c r="R76" i="177"/>
  <c r="R77" i="177"/>
  <c r="R86" i="177"/>
  <c r="R92" i="177"/>
  <c r="R20" i="198"/>
  <c r="R38" i="198"/>
  <c r="R39" i="198"/>
  <c r="R46" i="198"/>
  <c r="R41" i="198"/>
  <c r="R67" i="177"/>
  <c r="R68" i="177"/>
  <c r="R75" i="177"/>
  <c r="R88" i="177"/>
  <c r="R90" i="177"/>
  <c r="R102" i="177"/>
  <c r="P90" i="193"/>
  <c r="P92" i="15"/>
  <c r="P92" i="193"/>
  <c r="O92" i="195"/>
  <c r="P92" i="195"/>
  <c r="N100" i="15"/>
  <c r="M100" i="192"/>
  <c r="N100" i="192"/>
  <c r="N67" i="15"/>
  <c r="N68" i="193"/>
  <c r="N75" i="15"/>
  <c r="N88" i="193"/>
  <c r="M88" i="195"/>
  <c r="N88" i="195"/>
  <c r="P100" i="15"/>
  <c r="L74" i="192"/>
  <c r="P87" i="192"/>
  <c r="N95" i="197"/>
  <c r="M105" i="197"/>
  <c r="N95" i="198"/>
  <c r="S105" i="197"/>
  <c r="T95" i="197"/>
  <c r="T95" i="198"/>
  <c r="P54" i="159"/>
  <c r="P54" i="15"/>
  <c r="P54" i="186"/>
  <c r="P54" i="176"/>
  <c r="P54" i="194"/>
  <c r="P56" i="15"/>
  <c r="T63" i="193"/>
  <c r="P67" i="15"/>
  <c r="P67" i="193"/>
  <c r="O67" i="195"/>
  <c r="P67" i="195"/>
  <c r="P76" i="15"/>
  <c r="P76" i="193"/>
  <c r="O76" i="195"/>
  <c r="P76" i="195"/>
  <c r="P88" i="193"/>
  <c r="O88" i="195"/>
  <c r="P88" i="195"/>
  <c r="P71" i="192"/>
  <c r="T112" i="192"/>
  <c r="N54" i="187"/>
  <c r="N54" i="161"/>
  <c r="N54" i="172"/>
  <c r="N54" i="179"/>
  <c r="N54" i="176"/>
  <c r="N54" i="165"/>
  <c r="N54" i="164"/>
  <c r="N63" i="193"/>
  <c r="M63" i="195"/>
  <c r="N63" i="195"/>
  <c r="R63" i="159"/>
  <c r="R63" i="172"/>
  <c r="R63" i="179"/>
  <c r="R63" i="167"/>
  <c r="R63" i="165"/>
  <c r="R63" i="164"/>
  <c r="N90" i="15"/>
  <c r="M90" i="192"/>
  <c r="N90" i="192"/>
  <c r="L91" i="192"/>
  <c r="L62" i="192"/>
  <c r="L71" i="198"/>
  <c r="L82" i="198"/>
  <c r="R93" i="198"/>
  <c r="L79" i="198"/>
  <c r="R69" i="198"/>
  <c r="R81" i="198"/>
  <c r="L93" i="198"/>
  <c r="R19" i="198"/>
  <c r="L61" i="198"/>
  <c r="L91" i="198"/>
  <c r="L69" i="198"/>
  <c r="L83" i="198"/>
  <c r="R111" i="198"/>
  <c r="T19" i="192"/>
  <c r="N100" i="193"/>
  <c r="M100" i="195"/>
  <c r="N100" i="195"/>
  <c r="T81" i="192"/>
  <c r="N65" i="193"/>
  <c r="M65" i="195"/>
  <c r="N65" i="195"/>
  <c r="N66" i="15"/>
  <c r="N102" i="15"/>
  <c r="N54" i="173"/>
  <c r="P54" i="168"/>
  <c r="P54" i="189"/>
  <c r="P64" i="193"/>
  <c r="N54" i="169"/>
  <c r="N54" i="158"/>
  <c r="P21" i="192"/>
  <c r="P24" i="192"/>
  <c r="P26" i="192"/>
  <c r="P32" i="192"/>
  <c r="P37" i="192"/>
  <c r="P39" i="192"/>
  <c r="P41" i="192"/>
  <c r="P43" i="192"/>
  <c r="P45" i="192"/>
  <c r="P20" i="192"/>
  <c r="P23" i="192"/>
  <c r="P25" i="192"/>
  <c r="P27" i="192"/>
  <c r="P36" i="192"/>
  <c r="P38" i="192"/>
  <c r="P40" i="192"/>
  <c r="P42" i="192"/>
  <c r="P44" i="192"/>
  <c r="P46" i="192"/>
  <c r="P58" i="192"/>
  <c r="P97" i="192"/>
  <c r="P28" i="192"/>
  <c r="P31" i="192"/>
  <c r="P59" i="192"/>
  <c r="P111" i="192"/>
  <c r="P113" i="192"/>
  <c r="P114" i="192"/>
  <c r="P52" i="192"/>
  <c r="P60" i="192"/>
  <c r="P61" i="192"/>
  <c r="P69" i="192"/>
  <c r="P73" i="192"/>
  <c r="P81" i="192"/>
  <c r="P85" i="192"/>
  <c r="P89" i="192"/>
  <c r="P93" i="192"/>
  <c r="P112" i="192"/>
  <c r="P115" i="192"/>
  <c r="P74" i="192"/>
  <c r="P82" i="192"/>
  <c r="P53" i="192"/>
  <c r="P94" i="192"/>
  <c r="P57" i="192"/>
  <c r="P62" i="192"/>
  <c r="V33" i="192"/>
  <c r="P116" i="192"/>
  <c r="T62" i="192"/>
  <c r="T96" i="192"/>
  <c r="N86" i="15"/>
  <c r="P99" i="15"/>
  <c r="L79" i="192"/>
  <c r="T89" i="192"/>
  <c r="P54" i="174"/>
  <c r="P54" i="190"/>
  <c r="P54" i="179"/>
  <c r="P54" i="185"/>
  <c r="P54" i="161"/>
  <c r="P54" i="165"/>
  <c r="P56" i="193"/>
  <c r="O56" i="195"/>
  <c r="P56" i="195"/>
  <c r="P63" i="15"/>
  <c r="O63" i="192"/>
  <c r="P63" i="192"/>
  <c r="P63" i="193"/>
  <c r="O63" i="195"/>
  <c r="P63" i="195"/>
  <c r="P65" i="15"/>
  <c r="P65" i="193"/>
  <c r="P75" i="15"/>
  <c r="O75" i="192"/>
  <c r="P75" i="192"/>
  <c r="N98" i="15"/>
  <c r="N99" i="193"/>
  <c r="M99" i="195"/>
  <c r="N99" i="195"/>
  <c r="P79" i="192"/>
  <c r="L102" i="197"/>
  <c r="L36" i="198"/>
  <c r="L38" i="198"/>
  <c r="L40" i="198"/>
  <c r="L42" i="198"/>
  <c r="L44" i="198"/>
  <c r="L46" i="198"/>
  <c r="L20" i="198"/>
  <c r="L21" i="198"/>
  <c r="L28" i="198"/>
  <c r="L39" i="198"/>
  <c r="L88" i="177"/>
  <c r="L92" i="177"/>
  <c r="L103" i="177"/>
  <c r="L104" i="177"/>
  <c r="L23" i="198"/>
  <c r="L24" i="198"/>
  <c r="L32" i="198"/>
  <c r="L41" i="198"/>
  <c r="L56" i="177"/>
  <c r="L64" i="177"/>
  <c r="L65" i="177"/>
  <c r="L66" i="177"/>
  <c r="L67" i="177"/>
  <c r="L68" i="177"/>
  <c r="L70" i="177"/>
  <c r="L75" i="177"/>
  <c r="L76" i="177"/>
  <c r="L77" i="177"/>
  <c r="L78" i="177"/>
  <c r="L86" i="177"/>
  <c r="L90" i="177"/>
  <c r="L97" i="198"/>
  <c r="L27" i="198"/>
  <c r="L37" i="198"/>
  <c r="L45" i="198"/>
  <c r="L98" i="177"/>
  <c r="L25" i="198"/>
  <c r="L26" i="198"/>
  <c r="L43" i="198"/>
  <c r="L99" i="177"/>
  <c r="L100" i="177"/>
  <c r="N54" i="174"/>
  <c r="N54" i="170"/>
  <c r="N54" i="190"/>
  <c r="N54" i="185"/>
  <c r="N54" i="168"/>
  <c r="N54" i="189"/>
  <c r="N54" i="175"/>
  <c r="N54" i="163"/>
  <c r="R63" i="170"/>
  <c r="R63" i="173"/>
  <c r="R63" i="180"/>
  <c r="R63" i="185"/>
  <c r="R63" i="188"/>
  <c r="R63" i="176"/>
  <c r="R63" i="175"/>
  <c r="R63" i="163"/>
  <c r="N78" i="15"/>
  <c r="P80" i="192"/>
  <c r="L94" i="192"/>
  <c r="L31" i="198"/>
  <c r="T73" i="192"/>
  <c r="L19" i="198"/>
  <c r="P98" i="193"/>
  <c r="R72" i="198"/>
  <c r="L84" i="198"/>
  <c r="R96" i="198"/>
  <c r="L111" i="198"/>
  <c r="L58" i="198"/>
  <c r="L72" i="198"/>
  <c r="R83" i="198"/>
  <c r="L96" i="198"/>
  <c r="L52" i="198"/>
  <c r="R80" i="198"/>
  <c r="L94" i="198"/>
  <c r="R57" i="198"/>
  <c r="R71" i="198"/>
  <c r="R87" i="198"/>
  <c r="L113" i="198"/>
  <c r="L87" i="198"/>
  <c r="O78" i="195"/>
  <c r="P78" i="195"/>
  <c r="O102" i="192"/>
  <c r="P102" i="192"/>
  <c r="O100" i="192"/>
  <c r="P100" i="192"/>
  <c r="V84" i="198"/>
  <c r="M103" i="192"/>
  <c r="N103" i="192"/>
  <c r="N98" i="193"/>
  <c r="N103" i="15"/>
  <c r="M63" i="192"/>
  <c r="N63" i="192"/>
  <c r="O65" i="192"/>
  <c r="P65" i="192"/>
  <c r="O65" i="195"/>
  <c r="P65" i="195"/>
  <c r="O99" i="192"/>
  <c r="P99" i="192"/>
  <c r="M77" i="192"/>
  <c r="N77" i="192"/>
  <c r="M86" i="195"/>
  <c r="N86" i="195"/>
  <c r="M54" i="192"/>
  <c r="V79" i="198"/>
  <c r="V85" i="198"/>
  <c r="V81" i="198"/>
  <c r="V73" i="198"/>
  <c r="V19" i="198"/>
  <c r="O54" i="192"/>
  <c r="P54" i="192"/>
  <c r="O64" i="195"/>
  <c r="P64" i="195"/>
  <c r="M67" i="192"/>
  <c r="N67" i="192"/>
  <c r="M56" i="195"/>
  <c r="N56" i="195"/>
  <c r="V113" i="198"/>
  <c r="V89" i="198"/>
  <c r="V83" i="198"/>
  <c r="O98" i="195"/>
  <c r="P98" i="195"/>
  <c r="M88" i="192"/>
  <c r="N88" i="192"/>
  <c r="O76" i="192"/>
  <c r="P76" i="192"/>
  <c r="O67" i="192"/>
  <c r="P67" i="192"/>
  <c r="O64" i="192"/>
  <c r="P64" i="192"/>
  <c r="M76" i="195"/>
  <c r="N76" i="195"/>
  <c r="V62" i="198"/>
  <c r="V59" i="198"/>
  <c r="V57" i="198"/>
  <c r="V82" i="198"/>
  <c r="O78" i="192"/>
  <c r="P78" i="192"/>
  <c r="O56" i="192"/>
  <c r="P56" i="192"/>
  <c r="O98" i="192"/>
  <c r="P98" i="192"/>
  <c r="M103" i="195"/>
  <c r="N103" i="195"/>
  <c r="O68" i="195"/>
  <c r="P68" i="195"/>
  <c r="P54" i="172"/>
  <c r="O90" i="195"/>
  <c r="P90" i="195"/>
  <c r="M64" i="195"/>
  <c r="N64" i="195"/>
  <c r="O90" i="192"/>
  <c r="P90" i="192"/>
  <c r="V112" i="198"/>
  <c r="V93" i="198"/>
  <c r="M75" i="192"/>
  <c r="N75" i="192"/>
  <c r="P68" i="193"/>
  <c r="O92" i="192"/>
  <c r="P92" i="192"/>
  <c r="N70" i="177"/>
  <c r="N70" i="164"/>
  <c r="N70" i="165"/>
  <c r="N70" i="118"/>
  <c r="N70" i="179"/>
  <c r="N70" i="172"/>
  <c r="N70" i="190"/>
  <c r="N70" i="170"/>
  <c r="N70" i="194"/>
  <c r="N70" i="189"/>
  <c r="N70" i="167"/>
  <c r="N70" i="186"/>
  <c r="N70" i="161"/>
  <c r="N70" i="184"/>
  <c r="N70" i="163"/>
  <c r="N70" i="175"/>
  <c r="N70" i="176"/>
  <c r="N70" i="188"/>
  <c r="N70" i="185"/>
  <c r="N70" i="180"/>
  <c r="N70" i="187"/>
  <c r="N70" i="183"/>
  <c r="N70" i="191"/>
  <c r="N70" i="169"/>
  <c r="N70" i="168"/>
  <c r="N70" i="174"/>
  <c r="N70" i="158"/>
  <c r="N70" i="178"/>
  <c r="N70" i="181"/>
  <c r="N70" i="198"/>
  <c r="N70" i="159"/>
  <c r="N70" i="173"/>
  <c r="V63" i="177"/>
  <c r="V63" i="183"/>
  <c r="V63" i="158"/>
  <c r="V63" i="168"/>
  <c r="V63" i="186"/>
  <c r="V63" i="169"/>
  <c r="V63" i="159"/>
  <c r="V63" i="174"/>
  <c r="V63" i="173"/>
  <c r="V63" i="163"/>
  <c r="V63" i="175"/>
  <c r="V63" i="176"/>
  <c r="V63" i="188"/>
  <c r="V63" i="185"/>
  <c r="V63" i="180"/>
  <c r="V63" i="187"/>
  <c r="V63" i="194"/>
  <c r="V63" i="189"/>
  <c r="V63" i="167"/>
  <c r="V63" i="191"/>
  <c r="V63" i="161"/>
  <c r="V63" i="184"/>
  <c r="V63" i="165"/>
  <c r="V63" i="190"/>
  <c r="V63" i="118"/>
  <c r="V63" i="170"/>
  <c r="V63" i="178"/>
  <c r="V63" i="181"/>
  <c r="V63" i="164"/>
  <c r="V63" i="172"/>
  <c r="V63" i="179"/>
  <c r="V63" i="198"/>
  <c r="M64" i="192"/>
  <c r="N64" i="192"/>
  <c r="V72" i="198"/>
  <c r="V97" i="198"/>
  <c r="V44" i="198"/>
  <c r="V91" i="198"/>
  <c r="V69" i="198"/>
  <c r="V53" i="198"/>
  <c r="V45" i="198"/>
  <c r="V61" i="198"/>
  <c r="V37" i="198"/>
  <c r="V43" i="198"/>
  <c r="V87" i="198"/>
  <c r="V74" i="198"/>
  <c r="V71" i="198"/>
  <c r="V26" i="198"/>
  <c r="V80" i="198"/>
  <c r="V33" i="198"/>
  <c r="V23" i="198"/>
  <c r="V32" i="198"/>
  <c r="V40" i="198"/>
  <c r="V94" i="198"/>
  <c r="V38" i="198"/>
  <c r="V25" i="198"/>
  <c r="V24" i="198"/>
  <c r="V39" i="198"/>
  <c r="V58" i="198"/>
  <c r="V36" i="198"/>
  <c r="V20" i="198"/>
  <c r="V28" i="198"/>
  <c r="V41" i="198"/>
  <c r="V46" i="198"/>
  <c r="V31" i="198"/>
  <c r="V42" i="198"/>
  <c r="V102" i="197"/>
  <c r="V60" i="198"/>
  <c r="V27" i="198"/>
  <c r="V21" i="198"/>
  <c r="O103" i="195"/>
  <c r="P103" i="195"/>
  <c r="M92" i="195"/>
  <c r="N92" i="195"/>
  <c r="O77" i="195"/>
  <c r="P77" i="195"/>
  <c r="U116" i="198"/>
  <c r="V116" i="198"/>
  <c r="M104" i="195"/>
  <c r="N104" i="195"/>
  <c r="M92" i="192"/>
  <c r="N92" i="192"/>
  <c r="M76" i="192"/>
  <c r="N76" i="192"/>
  <c r="M104" i="192"/>
  <c r="N104" i="192"/>
  <c r="O70" i="192"/>
  <c r="P70" i="192"/>
  <c r="N104" i="15"/>
  <c r="M78" i="195"/>
  <c r="N78" i="195"/>
  <c r="T98" i="177"/>
  <c r="T98" i="194"/>
  <c r="T98" i="165"/>
  <c r="T98" i="161"/>
  <c r="T98" i="168"/>
  <c r="T98" i="190"/>
  <c r="T98" i="118"/>
  <c r="T98" i="159"/>
  <c r="T98" i="183"/>
  <c r="T98" i="176"/>
  <c r="T98" i="186"/>
  <c r="T98" i="188"/>
  <c r="T98" i="173"/>
  <c r="T98" i="163"/>
  <c r="T98" i="189"/>
  <c r="T98" i="167"/>
  <c r="T98" i="191"/>
  <c r="T98" i="179"/>
  <c r="T98" i="180"/>
  <c r="T98" i="181"/>
  <c r="T98" i="158"/>
  <c r="T98" i="178"/>
  <c r="T98" i="185"/>
  <c r="T98" i="175"/>
  <c r="T98" i="169"/>
  <c r="T98" i="184"/>
  <c r="T98" i="170"/>
  <c r="T98" i="174"/>
  <c r="T98" i="172"/>
  <c r="T98" i="198"/>
  <c r="T98" i="164"/>
  <c r="T98" i="187"/>
  <c r="T99" i="177"/>
  <c r="T99" i="164"/>
  <c r="T99" i="161"/>
  <c r="T99" i="158"/>
  <c r="T99" i="179"/>
  <c r="T99" i="180"/>
  <c r="T99" i="194"/>
  <c r="T99" i="165"/>
  <c r="T99" i="186"/>
  <c r="T99" i="118"/>
  <c r="T99" i="169"/>
  <c r="T99" i="183"/>
  <c r="T99" i="189"/>
  <c r="T99" i="176"/>
  <c r="T99" i="191"/>
  <c r="T99" i="168"/>
  <c r="T99" i="172"/>
  <c r="T99" i="184"/>
  <c r="T99" i="185"/>
  <c r="T99" i="170"/>
  <c r="T99" i="178"/>
  <c r="T99" i="163"/>
  <c r="T99" i="188"/>
  <c r="T99" i="174"/>
  <c r="T99" i="175"/>
  <c r="T99" i="190"/>
  <c r="T99" i="173"/>
  <c r="T99" i="187"/>
  <c r="T99" i="181"/>
  <c r="T99" i="167"/>
  <c r="T99" i="159"/>
  <c r="T99" i="198"/>
  <c r="T68" i="198"/>
  <c r="T68" i="181"/>
  <c r="T68" i="177"/>
  <c r="T68" i="178"/>
  <c r="T68" i="163"/>
  <c r="T68" i="189"/>
  <c r="T68" i="167"/>
  <c r="T68" i="191"/>
  <c r="T68" i="168"/>
  <c r="T68" i="180"/>
  <c r="T68" i="184"/>
  <c r="T68" i="173"/>
  <c r="T68" i="164"/>
  <c r="T68" i="175"/>
  <c r="T68" i="161"/>
  <c r="T68" i="185"/>
  <c r="T68" i="188"/>
  <c r="T68" i="190"/>
  <c r="T68" i="187"/>
  <c r="T68" i="183"/>
  <c r="T68" i="176"/>
  <c r="T68" i="158"/>
  <c r="T68" i="118"/>
  <c r="T68" i="159"/>
  <c r="T68" i="174"/>
  <c r="T68" i="194"/>
  <c r="T68" i="179"/>
  <c r="T68" i="165"/>
  <c r="T68" i="169"/>
  <c r="T68" i="186"/>
  <c r="T68" i="170"/>
  <c r="T68" i="172"/>
  <c r="T103" i="198"/>
  <c r="T103" i="177"/>
  <c r="T103" i="164"/>
  <c r="T103" i="189"/>
  <c r="T103" i="168"/>
  <c r="T103" i="191"/>
  <c r="T103" i="172"/>
  <c r="T103" i="159"/>
  <c r="T103" i="174"/>
  <c r="T103" i="183"/>
  <c r="T103" i="176"/>
  <c r="T103" i="188"/>
  <c r="T103" i="185"/>
  <c r="T103" i="190"/>
  <c r="T103" i="187"/>
  <c r="T103" i="163"/>
  <c r="T103" i="165"/>
  <c r="T103" i="158"/>
  <c r="T103" i="179"/>
  <c r="T103" i="180"/>
  <c r="T103" i="170"/>
  <c r="T103" i="175"/>
  <c r="T103" i="161"/>
  <c r="T103" i="167"/>
  <c r="T103" i="184"/>
  <c r="T103" i="194"/>
  <c r="T103" i="169"/>
  <c r="T103" i="181"/>
  <c r="T103" i="173"/>
  <c r="T103" i="186"/>
  <c r="T103" i="178"/>
  <c r="T86" i="187"/>
  <c r="T86" i="198"/>
  <c r="T86" i="170"/>
  <c r="T86" i="177"/>
  <c r="T86" i="180"/>
  <c r="T86" i="183"/>
  <c r="T86" i="176"/>
  <c r="T86" i="186"/>
  <c r="T86" i="188"/>
  <c r="T86" i="190"/>
  <c r="T86" i="181"/>
  <c r="T86" i="174"/>
  <c r="T86" i="163"/>
  <c r="T86" i="189"/>
  <c r="T86" i="167"/>
  <c r="T86" i="191"/>
  <c r="T86" i="179"/>
  <c r="T86" i="178"/>
  <c r="T86" i="164"/>
  <c r="T86" i="175"/>
  <c r="T86" i="158"/>
  <c r="T86" i="185"/>
  <c r="T86" i="118"/>
  <c r="T86" i="169"/>
  <c r="T86" i="159"/>
  <c r="T86" i="194"/>
  <c r="T86" i="172"/>
  <c r="T86" i="165"/>
  <c r="T86" i="173"/>
  <c r="T86" i="168"/>
  <c r="T86" i="161"/>
  <c r="T86" i="184"/>
  <c r="T65" i="190"/>
  <c r="T65" i="173"/>
  <c r="T65" i="198"/>
  <c r="T65" i="177"/>
  <c r="T65" i="194"/>
  <c r="T65" i="165"/>
  <c r="T65" i="161"/>
  <c r="T65" i="185"/>
  <c r="T65" i="179"/>
  <c r="T65" i="181"/>
  <c r="T65" i="187"/>
  <c r="T65" i="163"/>
  <c r="T65" i="189"/>
  <c r="T65" i="176"/>
  <c r="T65" i="186"/>
  <c r="T65" i="172"/>
  <c r="T65" i="178"/>
  <c r="T65" i="170"/>
  <c r="T65" i="164"/>
  <c r="T65" i="175"/>
  <c r="T65" i="158"/>
  <c r="T65" i="191"/>
  <c r="T65" i="188"/>
  <c r="T65" i="169"/>
  <c r="T65" i="184"/>
  <c r="T65" i="180"/>
  <c r="T65" i="183"/>
  <c r="T65" i="168"/>
  <c r="T65" i="167"/>
  <c r="T65" i="159"/>
  <c r="T65" i="118"/>
  <c r="T65" i="174"/>
  <c r="T88" i="177"/>
  <c r="T88" i="198"/>
  <c r="T88" i="163"/>
  <c r="T88" i="175"/>
  <c r="T88" i="167"/>
  <c r="T88" i="185"/>
  <c r="T88" i="188"/>
  <c r="T88" i="190"/>
  <c r="T88" i="187"/>
  <c r="T88" i="181"/>
  <c r="T88" i="164"/>
  <c r="T88" i="161"/>
  <c r="T88" i="158"/>
  <c r="T88" i="179"/>
  <c r="T88" i="180"/>
  <c r="T88" i="170"/>
  <c r="T88" i="178"/>
  <c r="T88" i="159"/>
  <c r="T88" i="194"/>
  <c r="T88" i="165"/>
  <c r="T88" i="186"/>
  <c r="T88" i="118"/>
  <c r="T88" i="169"/>
  <c r="T88" i="174"/>
  <c r="T88" i="176"/>
  <c r="T88" i="184"/>
  <c r="T88" i="191"/>
  <c r="T88" i="173"/>
  <c r="T88" i="189"/>
  <c r="T88" i="172"/>
  <c r="T88" i="168"/>
  <c r="T88" i="183"/>
  <c r="T92" i="173"/>
  <c r="T92" i="164"/>
  <c r="T92" i="175"/>
  <c r="T92" i="158"/>
  <c r="T92" i="191"/>
  <c r="T92" i="179"/>
  <c r="T92" i="181"/>
  <c r="T92" i="190"/>
  <c r="T92" i="174"/>
  <c r="T92" i="194"/>
  <c r="T92" i="165"/>
  <c r="T92" i="161"/>
  <c r="T92" i="185"/>
  <c r="T92" i="178"/>
  <c r="T92" i="184"/>
  <c r="T92" i="177"/>
  <c r="T92" i="183"/>
  <c r="T92" i="176"/>
  <c r="T92" i="186"/>
  <c r="T92" i="168"/>
  <c r="T92" i="180"/>
  <c r="T92" i="159"/>
  <c r="T92" i="187"/>
  <c r="T92" i="198"/>
  <c r="T92" i="189"/>
  <c r="T92" i="169"/>
  <c r="T92" i="167"/>
  <c r="T92" i="172"/>
  <c r="T92" i="163"/>
  <c r="T92" i="188"/>
  <c r="T92" i="118"/>
  <c r="T92" i="170"/>
  <c r="T54" i="198"/>
  <c r="T54" i="173"/>
  <c r="T54" i="183"/>
  <c r="T54" i="176"/>
  <c r="T54" i="118"/>
  <c r="T54" i="167"/>
  <c r="T54" i="181"/>
  <c r="T54" i="184"/>
  <c r="T54" i="165"/>
  <c r="T54" i="180"/>
  <c r="T54" i="169"/>
  <c r="T54" i="163"/>
  <c r="T54" i="189"/>
  <c r="T54" i="158"/>
  <c r="T54" i="188"/>
  <c r="T54" i="168"/>
  <c r="T54" i="190"/>
  <c r="T54" i="170"/>
  <c r="T54" i="187"/>
  <c r="T54" i="186"/>
  <c r="T54" i="178"/>
  <c r="T54" i="164"/>
  <c r="T54" i="175"/>
  <c r="T54" i="161"/>
  <c r="T54" i="185"/>
  <c r="T54" i="179"/>
  <c r="T54" i="191"/>
  <c r="T54" i="159"/>
  <c r="T54" i="174"/>
  <c r="T54" i="194"/>
  <c r="T54" i="172"/>
  <c r="R31" i="198"/>
  <c r="P86" i="193"/>
  <c r="M99" i="192"/>
  <c r="N99" i="192"/>
  <c r="M66" i="195"/>
  <c r="N66" i="195"/>
  <c r="T77" i="177"/>
  <c r="T77" i="198"/>
  <c r="T77" i="164"/>
  <c r="T77" i="175"/>
  <c r="T77" i="161"/>
  <c r="T77" i="185"/>
  <c r="T77" i="194"/>
  <c r="T77" i="165"/>
  <c r="T77" i="186"/>
  <c r="T77" i="118"/>
  <c r="T77" i="169"/>
  <c r="T77" i="170"/>
  <c r="T77" i="183"/>
  <c r="T77" i="189"/>
  <c r="T77" i="176"/>
  <c r="T77" i="158"/>
  <c r="T77" i="168"/>
  <c r="T77" i="180"/>
  <c r="T77" i="159"/>
  <c r="T77" i="174"/>
  <c r="T77" i="191"/>
  <c r="T77" i="190"/>
  <c r="T77" i="163"/>
  <c r="T77" i="188"/>
  <c r="T77" i="184"/>
  <c r="T77" i="167"/>
  <c r="T77" i="172"/>
  <c r="T77" i="173"/>
  <c r="T77" i="181"/>
  <c r="T77" i="187"/>
  <c r="T77" i="179"/>
  <c r="T77" i="178"/>
  <c r="T64" i="181"/>
  <c r="T64" i="198"/>
  <c r="T64" i="177"/>
  <c r="T64" i="178"/>
  <c r="T64" i="163"/>
  <c r="T64" i="189"/>
  <c r="T64" i="167"/>
  <c r="T64" i="185"/>
  <c r="T64" i="168"/>
  <c r="T64" i="180"/>
  <c r="T64" i="184"/>
  <c r="T64" i="173"/>
  <c r="T64" i="164"/>
  <c r="T64" i="175"/>
  <c r="T64" i="161"/>
  <c r="T64" i="172"/>
  <c r="T64" i="188"/>
  <c r="T64" i="190"/>
  <c r="T64" i="187"/>
  <c r="T64" i="183"/>
  <c r="T64" i="176"/>
  <c r="T64" i="158"/>
  <c r="T64" i="191"/>
  <c r="T64" i="159"/>
  <c r="T64" i="174"/>
  <c r="T64" i="165"/>
  <c r="T64" i="169"/>
  <c r="T64" i="194"/>
  <c r="T64" i="179"/>
  <c r="T64" i="186"/>
  <c r="T64" i="170"/>
  <c r="T64" i="118"/>
  <c r="T102" i="159"/>
  <c r="T102" i="177"/>
  <c r="T102" i="198"/>
  <c r="T102" i="194"/>
  <c r="T102" i="165"/>
  <c r="T102" i="161"/>
  <c r="T102" i="191"/>
  <c r="T102" i="167"/>
  <c r="T102" i="174"/>
  <c r="T102" i="163"/>
  <c r="T102" i="189"/>
  <c r="T102" i="169"/>
  <c r="T102" i="186"/>
  <c r="T102" i="173"/>
  <c r="T102" i="164"/>
  <c r="T102" i="175"/>
  <c r="T102" i="168"/>
  <c r="T102" i="185"/>
  <c r="T102" i="172"/>
  <c r="T102" i="187"/>
  <c r="T102" i="181"/>
  <c r="T102" i="176"/>
  <c r="T102" i="184"/>
  <c r="T102" i="183"/>
  <c r="T102" i="158"/>
  <c r="T102" i="188"/>
  <c r="T102" i="180"/>
  <c r="T102" i="190"/>
  <c r="T102" i="170"/>
  <c r="T102" i="178"/>
  <c r="T102" i="179"/>
  <c r="T76" i="198"/>
  <c r="T76" i="177"/>
  <c r="T76" i="183"/>
  <c r="T76" i="176"/>
  <c r="T76" i="191"/>
  <c r="T76" i="168"/>
  <c r="T76" i="180"/>
  <c r="T76" i="184"/>
  <c r="T76" i="173"/>
  <c r="T76" i="163"/>
  <c r="T76" i="189"/>
  <c r="T76" i="167"/>
  <c r="T76" i="185"/>
  <c r="T76" i="188"/>
  <c r="T76" i="187"/>
  <c r="T76" i="181"/>
  <c r="T76" i="194"/>
  <c r="T76" i="165"/>
  <c r="T76" i="186"/>
  <c r="T76" i="118"/>
  <c r="T76" i="158"/>
  <c r="T76" i="169"/>
  <c r="T76" i="174"/>
  <c r="T76" i="164"/>
  <c r="T76" i="179"/>
  <c r="T76" i="159"/>
  <c r="T76" i="172"/>
  <c r="T76" i="178"/>
  <c r="T76" i="175"/>
  <c r="T76" i="190"/>
  <c r="T76" i="161"/>
  <c r="T76" i="170"/>
  <c r="T100" i="178"/>
  <c r="T100" i="164"/>
  <c r="T100" i="165"/>
  <c r="T100" i="186"/>
  <c r="T100" i="168"/>
  <c r="T100" i="172"/>
  <c r="T100" i="159"/>
  <c r="T100" i="174"/>
  <c r="T100" i="181"/>
  <c r="T100" i="183"/>
  <c r="T100" i="189"/>
  <c r="T100" i="176"/>
  <c r="T100" i="158"/>
  <c r="T100" i="188"/>
  <c r="T100" i="190"/>
  <c r="T100" i="184"/>
  <c r="T100" i="173"/>
  <c r="T100" i="177"/>
  <c r="T100" i="163"/>
  <c r="T100" i="167"/>
  <c r="T100" i="191"/>
  <c r="T100" i="179"/>
  <c r="T100" i="180"/>
  <c r="T100" i="187"/>
  <c r="T100" i="161"/>
  <c r="T100" i="170"/>
  <c r="T100" i="185"/>
  <c r="T100" i="194"/>
  <c r="T100" i="175"/>
  <c r="T100" i="169"/>
  <c r="T100" i="198"/>
  <c r="T56" i="198"/>
  <c r="T56" i="177"/>
  <c r="T56" i="170"/>
  <c r="T56" i="163"/>
  <c r="T56" i="189"/>
  <c r="T56" i="167"/>
  <c r="T56" i="185"/>
  <c r="T56" i="188"/>
  <c r="T56" i="164"/>
  <c r="T56" i="165"/>
  <c r="T56" i="158"/>
  <c r="T56" i="172"/>
  <c r="T56" i="179"/>
  <c r="T56" i="183"/>
  <c r="T56" i="176"/>
  <c r="T56" i="186"/>
  <c r="T56" i="168"/>
  <c r="T56" i="194"/>
  <c r="T56" i="190"/>
  <c r="T56" i="173"/>
  <c r="T56" i="159"/>
  <c r="T56" i="180"/>
  <c r="T56" i="175"/>
  <c r="T56" i="118"/>
  <c r="T56" i="191"/>
  <c r="T56" i="174"/>
  <c r="T56" i="161"/>
  <c r="T56" i="169"/>
  <c r="T56" i="181"/>
  <c r="T56" i="184"/>
  <c r="T56" i="187"/>
  <c r="T56" i="178"/>
  <c r="T66" i="184"/>
  <c r="T66" i="177"/>
  <c r="T66" i="198"/>
  <c r="T66" i="164"/>
  <c r="T66" i="165"/>
  <c r="T66" i="161"/>
  <c r="T66" i="185"/>
  <c r="T66" i="179"/>
  <c r="T66" i="169"/>
  <c r="T66" i="178"/>
  <c r="T66" i="194"/>
  <c r="T66" i="176"/>
  <c r="T66" i="186"/>
  <c r="T66" i="172"/>
  <c r="T66" i="190"/>
  <c r="T66" i="173"/>
  <c r="T66" i="159"/>
  <c r="T66" i="163"/>
  <c r="T66" i="189"/>
  <c r="T66" i="158"/>
  <c r="T66" i="191"/>
  <c r="T66" i="188"/>
  <c r="T66" i="118"/>
  <c r="T66" i="181"/>
  <c r="T66" i="175"/>
  <c r="T66" i="187"/>
  <c r="T66" i="167"/>
  <c r="T66" i="180"/>
  <c r="T66" i="174"/>
  <c r="T66" i="183"/>
  <c r="T66" i="168"/>
  <c r="T66" i="170"/>
  <c r="T78" i="198"/>
  <c r="T78" i="177"/>
  <c r="T78" i="163"/>
  <c r="T78" i="176"/>
  <c r="T78" i="186"/>
  <c r="T78" i="168"/>
  <c r="T78" i="180"/>
  <c r="T78" i="172"/>
  <c r="T78" i="187"/>
  <c r="T78" i="164"/>
  <c r="T78" i="189"/>
  <c r="T78" i="167"/>
  <c r="T78" i="118"/>
  <c r="T78" i="188"/>
  <c r="T78" i="169"/>
  <c r="T78" i="190"/>
  <c r="T78" i="170"/>
  <c r="T78" i="183"/>
  <c r="T78" i="175"/>
  <c r="T78" i="158"/>
  <c r="T78" i="191"/>
  <c r="T78" i="179"/>
  <c r="T78" i="181"/>
  <c r="T78" i="159"/>
  <c r="T78" i="174"/>
  <c r="T78" i="165"/>
  <c r="T78" i="178"/>
  <c r="T78" i="161"/>
  <c r="T78" i="184"/>
  <c r="T78" i="194"/>
  <c r="T78" i="185"/>
  <c r="T78" i="173"/>
  <c r="T70" i="198"/>
  <c r="T70" i="194"/>
  <c r="T70" i="165"/>
  <c r="T70" i="161"/>
  <c r="T70" i="185"/>
  <c r="T70" i="179"/>
  <c r="T70" i="190"/>
  <c r="T70" i="184"/>
  <c r="T70" i="163"/>
  <c r="T70" i="189"/>
  <c r="T70" i="176"/>
  <c r="T70" i="186"/>
  <c r="T70" i="172"/>
  <c r="T70" i="181"/>
  <c r="T70" i="187"/>
  <c r="T70" i="177"/>
  <c r="T70" i="183"/>
  <c r="T70" i="158"/>
  <c r="T70" i="191"/>
  <c r="T70" i="188"/>
  <c r="T70" i="169"/>
  <c r="T70" i="159"/>
  <c r="T70" i="174"/>
  <c r="T70" i="118"/>
  <c r="T70" i="170"/>
  <c r="T70" i="167"/>
  <c r="T70" i="178"/>
  <c r="T70" i="164"/>
  <c r="T70" i="168"/>
  <c r="T70" i="173"/>
  <c r="T70" i="175"/>
  <c r="T70" i="180"/>
  <c r="S63" i="192"/>
  <c r="T63" i="192"/>
  <c r="T104" i="174"/>
  <c r="T104" i="198"/>
  <c r="T104" i="177"/>
  <c r="T104" i="184"/>
  <c r="T104" i="164"/>
  <c r="T104" i="175"/>
  <c r="T104" i="168"/>
  <c r="T104" i="161"/>
  <c r="T104" i="169"/>
  <c r="T104" i="173"/>
  <c r="T104" i="187"/>
  <c r="T104" i="194"/>
  <c r="T104" i="189"/>
  <c r="T104" i="186"/>
  <c r="T104" i="180"/>
  <c r="T104" i="183"/>
  <c r="T104" i="176"/>
  <c r="T104" i="188"/>
  <c r="T104" i="191"/>
  <c r="T104" i="159"/>
  <c r="T104" i="170"/>
  <c r="T104" i="178"/>
  <c r="T104" i="163"/>
  <c r="T104" i="165"/>
  <c r="T104" i="167"/>
  <c r="T104" i="179"/>
  <c r="T104" i="185"/>
  <c r="T104" i="181"/>
  <c r="T104" i="172"/>
  <c r="T104" i="158"/>
  <c r="T104" i="190"/>
  <c r="T75" i="177"/>
  <c r="T75" i="174"/>
  <c r="T75" i="198"/>
  <c r="T75" i="187"/>
  <c r="T75" i="184"/>
  <c r="T75" i="194"/>
  <c r="T75" i="176"/>
  <c r="T75" i="161"/>
  <c r="T75" i="172"/>
  <c r="T75" i="190"/>
  <c r="T75" i="173"/>
  <c r="T75" i="159"/>
  <c r="T75" i="183"/>
  <c r="T75" i="167"/>
  <c r="T75" i="186"/>
  <c r="T75" i="168"/>
  <c r="T75" i="181"/>
  <c r="T75" i="164"/>
  <c r="T75" i="165"/>
  <c r="T75" i="158"/>
  <c r="T75" i="185"/>
  <c r="T75" i="179"/>
  <c r="T75" i="169"/>
  <c r="T75" i="180"/>
  <c r="T75" i="175"/>
  <c r="T75" i="178"/>
  <c r="T75" i="189"/>
  <c r="T75" i="118"/>
  <c r="T75" i="191"/>
  <c r="T75" i="163"/>
  <c r="T75" i="188"/>
  <c r="T75" i="170"/>
  <c r="T67" i="198"/>
  <c r="T67" i="177"/>
  <c r="T67" i="194"/>
  <c r="T67" i="165"/>
  <c r="T67" i="186"/>
  <c r="T67" i="172"/>
  <c r="T67" i="179"/>
  <c r="T67" i="169"/>
  <c r="T67" i="174"/>
  <c r="T67" i="183"/>
  <c r="T67" i="176"/>
  <c r="T67" i="158"/>
  <c r="T67" i="118"/>
  <c r="T67" i="180"/>
  <c r="T67" i="184"/>
  <c r="T67" i="173"/>
  <c r="T67" i="164"/>
  <c r="T67" i="175"/>
  <c r="T67" i="161"/>
  <c r="T67" i="185"/>
  <c r="T67" i="188"/>
  <c r="T67" i="190"/>
  <c r="T67" i="170"/>
  <c r="T67" i="178"/>
  <c r="T67" i="189"/>
  <c r="T67" i="163"/>
  <c r="T67" i="168"/>
  <c r="T67" i="167"/>
  <c r="T67" i="187"/>
  <c r="T67" i="159"/>
  <c r="T67" i="191"/>
  <c r="T67" i="181"/>
  <c r="T90" i="177"/>
  <c r="T90" i="164"/>
  <c r="T90" i="165"/>
  <c r="T90" i="186"/>
  <c r="T90" i="118"/>
  <c r="T90" i="169"/>
  <c r="T90" i="170"/>
  <c r="T90" i="183"/>
  <c r="T90" i="189"/>
  <c r="T90" i="176"/>
  <c r="T90" i="158"/>
  <c r="T90" i="168"/>
  <c r="T90" i="172"/>
  <c r="T90" i="159"/>
  <c r="T90" i="174"/>
  <c r="T90" i="163"/>
  <c r="T90" i="167"/>
  <c r="T90" i="191"/>
  <c r="T90" i="188"/>
  <c r="T90" i="190"/>
  <c r="T90" i="184"/>
  <c r="T90" i="173"/>
  <c r="T90" i="198"/>
  <c r="T90" i="175"/>
  <c r="T90" i="180"/>
  <c r="T90" i="161"/>
  <c r="T90" i="187"/>
  <c r="T90" i="194"/>
  <c r="T90" i="179"/>
  <c r="T90" i="178"/>
  <c r="T90" i="181"/>
  <c r="T90" i="185"/>
  <c r="O68" i="192"/>
  <c r="P68" i="192"/>
  <c r="O70" i="195"/>
  <c r="P70" i="195"/>
  <c r="O105" i="177"/>
  <c r="O86" i="192"/>
  <c r="P86" i="192"/>
  <c r="O103" i="192"/>
  <c r="P103" i="192"/>
  <c r="M78" i="192"/>
  <c r="N78" i="192"/>
  <c r="O104" i="192"/>
  <c r="P104" i="192"/>
  <c r="M98" i="192"/>
  <c r="N98" i="192"/>
  <c r="M86" i="192"/>
  <c r="N86" i="192"/>
  <c r="O77" i="192"/>
  <c r="P77" i="192"/>
  <c r="N33" i="198"/>
  <c r="M102" i="192"/>
  <c r="N102" i="192"/>
  <c r="M68" i="192"/>
  <c r="N68" i="192"/>
  <c r="M56" i="192"/>
  <c r="N56" i="192"/>
  <c r="L54" i="177"/>
  <c r="R54" i="177"/>
  <c r="Q105" i="177"/>
  <c r="N54" i="177"/>
  <c r="L102" i="177"/>
  <c r="M66" i="192"/>
  <c r="N66" i="192"/>
  <c r="M65" i="192"/>
  <c r="N65" i="192"/>
  <c r="M116" i="198"/>
  <c r="L86" i="183"/>
  <c r="L86" i="163"/>
  <c r="L86" i="164"/>
  <c r="L86" i="194"/>
  <c r="L86" i="189"/>
  <c r="L86" i="175"/>
  <c r="L86" i="165"/>
  <c r="L86" i="176"/>
  <c r="L86" i="167"/>
  <c r="L86" i="161"/>
  <c r="L86" i="186"/>
  <c r="L86" i="158"/>
  <c r="L86" i="191"/>
  <c r="L86" i="185"/>
  <c r="L86" i="118"/>
  <c r="L86" i="168"/>
  <c r="L86" i="188"/>
  <c r="L86" i="179"/>
  <c r="L86" i="180"/>
  <c r="L86" i="172"/>
  <c r="L86" i="190"/>
  <c r="L86" i="169"/>
  <c r="L86" i="159"/>
  <c r="L86" i="184"/>
  <c r="L86" i="187"/>
  <c r="L86" i="170"/>
  <c r="L86" i="174"/>
  <c r="L86" i="173"/>
  <c r="L86" i="181"/>
  <c r="L86" i="178"/>
  <c r="L86" i="198"/>
  <c r="L75" i="183"/>
  <c r="L75" i="163"/>
  <c r="L75" i="164"/>
  <c r="L75" i="194"/>
  <c r="L75" i="189"/>
  <c r="L75" i="175"/>
  <c r="L75" i="165"/>
  <c r="L75" i="176"/>
  <c r="L75" i="167"/>
  <c r="L75" i="161"/>
  <c r="L75" i="186"/>
  <c r="L75" i="158"/>
  <c r="L75" i="191"/>
  <c r="L75" i="185"/>
  <c r="L75" i="172"/>
  <c r="L75" i="118"/>
  <c r="L75" i="168"/>
  <c r="L75" i="188"/>
  <c r="L75" i="179"/>
  <c r="L75" i="180"/>
  <c r="L75" i="190"/>
  <c r="L75" i="169"/>
  <c r="L75" i="159"/>
  <c r="L75" i="184"/>
  <c r="L75" i="187"/>
  <c r="L75" i="170"/>
  <c r="L75" i="174"/>
  <c r="L75" i="173"/>
  <c r="L75" i="181"/>
  <c r="L75" i="178"/>
  <c r="L75" i="198"/>
  <c r="L54" i="198"/>
  <c r="K105" i="197"/>
  <c r="L95" i="197"/>
  <c r="L95" i="198"/>
  <c r="R88" i="183"/>
  <c r="R88" i="163"/>
  <c r="R88" i="164"/>
  <c r="R88" i="194"/>
  <c r="R88" i="165"/>
  <c r="R88" i="189"/>
  <c r="R88" i="175"/>
  <c r="R88" i="158"/>
  <c r="R88" i="176"/>
  <c r="R88" i="167"/>
  <c r="R88" i="118"/>
  <c r="R88" i="168"/>
  <c r="R88" i="188"/>
  <c r="R88" i="179"/>
  <c r="R88" i="186"/>
  <c r="R88" i="161"/>
  <c r="R88" i="191"/>
  <c r="R88" i="185"/>
  <c r="R88" i="180"/>
  <c r="R88" i="169"/>
  <c r="R88" i="181"/>
  <c r="R88" i="178"/>
  <c r="R88" i="173"/>
  <c r="R88" i="172"/>
  <c r="R88" i="190"/>
  <c r="R88" i="159"/>
  <c r="R88" i="187"/>
  <c r="R88" i="170"/>
  <c r="R88" i="198"/>
  <c r="R88" i="174"/>
  <c r="R88" i="184"/>
  <c r="L63" i="15"/>
  <c r="K63" i="192"/>
  <c r="L63" i="192"/>
  <c r="L63" i="193"/>
  <c r="K63" i="195"/>
  <c r="L63" i="195"/>
  <c r="L99" i="163"/>
  <c r="L99" i="183"/>
  <c r="L99" i="164"/>
  <c r="L99" i="194"/>
  <c r="L99" i="189"/>
  <c r="L99" i="175"/>
  <c r="L99" i="165"/>
  <c r="L99" i="176"/>
  <c r="L99" i="167"/>
  <c r="L99" i="158"/>
  <c r="L99" i="161"/>
  <c r="L99" i="186"/>
  <c r="L99" i="118"/>
  <c r="L99" i="191"/>
  <c r="L99" i="185"/>
  <c r="L99" i="168"/>
  <c r="L99" i="188"/>
  <c r="L99" i="179"/>
  <c r="L99" i="180"/>
  <c r="L99" i="169"/>
  <c r="L99" i="181"/>
  <c r="L99" i="178"/>
  <c r="L99" i="172"/>
  <c r="L99" i="190"/>
  <c r="L99" i="159"/>
  <c r="L99" i="184"/>
  <c r="L99" i="187"/>
  <c r="L99" i="170"/>
  <c r="L99" i="174"/>
  <c r="L99" i="198"/>
  <c r="L99" i="173"/>
  <c r="L78" i="183"/>
  <c r="L78" i="163"/>
  <c r="L78" i="164"/>
  <c r="L78" i="194"/>
  <c r="L78" i="189"/>
  <c r="L78" i="175"/>
  <c r="L78" i="165"/>
  <c r="L78" i="176"/>
  <c r="L78" i="167"/>
  <c r="L78" i="161"/>
  <c r="L78" i="186"/>
  <c r="L78" i="158"/>
  <c r="L78" i="191"/>
  <c r="L78" i="185"/>
  <c r="L78" i="118"/>
  <c r="L78" i="168"/>
  <c r="L78" i="188"/>
  <c r="L78" i="179"/>
  <c r="L78" i="180"/>
  <c r="L78" i="172"/>
  <c r="L78" i="190"/>
  <c r="L78" i="169"/>
  <c r="L78" i="184"/>
  <c r="L78" i="187"/>
  <c r="L78" i="170"/>
  <c r="L78" i="174"/>
  <c r="L78" i="173"/>
  <c r="L78" i="181"/>
  <c r="L78" i="178"/>
  <c r="L78" i="159"/>
  <c r="L78" i="198"/>
  <c r="L65" i="183"/>
  <c r="L65" i="163"/>
  <c r="L65" i="164"/>
  <c r="L65" i="194"/>
  <c r="L65" i="189"/>
  <c r="L65" i="175"/>
  <c r="L65" i="165"/>
  <c r="L65" i="176"/>
  <c r="L65" i="167"/>
  <c r="L65" i="161"/>
  <c r="L65" i="186"/>
  <c r="L65" i="191"/>
  <c r="L65" i="185"/>
  <c r="L65" i="172"/>
  <c r="L65" i="158"/>
  <c r="L65" i="118"/>
  <c r="L65" i="168"/>
  <c r="L65" i="188"/>
  <c r="L65" i="179"/>
  <c r="L65" i="180"/>
  <c r="L65" i="190"/>
  <c r="L65" i="169"/>
  <c r="L65" i="184"/>
  <c r="L65" i="187"/>
  <c r="L65" i="170"/>
  <c r="L65" i="174"/>
  <c r="L65" i="173"/>
  <c r="L65" i="181"/>
  <c r="L65" i="178"/>
  <c r="L65" i="159"/>
  <c r="L65" i="198"/>
  <c r="R75" i="183"/>
  <c r="R75" i="163"/>
  <c r="R75" i="164"/>
  <c r="R75" i="194"/>
  <c r="R75" i="175"/>
  <c r="R75" i="165"/>
  <c r="R75" i="158"/>
  <c r="R75" i="189"/>
  <c r="R75" i="176"/>
  <c r="R75" i="118"/>
  <c r="R75" i="167"/>
  <c r="R75" i="168"/>
  <c r="R75" i="188"/>
  <c r="R75" i="179"/>
  <c r="R75" i="186"/>
  <c r="R75" i="191"/>
  <c r="R75" i="185"/>
  <c r="R75" i="172"/>
  <c r="R75" i="169"/>
  <c r="R75" i="161"/>
  <c r="R75" i="180"/>
  <c r="R75" i="190"/>
  <c r="R75" i="159"/>
  <c r="R75" i="187"/>
  <c r="R75" i="170"/>
  <c r="R75" i="184"/>
  <c r="R75" i="174"/>
  <c r="R75" i="198"/>
  <c r="R75" i="178"/>
  <c r="R75" i="181"/>
  <c r="R75" i="173"/>
  <c r="R86" i="183"/>
  <c r="R86" i="163"/>
  <c r="R86" i="194"/>
  <c r="R86" i="164"/>
  <c r="R86" i="165"/>
  <c r="R86" i="175"/>
  <c r="R86" i="189"/>
  <c r="R86" i="158"/>
  <c r="R86" i="176"/>
  <c r="R86" i="118"/>
  <c r="R86" i="167"/>
  <c r="R86" i="168"/>
  <c r="R86" i="188"/>
  <c r="R86" i="179"/>
  <c r="R86" i="186"/>
  <c r="R86" i="191"/>
  <c r="R86" i="185"/>
  <c r="R86" i="161"/>
  <c r="R86" i="169"/>
  <c r="R86" i="180"/>
  <c r="R86" i="172"/>
  <c r="R86" i="190"/>
  <c r="R86" i="159"/>
  <c r="R86" i="187"/>
  <c r="R86" i="170"/>
  <c r="R86" i="184"/>
  <c r="R86" i="174"/>
  <c r="R86" i="181"/>
  <c r="R86" i="178"/>
  <c r="R86" i="198"/>
  <c r="R86" i="173"/>
  <c r="R65" i="183"/>
  <c r="R65" i="163"/>
  <c r="R65" i="164"/>
  <c r="R65" i="194"/>
  <c r="R65" i="175"/>
  <c r="R65" i="189"/>
  <c r="R65" i="165"/>
  <c r="R65" i="158"/>
  <c r="R65" i="118"/>
  <c r="R65" i="176"/>
  <c r="R65" i="161"/>
  <c r="R65" i="168"/>
  <c r="R65" i="188"/>
  <c r="R65" i="179"/>
  <c r="R65" i="167"/>
  <c r="R65" i="185"/>
  <c r="R65" i="172"/>
  <c r="R65" i="191"/>
  <c r="R65" i="180"/>
  <c r="R65" i="169"/>
  <c r="R65" i="186"/>
  <c r="R65" i="190"/>
  <c r="R65" i="187"/>
  <c r="R65" i="170"/>
  <c r="R65" i="184"/>
  <c r="R65" i="174"/>
  <c r="R65" i="181"/>
  <c r="R65" i="178"/>
  <c r="R65" i="173"/>
  <c r="R65" i="198"/>
  <c r="R65" i="159"/>
  <c r="R104" i="183"/>
  <c r="R104" i="163"/>
  <c r="R104" i="164"/>
  <c r="R104" i="194"/>
  <c r="R104" i="189"/>
  <c r="R104" i="175"/>
  <c r="R104" i="165"/>
  <c r="R104" i="176"/>
  <c r="R104" i="167"/>
  <c r="R104" i="161"/>
  <c r="R104" i="186"/>
  <c r="R104" i="191"/>
  <c r="R104" i="185"/>
  <c r="R104" i="158"/>
  <c r="R104" i="168"/>
  <c r="R104" i="188"/>
  <c r="R104" i="179"/>
  <c r="R104" i="172"/>
  <c r="R104" i="190"/>
  <c r="R104" i="180"/>
  <c r="R104" i="169"/>
  <c r="R104" i="159"/>
  <c r="R104" i="184"/>
  <c r="R104" i="187"/>
  <c r="R104" i="170"/>
  <c r="R104" i="174"/>
  <c r="R104" i="173"/>
  <c r="R104" i="198"/>
  <c r="R104" i="178"/>
  <c r="R104" i="181"/>
  <c r="R56" i="183"/>
  <c r="R56" i="163"/>
  <c r="R56" i="164"/>
  <c r="R56" i="194"/>
  <c r="R56" i="175"/>
  <c r="R56" i="165"/>
  <c r="R56" i="189"/>
  <c r="R56" i="158"/>
  <c r="R56" i="176"/>
  <c r="R56" i="118"/>
  <c r="R56" i="167"/>
  <c r="R56" i="168"/>
  <c r="R56" i="188"/>
  <c r="R56" i="179"/>
  <c r="R56" i="191"/>
  <c r="R56" i="186"/>
  <c r="R56" i="185"/>
  <c r="R56" i="172"/>
  <c r="R56" i="169"/>
  <c r="R56" i="180"/>
  <c r="R56" i="190"/>
  <c r="R56" i="161"/>
  <c r="R56" i="159"/>
  <c r="R56" i="187"/>
  <c r="R56" i="170"/>
  <c r="R56" i="184"/>
  <c r="R56" i="174"/>
  <c r="R56" i="173"/>
  <c r="R56" i="198"/>
  <c r="R56" i="181"/>
  <c r="R56" i="178"/>
  <c r="Q63" i="195"/>
  <c r="R63" i="195"/>
  <c r="N54" i="195"/>
  <c r="O107" i="197"/>
  <c r="P107" i="197"/>
  <c r="P105" i="197"/>
  <c r="R54" i="198"/>
  <c r="R66" i="183"/>
  <c r="R66" i="163"/>
  <c r="R66" i="164"/>
  <c r="R66" i="194"/>
  <c r="R66" i="175"/>
  <c r="R66" i="165"/>
  <c r="R66" i="158"/>
  <c r="R66" i="189"/>
  <c r="R66" i="176"/>
  <c r="R66" i="118"/>
  <c r="R66" i="167"/>
  <c r="R66" i="168"/>
  <c r="R66" i="188"/>
  <c r="R66" i="179"/>
  <c r="R66" i="186"/>
  <c r="R66" i="191"/>
  <c r="R66" i="185"/>
  <c r="R66" i="172"/>
  <c r="R66" i="169"/>
  <c r="R66" i="180"/>
  <c r="R66" i="161"/>
  <c r="R66" i="190"/>
  <c r="R66" i="159"/>
  <c r="R66" i="187"/>
  <c r="R66" i="170"/>
  <c r="R66" i="184"/>
  <c r="R66" i="174"/>
  <c r="R66" i="198"/>
  <c r="R66" i="173"/>
  <c r="R66" i="181"/>
  <c r="R66" i="178"/>
  <c r="R70" i="183"/>
  <c r="R70" i="163"/>
  <c r="R70" i="164"/>
  <c r="R70" i="194"/>
  <c r="R70" i="175"/>
  <c r="R70" i="189"/>
  <c r="R70" i="165"/>
  <c r="R70" i="158"/>
  <c r="R70" i="118"/>
  <c r="R70" i="176"/>
  <c r="R70" i="161"/>
  <c r="R70" i="168"/>
  <c r="R70" i="188"/>
  <c r="R70" i="179"/>
  <c r="R70" i="167"/>
  <c r="R70" i="191"/>
  <c r="R70" i="185"/>
  <c r="R70" i="172"/>
  <c r="R70" i="186"/>
  <c r="R70" i="180"/>
  <c r="R70" i="169"/>
  <c r="R70" i="190"/>
  <c r="R70" i="187"/>
  <c r="R70" i="170"/>
  <c r="R70" i="184"/>
  <c r="R70" i="174"/>
  <c r="R70" i="181"/>
  <c r="R70" i="178"/>
  <c r="R70" i="173"/>
  <c r="R70" i="159"/>
  <c r="R70" i="198"/>
  <c r="L98" i="183"/>
  <c r="L98" i="163"/>
  <c r="L98" i="194"/>
  <c r="L98" i="164"/>
  <c r="L98" i="189"/>
  <c r="L98" i="175"/>
  <c r="L98" i="165"/>
  <c r="L98" i="176"/>
  <c r="L98" i="167"/>
  <c r="L98" i="161"/>
  <c r="L98" i="186"/>
  <c r="L98" i="158"/>
  <c r="L98" i="191"/>
  <c r="L98" i="185"/>
  <c r="L98" i="118"/>
  <c r="L98" i="168"/>
  <c r="L98" i="188"/>
  <c r="L98" i="179"/>
  <c r="L98" i="172"/>
  <c r="L98" i="190"/>
  <c r="L98" i="180"/>
  <c r="L98" i="169"/>
  <c r="L98" i="159"/>
  <c r="L98" i="184"/>
  <c r="L98" i="187"/>
  <c r="L98" i="170"/>
  <c r="L98" i="174"/>
  <c r="L98" i="173"/>
  <c r="L98" i="181"/>
  <c r="L98" i="178"/>
  <c r="L98" i="198"/>
  <c r="L68" i="183"/>
  <c r="L68" i="163"/>
  <c r="L68" i="164"/>
  <c r="L68" i="194"/>
  <c r="L68" i="189"/>
  <c r="L68" i="165"/>
  <c r="L68" i="175"/>
  <c r="L68" i="176"/>
  <c r="L68" i="167"/>
  <c r="L68" i="158"/>
  <c r="L68" i="161"/>
  <c r="L68" i="186"/>
  <c r="L68" i="191"/>
  <c r="L68" i="185"/>
  <c r="L68" i="172"/>
  <c r="L68" i="168"/>
  <c r="L68" i="188"/>
  <c r="L68" i="179"/>
  <c r="L68" i="190"/>
  <c r="L68" i="169"/>
  <c r="L68" i="180"/>
  <c r="L68" i="173"/>
  <c r="L68" i="181"/>
  <c r="L68" i="178"/>
  <c r="L68" i="118"/>
  <c r="L68" i="159"/>
  <c r="L68" i="187"/>
  <c r="L68" i="174"/>
  <c r="L68" i="184"/>
  <c r="L68" i="198"/>
  <c r="L68" i="170"/>
  <c r="L92" i="183"/>
  <c r="L92" i="164"/>
  <c r="L92" i="194"/>
  <c r="L92" i="163"/>
  <c r="L92" i="189"/>
  <c r="L92" i="175"/>
  <c r="L92" i="165"/>
  <c r="L92" i="176"/>
  <c r="L92" i="167"/>
  <c r="L92" i="161"/>
  <c r="L92" i="186"/>
  <c r="L92" i="191"/>
  <c r="L92" i="185"/>
  <c r="L92" i="118"/>
  <c r="L92" i="168"/>
  <c r="L92" i="188"/>
  <c r="L92" i="179"/>
  <c r="L92" i="158"/>
  <c r="L92" i="172"/>
  <c r="L92" i="190"/>
  <c r="L92" i="180"/>
  <c r="L92" i="169"/>
  <c r="L92" i="184"/>
  <c r="L92" i="187"/>
  <c r="L92" i="170"/>
  <c r="L92" i="174"/>
  <c r="L92" i="173"/>
  <c r="L92" i="181"/>
  <c r="L92" i="178"/>
  <c r="L92" i="159"/>
  <c r="L92" i="198"/>
  <c r="Q63" i="192"/>
  <c r="R63" i="192"/>
  <c r="R63" i="15"/>
  <c r="N105" i="197"/>
  <c r="M107" i="197"/>
  <c r="N107" i="197"/>
  <c r="R102" i="183"/>
  <c r="R102" i="163"/>
  <c r="R102" i="164"/>
  <c r="R102" i="194"/>
  <c r="R102" i="189"/>
  <c r="R102" i="175"/>
  <c r="R102" i="165"/>
  <c r="R102" i="176"/>
  <c r="R102" i="167"/>
  <c r="R102" i="161"/>
  <c r="R102" i="186"/>
  <c r="R102" i="158"/>
  <c r="R102" i="191"/>
  <c r="R102" i="185"/>
  <c r="R102" i="168"/>
  <c r="R102" i="188"/>
  <c r="R102" i="179"/>
  <c r="R102" i="172"/>
  <c r="R102" i="190"/>
  <c r="R102" i="180"/>
  <c r="R102" i="169"/>
  <c r="R102" i="173"/>
  <c r="R102" i="181"/>
  <c r="R102" i="178"/>
  <c r="R102" i="159"/>
  <c r="R102" i="170"/>
  <c r="R102" i="198"/>
  <c r="R102" i="187"/>
  <c r="R102" i="174"/>
  <c r="R102" i="184"/>
  <c r="R68" i="183"/>
  <c r="R68" i="163"/>
  <c r="R68" i="164"/>
  <c r="R68" i="194"/>
  <c r="R68" i="175"/>
  <c r="R68" i="165"/>
  <c r="R68" i="189"/>
  <c r="R68" i="158"/>
  <c r="R68" i="167"/>
  <c r="R68" i="118"/>
  <c r="R68" i="186"/>
  <c r="R68" i="168"/>
  <c r="R68" i="188"/>
  <c r="R68" i="179"/>
  <c r="R68" i="161"/>
  <c r="R68" i="191"/>
  <c r="R68" i="185"/>
  <c r="R68" i="172"/>
  <c r="R68" i="190"/>
  <c r="R68" i="169"/>
  <c r="R68" i="176"/>
  <c r="R68" i="184"/>
  <c r="R68" i="174"/>
  <c r="R68" i="180"/>
  <c r="R68" i="181"/>
  <c r="R68" i="178"/>
  <c r="R68" i="173"/>
  <c r="R68" i="159"/>
  <c r="R68" i="170"/>
  <c r="R68" i="198"/>
  <c r="R68" i="187"/>
  <c r="R77" i="183"/>
  <c r="R77" i="163"/>
  <c r="R77" i="164"/>
  <c r="R77" i="194"/>
  <c r="R77" i="165"/>
  <c r="R77" i="189"/>
  <c r="R77" i="175"/>
  <c r="R77" i="158"/>
  <c r="R77" i="167"/>
  <c r="R77" i="118"/>
  <c r="R77" i="186"/>
  <c r="R77" i="168"/>
  <c r="R77" i="188"/>
  <c r="R77" i="179"/>
  <c r="R77" i="161"/>
  <c r="R77" i="176"/>
  <c r="R77" i="191"/>
  <c r="R77" i="185"/>
  <c r="R77" i="172"/>
  <c r="R77" i="190"/>
  <c r="R77" i="169"/>
  <c r="R77" i="184"/>
  <c r="R77" i="174"/>
  <c r="R77" i="181"/>
  <c r="R77" i="178"/>
  <c r="R77" i="173"/>
  <c r="R77" i="180"/>
  <c r="R77" i="159"/>
  <c r="R77" i="198"/>
  <c r="R77" i="170"/>
  <c r="R77" i="187"/>
  <c r="R64" i="183"/>
  <c r="R64" i="163"/>
  <c r="R64" i="164"/>
  <c r="R64" i="194"/>
  <c r="R64" i="175"/>
  <c r="R64" i="165"/>
  <c r="R64" i="189"/>
  <c r="R64" i="158"/>
  <c r="R64" i="167"/>
  <c r="R64" i="118"/>
  <c r="R64" i="176"/>
  <c r="R64" i="186"/>
  <c r="R64" i="168"/>
  <c r="R64" i="188"/>
  <c r="R64" i="179"/>
  <c r="R64" i="161"/>
  <c r="R64" i="191"/>
  <c r="R64" i="185"/>
  <c r="R64" i="172"/>
  <c r="R64" i="190"/>
  <c r="R64" i="169"/>
  <c r="R64" i="180"/>
  <c r="R64" i="184"/>
  <c r="R64" i="174"/>
  <c r="R64" i="181"/>
  <c r="R64" i="178"/>
  <c r="R64" i="173"/>
  <c r="R64" i="159"/>
  <c r="R64" i="187"/>
  <c r="R64" i="198"/>
  <c r="R64" i="170"/>
  <c r="R100" i="183"/>
  <c r="R100" i="194"/>
  <c r="R100" i="164"/>
  <c r="R100" i="163"/>
  <c r="R100" i="165"/>
  <c r="R100" i="189"/>
  <c r="R100" i="175"/>
  <c r="R100" i="158"/>
  <c r="R100" i="167"/>
  <c r="R100" i="176"/>
  <c r="R100" i="186"/>
  <c r="R100" i="168"/>
  <c r="R100" i="188"/>
  <c r="R100" i="179"/>
  <c r="R100" i="161"/>
  <c r="R100" i="191"/>
  <c r="R100" i="185"/>
  <c r="R100" i="172"/>
  <c r="R100" i="190"/>
  <c r="R100" i="180"/>
  <c r="R100" i="169"/>
  <c r="R100" i="184"/>
  <c r="R100" i="174"/>
  <c r="R100" i="181"/>
  <c r="R100" i="178"/>
  <c r="R100" i="173"/>
  <c r="R100" i="159"/>
  <c r="R100" i="187"/>
  <c r="R100" i="170"/>
  <c r="R100" i="198"/>
  <c r="R103" i="183"/>
  <c r="R103" i="163"/>
  <c r="R103" i="164"/>
  <c r="R103" i="194"/>
  <c r="R103" i="189"/>
  <c r="R103" i="175"/>
  <c r="R103" i="165"/>
  <c r="R103" i="176"/>
  <c r="R103" i="167"/>
  <c r="R103" i="161"/>
  <c r="R103" i="186"/>
  <c r="R103" i="191"/>
  <c r="R103" i="185"/>
  <c r="R103" i="168"/>
  <c r="R103" i="188"/>
  <c r="R103" i="179"/>
  <c r="R103" i="172"/>
  <c r="R103" i="190"/>
  <c r="R103" i="180"/>
  <c r="R103" i="169"/>
  <c r="R103" i="184"/>
  <c r="R103" i="187"/>
  <c r="R103" i="170"/>
  <c r="R103" i="174"/>
  <c r="R103" i="173"/>
  <c r="R103" i="181"/>
  <c r="R103" i="178"/>
  <c r="R103" i="158"/>
  <c r="R103" i="159"/>
  <c r="R103" i="198"/>
  <c r="R95" i="197"/>
  <c r="Q105" i="197"/>
  <c r="R95" i="198"/>
  <c r="R112" i="192"/>
  <c r="Q116" i="192"/>
  <c r="R116" i="192"/>
  <c r="Q112" i="198"/>
  <c r="N54" i="192"/>
  <c r="P54" i="195"/>
  <c r="L100" i="183"/>
  <c r="L100" i="163"/>
  <c r="L100" i="164"/>
  <c r="L100" i="194"/>
  <c r="L100" i="189"/>
  <c r="L100" i="175"/>
  <c r="L100" i="165"/>
  <c r="L100" i="176"/>
  <c r="L100" i="167"/>
  <c r="L100" i="158"/>
  <c r="L100" i="161"/>
  <c r="L100" i="186"/>
  <c r="L100" i="191"/>
  <c r="L100" i="185"/>
  <c r="L100" i="168"/>
  <c r="L100" i="188"/>
  <c r="L100" i="179"/>
  <c r="L100" i="172"/>
  <c r="L100" i="190"/>
  <c r="L100" i="180"/>
  <c r="L100" i="169"/>
  <c r="L100" i="173"/>
  <c r="L100" i="181"/>
  <c r="L100" i="178"/>
  <c r="L100" i="159"/>
  <c r="L100" i="184"/>
  <c r="L100" i="198"/>
  <c r="L100" i="187"/>
  <c r="L100" i="174"/>
  <c r="L100" i="170"/>
  <c r="L66" i="183"/>
  <c r="L66" i="163"/>
  <c r="L66" i="164"/>
  <c r="L66" i="194"/>
  <c r="L66" i="189"/>
  <c r="L66" i="175"/>
  <c r="L66" i="165"/>
  <c r="L66" i="176"/>
  <c r="L66" i="167"/>
  <c r="L66" i="161"/>
  <c r="L66" i="186"/>
  <c r="L66" i="158"/>
  <c r="L66" i="191"/>
  <c r="L66" i="185"/>
  <c r="L66" i="172"/>
  <c r="L66" i="118"/>
  <c r="L66" i="168"/>
  <c r="L66" i="188"/>
  <c r="L66" i="179"/>
  <c r="L66" i="180"/>
  <c r="L66" i="190"/>
  <c r="L66" i="169"/>
  <c r="L66" i="159"/>
  <c r="L66" i="184"/>
  <c r="L66" i="187"/>
  <c r="L66" i="170"/>
  <c r="L66" i="174"/>
  <c r="L66" i="173"/>
  <c r="L66" i="181"/>
  <c r="L66" i="178"/>
  <c r="L66" i="198"/>
  <c r="L103" i="183"/>
  <c r="L103" i="163"/>
  <c r="L103" i="194"/>
  <c r="L103" i="164"/>
  <c r="L103" i="165"/>
  <c r="L103" i="189"/>
  <c r="L103" i="175"/>
  <c r="L103" i="167"/>
  <c r="L103" i="158"/>
  <c r="L103" i="186"/>
  <c r="L103" i="168"/>
  <c r="L103" i="188"/>
  <c r="L103" i="179"/>
  <c r="L103" i="161"/>
  <c r="L103" i="176"/>
  <c r="L103" i="191"/>
  <c r="L103" i="185"/>
  <c r="L103" i="172"/>
  <c r="L103" i="190"/>
  <c r="L103" i="180"/>
  <c r="L103" i="169"/>
  <c r="L103" i="184"/>
  <c r="L103" i="174"/>
  <c r="L103" i="181"/>
  <c r="L103" i="178"/>
  <c r="L103" i="173"/>
  <c r="L103" i="159"/>
  <c r="L103" i="170"/>
  <c r="L103" i="187"/>
  <c r="L103" i="198"/>
  <c r="S107" i="197"/>
  <c r="T107" i="197"/>
  <c r="T105" i="197"/>
  <c r="R92" i="183"/>
  <c r="R92" i="163"/>
  <c r="R92" i="194"/>
  <c r="R92" i="164"/>
  <c r="R92" i="189"/>
  <c r="R92" i="165"/>
  <c r="R92" i="175"/>
  <c r="R92" i="158"/>
  <c r="R92" i="118"/>
  <c r="R92" i="176"/>
  <c r="R92" i="161"/>
  <c r="R92" i="168"/>
  <c r="R92" i="188"/>
  <c r="R92" i="179"/>
  <c r="R92" i="191"/>
  <c r="R92" i="185"/>
  <c r="R92" i="167"/>
  <c r="R92" i="180"/>
  <c r="R92" i="169"/>
  <c r="R92" i="172"/>
  <c r="R92" i="190"/>
  <c r="R92" i="186"/>
  <c r="R92" i="187"/>
  <c r="R92" i="170"/>
  <c r="R92" i="184"/>
  <c r="R92" i="174"/>
  <c r="R92" i="181"/>
  <c r="R92" i="178"/>
  <c r="R92" i="173"/>
  <c r="R92" i="198"/>
  <c r="R92" i="159"/>
  <c r="L70" i="183"/>
  <c r="L70" i="163"/>
  <c r="L70" i="164"/>
  <c r="L70" i="194"/>
  <c r="L70" i="189"/>
  <c r="L70" i="175"/>
  <c r="L70" i="165"/>
  <c r="L70" i="176"/>
  <c r="L70" i="167"/>
  <c r="L70" i="161"/>
  <c r="L70" i="186"/>
  <c r="L70" i="191"/>
  <c r="L70" i="185"/>
  <c r="L70" i="172"/>
  <c r="L70" i="158"/>
  <c r="L70" i="118"/>
  <c r="L70" i="168"/>
  <c r="L70" i="188"/>
  <c r="L70" i="179"/>
  <c r="L70" i="180"/>
  <c r="L70" i="190"/>
  <c r="L70" i="169"/>
  <c r="L70" i="184"/>
  <c r="L70" i="187"/>
  <c r="L70" i="170"/>
  <c r="L70" i="174"/>
  <c r="L70" i="173"/>
  <c r="L70" i="181"/>
  <c r="L70" i="178"/>
  <c r="L70" i="198"/>
  <c r="L70" i="159"/>
  <c r="L102" i="183"/>
  <c r="L102" i="163"/>
  <c r="L102" i="194"/>
  <c r="L102" i="164"/>
  <c r="L102" i="165"/>
  <c r="L102" i="189"/>
  <c r="L102" i="175"/>
  <c r="L102" i="158"/>
  <c r="L102" i="176"/>
  <c r="L102" i="167"/>
  <c r="L102" i="168"/>
  <c r="L102" i="188"/>
  <c r="L102" i="179"/>
  <c r="L102" i="186"/>
  <c r="L102" i="161"/>
  <c r="L102" i="191"/>
  <c r="L102" i="185"/>
  <c r="L102" i="180"/>
  <c r="L102" i="169"/>
  <c r="L102" i="172"/>
  <c r="L102" i="190"/>
  <c r="L102" i="181"/>
  <c r="L102" i="178"/>
  <c r="L102" i="173"/>
  <c r="L102" i="159"/>
  <c r="L102" i="187"/>
  <c r="L102" i="170"/>
  <c r="L102" i="174"/>
  <c r="L102" i="184"/>
  <c r="L102" i="198"/>
  <c r="L77" i="183"/>
  <c r="L77" i="163"/>
  <c r="L77" i="164"/>
  <c r="L77" i="194"/>
  <c r="L77" i="189"/>
  <c r="L77" i="175"/>
  <c r="L77" i="165"/>
  <c r="L77" i="176"/>
  <c r="L77" i="167"/>
  <c r="L77" i="158"/>
  <c r="L77" i="161"/>
  <c r="L77" i="186"/>
  <c r="L77" i="191"/>
  <c r="L77" i="185"/>
  <c r="L77" i="172"/>
  <c r="L77" i="168"/>
  <c r="L77" i="188"/>
  <c r="L77" i="179"/>
  <c r="L77" i="190"/>
  <c r="L77" i="118"/>
  <c r="L77" i="169"/>
  <c r="L77" i="173"/>
  <c r="L77" i="180"/>
  <c r="L77" i="181"/>
  <c r="L77" i="178"/>
  <c r="L77" i="159"/>
  <c r="L77" i="170"/>
  <c r="L77" i="187"/>
  <c r="L77" i="174"/>
  <c r="L77" i="184"/>
  <c r="L77" i="198"/>
  <c r="L64" i="183"/>
  <c r="L64" i="163"/>
  <c r="L64" i="164"/>
  <c r="L64" i="194"/>
  <c r="L64" i="189"/>
  <c r="L64" i="165"/>
  <c r="L64" i="175"/>
  <c r="L64" i="176"/>
  <c r="L64" i="167"/>
  <c r="L64" i="158"/>
  <c r="L64" i="161"/>
  <c r="L64" i="186"/>
  <c r="L64" i="185"/>
  <c r="L64" i="172"/>
  <c r="L64" i="191"/>
  <c r="L64" i="168"/>
  <c r="L64" i="188"/>
  <c r="L64" i="179"/>
  <c r="L64" i="118"/>
  <c r="L64" i="190"/>
  <c r="L64" i="169"/>
  <c r="L64" i="173"/>
  <c r="L64" i="181"/>
  <c r="L64" i="178"/>
  <c r="L64" i="159"/>
  <c r="L64" i="184"/>
  <c r="L64" i="180"/>
  <c r="L64" i="170"/>
  <c r="L64" i="198"/>
  <c r="L64" i="187"/>
  <c r="L64" i="174"/>
  <c r="L90" i="183"/>
  <c r="L90" i="163"/>
  <c r="L90" i="164"/>
  <c r="L90" i="194"/>
  <c r="L90" i="189"/>
  <c r="L90" i="175"/>
  <c r="L90" i="165"/>
  <c r="L90" i="176"/>
  <c r="L90" i="167"/>
  <c r="L90" i="158"/>
  <c r="L90" i="161"/>
  <c r="L90" i="186"/>
  <c r="L90" i="191"/>
  <c r="L90" i="185"/>
  <c r="L90" i="168"/>
  <c r="L90" i="188"/>
  <c r="L90" i="179"/>
  <c r="L90" i="172"/>
  <c r="L90" i="190"/>
  <c r="L90" i="118"/>
  <c r="L90" i="180"/>
  <c r="L90" i="169"/>
  <c r="L90" i="173"/>
  <c r="L90" i="181"/>
  <c r="L90" i="178"/>
  <c r="L90" i="159"/>
  <c r="L90" i="170"/>
  <c r="L90" i="184"/>
  <c r="L90" i="187"/>
  <c r="L90" i="174"/>
  <c r="L90" i="198"/>
  <c r="L76" i="163"/>
  <c r="L76" i="183"/>
  <c r="L76" i="164"/>
  <c r="L76" i="194"/>
  <c r="L76" i="189"/>
  <c r="L76" i="175"/>
  <c r="L76" i="165"/>
  <c r="L76" i="176"/>
  <c r="L76" i="167"/>
  <c r="L76" i="158"/>
  <c r="L76" i="161"/>
  <c r="L76" i="186"/>
  <c r="L76" i="118"/>
  <c r="L76" i="191"/>
  <c r="L76" i="185"/>
  <c r="L76" i="172"/>
  <c r="L76" i="168"/>
  <c r="L76" i="188"/>
  <c r="L76" i="179"/>
  <c r="L76" i="180"/>
  <c r="L76" i="169"/>
  <c r="L76" i="181"/>
  <c r="L76" i="178"/>
  <c r="L76" i="159"/>
  <c r="L76" i="184"/>
  <c r="L76" i="187"/>
  <c r="L76" i="170"/>
  <c r="L76" i="174"/>
  <c r="L76" i="173"/>
  <c r="L76" i="190"/>
  <c r="L76" i="198"/>
  <c r="L67" i="163"/>
  <c r="L67" i="164"/>
  <c r="L67" i="183"/>
  <c r="L67" i="194"/>
  <c r="L67" i="189"/>
  <c r="L67" i="175"/>
  <c r="L67" i="165"/>
  <c r="L67" i="176"/>
  <c r="L67" i="167"/>
  <c r="L67" i="158"/>
  <c r="L67" i="161"/>
  <c r="L67" i="186"/>
  <c r="L67" i="118"/>
  <c r="L67" i="191"/>
  <c r="L67" i="185"/>
  <c r="L67" i="172"/>
  <c r="L67" i="168"/>
  <c r="L67" i="188"/>
  <c r="L67" i="179"/>
  <c r="L67" i="180"/>
  <c r="L67" i="169"/>
  <c r="L67" i="181"/>
  <c r="L67" i="178"/>
  <c r="L67" i="159"/>
  <c r="L67" i="190"/>
  <c r="L67" i="184"/>
  <c r="L67" i="187"/>
  <c r="L67" i="170"/>
  <c r="L67" i="174"/>
  <c r="L67" i="173"/>
  <c r="L67" i="198"/>
  <c r="L56" i="183"/>
  <c r="L56" i="163"/>
  <c r="L56" i="164"/>
  <c r="L56" i="194"/>
  <c r="L56" i="189"/>
  <c r="L56" i="175"/>
  <c r="L56" i="165"/>
  <c r="L56" i="176"/>
  <c r="L56" i="167"/>
  <c r="L56" i="161"/>
  <c r="L56" i="186"/>
  <c r="L56" i="158"/>
  <c r="L56" i="185"/>
  <c r="L56" i="172"/>
  <c r="L56" i="118"/>
  <c r="L56" i="191"/>
  <c r="L56" i="168"/>
  <c r="L56" i="188"/>
  <c r="L56" i="179"/>
  <c r="L56" i="180"/>
  <c r="L56" i="190"/>
  <c r="L56" i="169"/>
  <c r="L56" i="159"/>
  <c r="L56" i="184"/>
  <c r="L56" i="187"/>
  <c r="L56" i="170"/>
  <c r="L56" i="174"/>
  <c r="L56" i="173"/>
  <c r="L56" i="181"/>
  <c r="L56" i="178"/>
  <c r="L56" i="198"/>
  <c r="L104" i="183"/>
  <c r="L104" i="163"/>
  <c r="L104" i="194"/>
  <c r="L104" i="164"/>
  <c r="L104" i="189"/>
  <c r="L104" i="165"/>
  <c r="L104" i="175"/>
  <c r="L104" i="158"/>
  <c r="L104" i="176"/>
  <c r="L104" i="167"/>
  <c r="L104" i="161"/>
  <c r="L104" i="168"/>
  <c r="L104" i="188"/>
  <c r="L104" i="179"/>
  <c r="L104" i="191"/>
  <c r="L104" i="185"/>
  <c r="L104" i="180"/>
  <c r="L104" i="169"/>
  <c r="L104" i="172"/>
  <c r="L104" i="190"/>
  <c r="L104" i="187"/>
  <c r="L104" i="170"/>
  <c r="L104" i="184"/>
  <c r="L104" i="174"/>
  <c r="L104" i="186"/>
  <c r="L104" i="181"/>
  <c r="L104" i="178"/>
  <c r="L104" i="173"/>
  <c r="L104" i="159"/>
  <c r="L104" i="198"/>
  <c r="L88" i="163"/>
  <c r="L88" i="164"/>
  <c r="L88" i="194"/>
  <c r="L88" i="183"/>
  <c r="L88" i="189"/>
  <c r="L88" i="175"/>
  <c r="L88" i="165"/>
  <c r="L88" i="176"/>
  <c r="L88" i="167"/>
  <c r="L88" i="158"/>
  <c r="L88" i="161"/>
  <c r="L88" i="186"/>
  <c r="L88" i="118"/>
  <c r="L88" i="191"/>
  <c r="L88" i="185"/>
  <c r="L88" i="168"/>
  <c r="L88" i="188"/>
  <c r="L88" i="179"/>
  <c r="L88" i="180"/>
  <c r="L88" i="169"/>
  <c r="L88" i="172"/>
  <c r="L88" i="190"/>
  <c r="L88" i="181"/>
  <c r="L88" i="178"/>
  <c r="L88" i="159"/>
  <c r="L88" i="184"/>
  <c r="L88" i="187"/>
  <c r="L88" i="170"/>
  <c r="L88" i="174"/>
  <c r="L88" i="173"/>
  <c r="L88" i="198"/>
  <c r="R90" i="183"/>
  <c r="R90" i="194"/>
  <c r="R90" i="164"/>
  <c r="R90" i="163"/>
  <c r="R90" i="165"/>
  <c r="R90" i="189"/>
  <c r="R90" i="175"/>
  <c r="R90" i="158"/>
  <c r="R90" i="167"/>
  <c r="R90" i="118"/>
  <c r="R90" i="186"/>
  <c r="R90" i="168"/>
  <c r="R90" i="188"/>
  <c r="R90" i="179"/>
  <c r="R90" i="176"/>
  <c r="R90" i="161"/>
  <c r="R90" i="191"/>
  <c r="R90" i="185"/>
  <c r="R90" i="172"/>
  <c r="R90" i="190"/>
  <c r="R90" i="180"/>
  <c r="R90" i="169"/>
  <c r="R90" i="184"/>
  <c r="R90" i="174"/>
  <c r="R90" i="181"/>
  <c r="R90" i="178"/>
  <c r="R90" i="173"/>
  <c r="R90" i="159"/>
  <c r="R90" i="198"/>
  <c r="R90" i="170"/>
  <c r="R90" i="187"/>
  <c r="R67" i="183"/>
  <c r="R67" i="163"/>
  <c r="R67" i="164"/>
  <c r="R67" i="194"/>
  <c r="R67" i="175"/>
  <c r="R67" i="165"/>
  <c r="R67" i="189"/>
  <c r="R67" i="158"/>
  <c r="R67" i="176"/>
  <c r="R67" i="167"/>
  <c r="R67" i="118"/>
  <c r="R67" i="168"/>
  <c r="R67" i="188"/>
  <c r="R67" i="179"/>
  <c r="R67" i="186"/>
  <c r="R67" i="161"/>
  <c r="R67" i="191"/>
  <c r="R67" i="185"/>
  <c r="R67" i="172"/>
  <c r="R67" i="169"/>
  <c r="R67" i="180"/>
  <c r="R67" i="181"/>
  <c r="R67" i="178"/>
  <c r="R67" i="173"/>
  <c r="R67" i="159"/>
  <c r="R67" i="187"/>
  <c r="R67" i="170"/>
  <c r="R67" i="184"/>
  <c r="R67" i="198"/>
  <c r="R67" i="174"/>
  <c r="R67" i="190"/>
  <c r="R76" i="183"/>
  <c r="R76" i="163"/>
  <c r="R76" i="164"/>
  <c r="R76" i="194"/>
  <c r="R76" i="175"/>
  <c r="R76" i="165"/>
  <c r="R76" i="189"/>
  <c r="R76" i="158"/>
  <c r="R76" i="176"/>
  <c r="R76" i="167"/>
  <c r="R76" i="118"/>
  <c r="R76" i="168"/>
  <c r="R76" i="188"/>
  <c r="R76" i="179"/>
  <c r="R76" i="186"/>
  <c r="R76" i="161"/>
  <c r="R76" i="191"/>
  <c r="R76" i="185"/>
  <c r="R76" i="172"/>
  <c r="R76" i="169"/>
  <c r="R76" i="180"/>
  <c r="R76" i="190"/>
  <c r="R76" i="181"/>
  <c r="R76" i="178"/>
  <c r="R76" i="173"/>
  <c r="R76" i="159"/>
  <c r="R76" i="187"/>
  <c r="R76" i="170"/>
  <c r="R76" i="174"/>
  <c r="R76" i="198"/>
  <c r="R76" i="184"/>
  <c r="R98" i="183"/>
  <c r="R98" i="163"/>
  <c r="R98" i="194"/>
  <c r="R98" i="164"/>
  <c r="R98" i="165"/>
  <c r="R98" i="175"/>
  <c r="R98" i="189"/>
  <c r="R98" i="158"/>
  <c r="R98" i="176"/>
  <c r="R98" i="118"/>
  <c r="R98" i="167"/>
  <c r="R98" i="168"/>
  <c r="R98" i="188"/>
  <c r="R98" i="179"/>
  <c r="R98" i="186"/>
  <c r="R98" i="191"/>
  <c r="R98" i="185"/>
  <c r="R98" i="180"/>
  <c r="R98" i="169"/>
  <c r="R98" i="172"/>
  <c r="R98" i="190"/>
  <c r="R98" i="159"/>
  <c r="R98" i="187"/>
  <c r="R98" i="170"/>
  <c r="R98" i="184"/>
  <c r="R98" i="174"/>
  <c r="R98" i="173"/>
  <c r="R98" i="161"/>
  <c r="R98" i="181"/>
  <c r="R98" i="178"/>
  <c r="R98" i="198"/>
  <c r="R78" i="183"/>
  <c r="R78" i="163"/>
  <c r="R78" i="164"/>
  <c r="R78" i="194"/>
  <c r="R78" i="189"/>
  <c r="R78" i="165"/>
  <c r="R78" i="175"/>
  <c r="R78" i="158"/>
  <c r="R78" i="118"/>
  <c r="R78" i="176"/>
  <c r="R78" i="167"/>
  <c r="R78" i="161"/>
  <c r="R78" i="168"/>
  <c r="R78" i="188"/>
  <c r="R78" i="179"/>
  <c r="R78" i="191"/>
  <c r="R78" i="185"/>
  <c r="R78" i="180"/>
  <c r="R78" i="169"/>
  <c r="R78" i="172"/>
  <c r="R78" i="190"/>
  <c r="R78" i="186"/>
  <c r="R78" i="187"/>
  <c r="R78" i="170"/>
  <c r="R78" i="184"/>
  <c r="R78" i="174"/>
  <c r="R78" i="181"/>
  <c r="R78" i="178"/>
  <c r="R78" i="173"/>
  <c r="R78" i="198"/>
  <c r="R78" i="159"/>
  <c r="R99" i="183"/>
  <c r="R99" i="163"/>
  <c r="R99" i="164"/>
  <c r="R99" i="194"/>
  <c r="R99" i="165"/>
  <c r="R99" i="189"/>
  <c r="R99" i="175"/>
  <c r="R99" i="158"/>
  <c r="R99" i="176"/>
  <c r="R99" i="167"/>
  <c r="R99" i="118"/>
  <c r="R99" i="168"/>
  <c r="R99" i="188"/>
  <c r="R99" i="179"/>
  <c r="R99" i="186"/>
  <c r="R99" i="161"/>
  <c r="R99" i="191"/>
  <c r="R99" i="185"/>
  <c r="R99" i="180"/>
  <c r="R99" i="169"/>
  <c r="R99" i="181"/>
  <c r="R99" i="178"/>
  <c r="R99" i="173"/>
  <c r="R99" i="159"/>
  <c r="R99" i="172"/>
  <c r="R99" i="190"/>
  <c r="R99" i="187"/>
  <c r="R99" i="170"/>
  <c r="R99" i="184"/>
  <c r="R99" i="174"/>
  <c r="R99" i="198"/>
  <c r="V98" i="177"/>
  <c r="V98" i="164"/>
  <c r="V98" i="175"/>
  <c r="V98" i="167"/>
  <c r="V98" i="179"/>
  <c r="V98" i="169"/>
  <c r="V98" i="187"/>
  <c r="V98" i="174"/>
  <c r="V98" i="159"/>
  <c r="V98" i="183"/>
  <c r="V98" i="158"/>
  <c r="V98" i="161"/>
  <c r="V98" i="191"/>
  <c r="V98" i="172"/>
  <c r="V98" i="170"/>
  <c r="V98" i="181"/>
  <c r="V98" i="198"/>
  <c r="V98" i="173"/>
  <c r="V98" i="118"/>
  <c r="V98" i="194"/>
  <c r="V98" i="176"/>
  <c r="V98" i="180"/>
  <c r="V98" i="184"/>
  <c r="V98" i="189"/>
  <c r="V98" i="168"/>
  <c r="V98" i="190"/>
  <c r="V98" i="178"/>
  <c r="V98" i="165"/>
  <c r="V98" i="188"/>
  <c r="V98" i="163"/>
  <c r="V98" i="185"/>
  <c r="V98" i="186"/>
  <c r="V54" i="187"/>
  <c r="V54" i="183"/>
  <c r="V54" i="167"/>
  <c r="V54" i="186"/>
  <c r="V54" i="161"/>
  <c r="V54" i="169"/>
  <c r="V54" i="184"/>
  <c r="V54" i="190"/>
  <c r="V54" i="164"/>
  <c r="V54" i="175"/>
  <c r="V54" i="158"/>
  <c r="V54" i="168"/>
  <c r="V54" i="188"/>
  <c r="V54" i="180"/>
  <c r="V54" i="174"/>
  <c r="V54" i="159"/>
  <c r="V54" i="198"/>
  <c r="V54" i="163"/>
  <c r="V54" i="189"/>
  <c r="V54" i="191"/>
  <c r="V54" i="176"/>
  <c r="V54" i="172"/>
  <c r="V54" i="178"/>
  <c r="V54" i="173"/>
  <c r="V54" i="179"/>
  <c r="V54" i="170"/>
  <c r="V54" i="185"/>
  <c r="V54" i="194"/>
  <c r="V54" i="165"/>
  <c r="V54" i="118"/>
  <c r="V54" i="181"/>
  <c r="V76" i="178"/>
  <c r="V76" i="173"/>
  <c r="V76" i="177"/>
  <c r="V76" i="183"/>
  <c r="V76" i="176"/>
  <c r="V76" i="168"/>
  <c r="V76" i="191"/>
  <c r="V76" i="180"/>
  <c r="V76" i="159"/>
  <c r="V76" i="174"/>
  <c r="V76" i="163"/>
  <c r="V76" i="175"/>
  <c r="V76" i="118"/>
  <c r="V76" i="188"/>
  <c r="V76" i="185"/>
  <c r="V76" i="161"/>
  <c r="V76" i="187"/>
  <c r="V76" i="194"/>
  <c r="V76" i="158"/>
  <c r="V76" i="167"/>
  <c r="V76" i="186"/>
  <c r="V76" i="169"/>
  <c r="V76" i="184"/>
  <c r="V76" i="198"/>
  <c r="V76" i="181"/>
  <c r="V76" i="165"/>
  <c r="V76" i="190"/>
  <c r="V76" i="170"/>
  <c r="V76" i="179"/>
  <c r="V76" i="164"/>
  <c r="V76" i="172"/>
  <c r="V76" i="189"/>
  <c r="V104" i="177"/>
  <c r="V104" i="190"/>
  <c r="V104" i="176"/>
  <c r="V104" i="158"/>
  <c r="V104" i="163"/>
  <c r="V104" i="173"/>
  <c r="V104" i="186"/>
  <c r="V104" i="174"/>
  <c r="V104" i="161"/>
  <c r="V104" i="178"/>
  <c r="V104" i="185"/>
  <c r="V104" i="184"/>
  <c r="V104" i="165"/>
  <c r="V104" i="169"/>
  <c r="V104" i="187"/>
  <c r="V104" i="183"/>
  <c r="V104" i="191"/>
  <c r="V104" i="180"/>
  <c r="V104" i="175"/>
  <c r="V104" i="188"/>
  <c r="V104" i="168"/>
  <c r="V104" i="189"/>
  <c r="V104" i="167"/>
  <c r="V104" i="159"/>
  <c r="V104" i="170"/>
  <c r="V104" i="198"/>
  <c r="V104" i="172"/>
  <c r="V104" i="164"/>
  <c r="V104" i="181"/>
  <c r="V104" i="194"/>
  <c r="V104" i="179"/>
  <c r="V78" i="168"/>
  <c r="V78" i="198"/>
  <c r="V78" i="187"/>
  <c r="V78" i="170"/>
  <c r="V78" i="173"/>
  <c r="V78" i="163"/>
  <c r="V78" i="185"/>
  <c r="V78" i="194"/>
  <c r="V78" i="172"/>
  <c r="V78" i="175"/>
  <c r="V78" i="184"/>
  <c r="V78" i="165"/>
  <c r="V78" i="176"/>
  <c r="V78" i="189"/>
  <c r="V78" i="186"/>
  <c r="V78" i="178"/>
  <c r="V78" i="169"/>
  <c r="V78" i="177"/>
  <c r="V78" i="188"/>
  <c r="V78" i="159"/>
  <c r="V78" i="179"/>
  <c r="V78" i="164"/>
  <c r="V78" i="190"/>
  <c r="V78" i="191"/>
  <c r="V78" i="174"/>
  <c r="V78" i="181"/>
  <c r="V78" i="161"/>
  <c r="V78" i="118"/>
  <c r="V78" i="158"/>
  <c r="V78" i="167"/>
  <c r="V78" i="180"/>
  <c r="V78" i="183"/>
  <c r="V63" i="15"/>
  <c r="U63" i="192"/>
  <c r="V63" i="192"/>
  <c r="V63" i="193"/>
  <c r="U63" i="195"/>
  <c r="V63" i="195"/>
  <c r="N70" i="193"/>
  <c r="M70" i="195"/>
  <c r="N70" i="195"/>
  <c r="V88" i="178"/>
  <c r="V88" i="194"/>
  <c r="V88" i="175"/>
  <c r="V88" i="118"/>
  <c r="V88" i="179"/>
  <c r="V88" i="180"/>
  <c r="V88" i="190"/>
  <c r="V88" i="170"/>
  <c r="V88" i="177"/>
  <c r="V88" i="163"/>
  <c r="V88" i="165"/>
  <c r="V88" i="176"/>
  <c r="V88" i="188"/>
  <c r="V88" i="185"/>
  <c r="V88" i="172"/>
  <c r="V88" i="187"/>
  <c r="V88" i="181"/>
  <c r="V88" i="158"/>
  <c r="V88" i="186"/>
  <c r="V88" i="198"/>
  <c r="V88" i="183"/>
  <c r="V88" i="189"/>
  <c r="V88" i="191"/>
  <c r="V88" i="159"/>
  <c r="V88" i="164"/>
  <c r="V88" i="168"/>
  <c r="V88" i="161"/>
  <c r="V88" i="174"/>
  <c r="V88" i="169"/>
  <c r="V88" i="184"/>
  <c r="V88" i="173"/>
  <c r="V88" i="167"/>
  <c r="V86" i="177"/>
  <c r="V86" i="194"/>
  <c r="V86" i="165"/>
  <c r="V86" i="176"/>
  <c r="V86" i="179"/>
  <c r="V86" i="186"/>
  <c r="V86" i="190"/>
  <c r="V86" i="184"/>
  <c r="V86" i="173"/>
  <c r="V86" i="164"/>
  <c r="V86" i="175"/>
  <c r="V86" i="161"/>
  <c r="V86" i="167"/>
  <c r="V86" i="180"/>
  <c r="V86" i="174"/>
  <c r="V86" i="163"/>
  <c r="V86" i="189"/>
  <c r="V86" i="118"/>
  <c r="V86" i="188"/>
  <c r="V86" i="185"/>
  <c r="V86" i="172"/>
  <c r="V86" i="170"/>
  <c r="V86" i="178"/>
  <c r="V86" i="158"/>
  <c r="V86" i="187"/>
  <c r="V86" i="168"/>
  <c r="V86" i="181"/>
  <c r="V86" i="169"/>
  <c r="V86" i="191"/>
  <c r="V86" i="183"/>
  <c r="V86" i="159"/>
  <c r="V86" i="198"/>
  <c r="V99" i="177"/>
  <c r="V99" i="183"/>
  <c r="V99" i="164"/>
  <c r="V99" i="158"/>
  <c r="V99" i="168"/>
  <c r="V99" i="191"/>
  <c r="V99" i="169"/>
  <c r="V99" i="159"/>
  <c r="V99" i="174"/>
  <c r="V99" i="198"/>
  <c r="V99" i="163"/>
  <c r="V99" i="165"/>
  <c r="V99" i="176"/>
  <c r="V99" i="188"/>
  <c r="V99" i="185"/>
  <c r="V99" i="172"/>
  <c r="V99" i="187"/>
  <c r="V99" i="181"/>
  <c r="V99" i="189"/>
  <c r="V99" i="167"/>
  <c r="V99" i="186"/>
  <c r="V99" i="180"/>
  <c r="V99" i="184"/>
  <c r="V99" i="173"/>
  <c r="V99" i="161"/>
  <c r="V99" i="175"/>
  <c r="V99" i="118"/>
  <c r="V99" i="170"/>
  <c r="V99" i="179"/>
  <c r="V99" i="178"/>
  <c r="V99" i="194"/>
  <c r="V99" i="190"/>
  <c r="V92" i="187"/>
  <c r="V92" i="194"/>
  <c r="V92" i="165"/>
  <c r="V92" i="167"/>
  <c r="V92" i="188"/>
  <c r="V92" i="191"/>
  <c r="V92" i="180"/>
  <c r="V92" i="174"/>
  <c r="V92" i="159"/>
  <c r="V92" i="177"/>
  <c r="V92" i="183"/>
  <c r="V92" i="158"/>
  <c r="V92" i="168"/>
  <c r="V92" i="176"/>
  <c r="V92" i="190"/>
  <c r="V92" i="184"/>
  <c r="V92" i="173"/>
  <c r="V92" i="189"/>
  <c r="V92" i="179"/>
  <c r="V92" i="169"/>
  <c r="V92" i="170"/>
  <c r="V92" i="175"/>
  <c r="V92" i="161"/>
  <c r="V92" i="198"/>
  <c r="V92" i="164"/>
  <c r="V92" i="186"/>
  <c r="V92" i="172"/>
  <c r="V92" i="178"/>
  <c r="V92" i="181"/>
  <c r="V92" i="118"/>
  <c r="V92" i="185"/>
  <c r="V92" i="163"/>
  <c r="V70" i="177"/>
  <c r="V70" i="176"/>
  <c r="V70" i="178"/>
  <c r="V70" i="189"/>
  <c r="V70" i="180"/>
  <c r="V70" i="179"/>
  <c r="V70" i="172"/>
  <c r="V70" i="198"/>
  <c r="V70" i="194"/>
  <c r="V70" i="170"/>
  <c r="V70" i="187"/>
  <c r="V70" i="190"/>
  <c r="V70" i="188"/>
  <c r="V70" i="191"/>
  <c r="V70" i="163"/>
  <c r="V70" i="161"/>
  <c r="V70" i="183"/>
  <c r="V70" i="181"/>
  <c r="V70" i="118"/>
  <c r="V70" i="159"/>
  <c r="V70" i="168"/>
  <c r="V70" i="184"/>
  <c r="V70" i="158"/>
  <c r="V70" i="185"/>
  <c r="V70" i="164"/>
  <c r="V70" i="169"/>
  <c r="V70" i="175"/>
  <c r="V70" i="173"/>
  <c r="V70" i="167"/>
  <c r="V70" i="174"/>
  <c r="V70" i="186"/>
  <c r="V70" i="165"/>
  <c r="V56" i="181"/>
  <c r="V56" i="161"/>
  <c r="V56" i="198"/>
  <c r="V56" i="159"/>
  <c r="V56" i="163"/>
  <c r="V56" i="172"/>
  <c r="V56" i="164"/>
  <c r="V56" i="191"/>
  <c r="V56" i="194"/>
  <c r="V56" i="180"/>
  <c r="V56" i="185"/>
  <c r="V56" i="170"/>
  <c r="V56" i="175"/>
  <c r="V56" i="190"/>
  <c r="V56" i="189"/>
  <c r="V56" i="165"/>
  <c r="V56" i="187"/>
  <c r="V56" i="177"/>
  <c r="V56" i="168"/>
  <c r="V56" i="178"/>
  <c r="V56" i="188"/>
  <c r="V56" i="173"/>
  <c r="V56" i="179"/>
  <c r="V56" i="183"/>
  <c r="V56" i="158"/>
  <c r="V56" i="118"/>
  <c r="V56" i="167"/>
  <c r="V56" i="174"/>
  <c r="V56" i="184"/>
  <c r="V56" i="186"/>
  <c r="V56" i="176"/>
  <c r="V56" i="169"/>
  <c r="V100" i="177"/>
  <c r="V100" i="163"/>
  <c r="V100" i="165"/>
  <c r="V100" i="176"/>
  <c r="V100" i="179"/>
  <c r="V100" i="185"/>
  <c r="V100" i="164"/>
  <c r="V100" i="189"/>
  <c r="V100" i="167"/>
  <c r="V100" i="186"/>
  <c r="V100" i="187"/>
  <c r="V100" i="175"/>
  <c r="V100" i="183"/>
  <c r="V100" i="158"/>
  <c r="V100" i="191"/>
  <c r="V100" i="181"/>
  <c r="V100" i="190"/>
  <c r="V100" i="174"/>
  <c r="V100" i="194"/>
  <c r="V100" i="168"/>
  <c r="V100" i="180"/>
  <c r="V100" i="178"/>
  <c r="V100" i="159"/>
  <c r="V100" i="184"/>
  <c r="V100" i="188"/>
  <c r="V100" i="169"/>
  <c r="V100" i="173"/>
  <c r="V100" i="198"/>
  <c r="V100" i="161"/>
  <c r="V100" i="172"/>
  <c r="V100" i="170"/>
  <c r="V90" i="177"/>
  <c r="V90" i="164"/>
  <c r="V90" i="189"/>
  <c r="V90" i="167"/>
  <c r="V90" i="179"/>
  <c r="V90" i="185"/>
  <c r="V90" i="172"/>
  <c r="V90" i="173"/>
  <c r="V90" i="184"/>
  <c r="V90" i="194"/>
  <c r="V90" i="175"/>
  <c r="V90" i="118"/>
  <c r="V90" i="186"/>
  <c r="V90" i="180"/>
  <c r="V90" i="190"/>
  <c r="V90" i="159"/>
  <c r="V90" i="163"/>
  <c r="V90" i="165"/>
  <c r="V90" i="176"/>
  <c r="V90" i="188"/>
  <c r="V90" i="191"/>
  <c r="V90" i="178"/>
  <c r="V90" i="170"/>
  <c r="V90" i="183"/>
  <c r="V90" i="161"/>
  <c r="V90" i="158"/>
  <c r="V90" i="169"/>
  <c r="V90" i="174"/>
  <c r="V90" i="168"/>
  <c r="V90" i="187"/>
  <c r="V90" i="198"/>
  <c r="V90" i="181"/>
  <c r="V67" i="177"/>
  <c r="V67" i="188"/>
  <c r="V67" i="176"/>
  <c r="V67" i="187"/>
  <c r="V67" i="185"/>
  <c r="V67" i="198"/>
  <c r="V67" i="190"/>
  <c r="V67" i="175"/>
  <c r="V67" i="163"/>
  <c r="V67" i="165"/>
  <c r="V67" i="178"/>
  <c r="V67" i="191"/>
  <c r="V67" i="183"/>
  <c r="V67" i="169"/>
  <c r="V67" i="194"/>
  <c r="V67" i="172"/>
  <c r="V67" i="164"/>
  <c r="V67" i="174"/>
  <c r="V67" i="168"/>
  <c r="V67" i="186"/>
  <c r="V67" i="170"/>
  <c r="V67" i="118"/>
  <c r="V67" i="180"/>
  <c r="V67" i="159"/>
  <c r="V67" i="189"/>
  <c r="V67" i="179"/>
  <c r="V67" i="158"/>
  <c r="V67" i="184"/>
  <c r="V67" i="181"/>
  <c r="V67" i="161"/>
  <c r="V67" i="173"/>
  <c r="V67" i="167"/>
  <c r="V65" i="172"/>
  <c r="V65" i="194"/>
  <c r="V65" i="198"/>
  <c r="V65" i="177"/>
  <c r="V65" i="168"/>
  <c r="V65" i="159"/>
  <c r="V65" i="188"/>
  <c r="V65" i="180"/>
  <c r="V65" i="179"/>
  <c r="V65" i="189"/>
  <c r="V65" i="173"/>
  <c r="V65" i="183"/>
  <c r="V65" i="161"/>
  <c r="V65" i="163"/>
  <c r="V65" i="191"/>
  <c r="V65" i="164"/>
  <c r="V65" i="185"/>
  <c r="V65" i="184"/>
  <c r="V65" i="187"/>
  <c r="V65" i="158"/>
  <c r="V65" i="174"/>
  <c r="V65" i="167"/>
  <c r="V65" i="181"/>
  <c r="V65" i="118"/>
  <c r="V65" i="178"/>
  <c r="V65" i="186"/>
  <c r="V65" i="165"/>
  <c r="V65" i="169"/>
  <c r="V65" i="176"/>
  <c r="V65" i="190"/>
  <c r="V65" i="175"/>
  <c r="V65" i="170"/>
  <c r="M105" i="177"/>
  <c r="N105" i="177"/>
  <c r="V77" i="177"/>
  <c r="V77" i="190"/>
  <c r="V77" i="172"/>
  <c r="V77" i="183"/>
  <c r="V77" i="158"/>
  <c r="V77" i="168"/>
  <c r="V77" i="161"/>
  <c r="V77" i="180"/>
  <c r="V77" i="173"/>
  <c r="V77" i="163"/>
  <c r="V77" i="165"/>
  <c r="V77" i="176"/>
  <c r="V77" i="188"/>
  <c r="V77" i="191"/>
  <c r="V77" i="159"/>
  <c r="V77" i="198"/>
  <c r="V77" i="194"/>
  <c r="V77" i="175"/>
  <c r="V77" i="118"/>
  <c r="V77" i="186"/>
  <c r="V77" i="169"/>
  <c r="V77" i="178"/>
  <c r="V77" i="170"/>
  <c r="V77" i="174"/>
  <c r="V77" i="164"/>
  <c r="V77" i="185"/>
  <c r="V77" i="181"/>
  <c r="V77" i="184"/>
  <c r="V77" i="179"/>
  <c r="V77" i="189"/>
  <c r="V77" i="167"/>
  <c r="V77" i="187"/>
  <c r="V95" i="198"/>
  <c r="V95" i="197"/>
  <c r="U105" i="197"/>
  <c r="V64" i="177"/>
  <c r="V64" i="194"/>
  <c r="V64" i="189"/>
  <c r="V64" i="118"/>
  <c r="V64" i="186"/>
  <c r="V64" i="169"/>
  <c r="V64" i="181"/>
  <c r="V64" i="159"/>
  <c r="V64" i="184"/>
  <c r="V64" i="183"/>
  <c r="V64" i="158"/>
  <c r="V64" i="168"/>
  <c r="V64" i="161"/>
  <c r="V64" i="180"/>
  <c r="V64" i="178"/>
  <c r="V64" i="187"/>
  <c r="V64" i="164"/>
  <c r="V64" i="165"/>
  <c r="V64" i="167"/>
  <c r="V64" i="179"/>
  <c r="V64" i="172"/>
  <c r="V64" i="191"/>
  <c r="V64" i="190"/>
  <c r="V64" i="163"/>
  <c r="V64" i="185"/>
  <c r="V64" i="175"/>
  <c r="V64" i="198"/>
  <c r="V64" i="188"/>
  <c r="V64" i="170"/>
  <c r="V64" i="176"/>
  <c r="V64" i="173"/>
  <c r="V64" i="174"/>
  <c r="V102" i="194"/>
  <c r="V102" i="165"/>
  <c r="V102" i="186"/>
  <c r="V102" i="168"/>
  <c r="V102" i="180"/>
  <c r="V102" i="159"/>
  <c r="V102" i="187"/>
  <c r="V102" i="164"/>
  <c r="V102" i="175"/>
  <c r="V102" i="161"/>
  <c r="V102" i="158"/>
  <c r="V102" i="178"/>
  <c r="V102" i="184"/>
  <c r="V102" i="191"/>
  <c r="V102" i="169"/>
  <c r="V102" i="170"/>
  <c r="V102" i="198"/>
  <c r="V102" i="189"/>
  <c r="V102" i="185"/>
  <c r="V102" i="181"/>
  <c r="V102" i="174"/>
  <c r="V102" i="163"/>
  <c r="V102" i="167"/>
  <c r="V102" i="179"/>
  <c r="V102" i="190"/>
  <c r="V102" i="172"/>
  <c r="V102" i="183"/>
  <c r="V102" i="188"/>
  <c r="V102" i="176"/>
  <c r="V102" i="177"/>
  <c r="V102" i="173"/>
  <c r="V66" i="159"/>
  <c r="V66" i="183"/>
  <c r="V66" i="177"/>
  <c r="V66" i="194"/>
  <c r="V66" i="165"/>
  <c r="V66" i="161"/>
  <c r="V66" i="191"/>
  <c r="V66" i="169"/>
  <c r="V66" i="174"/>
  <c r="V66" i="158"/>
  <c r="V66" i="168"/>
  <c r="V66" i="185"/>
  <c r="V66" i="190"/>
  <c r="V66" i="187"/>
  <c r="V66" i="181"/>
  <c r="V66" i="164"/>
  <c r="V66" i="189"/>
  <c r="V66" i="176"/>
  <c r="V66" i="179"/>
  <c r="V66" i="180"/>
  <c r="V66" i="186"/>
  <c r="V66" i="184"/>
  <c r="V66" i="173"/>
  <c r="V66" i="175"/>
  <c r="V66" i="167"/>
  <c r="V66" i="198"/>
  <c r="V66" i="170"/>
  <c r="V66" i="178"/>
  <c r="V66" i="118"/>
  <c r="V66" i="163"/>
  <c r="V66" i="172"/>
  <c r="V66" i="188"/>
  <c r="V75" i="177"/>
  <c r="V75" i="176"/>
  <c r="V75" i="184"/>
  <c r="V75" i="179"/>
  <c r="V75" i="173"/>
  <c r="V75" i="189"/>
  <c r="V75" i="190"/>
  <c r="V75" i="172"/>
  <c r="V75" i="164"/>
  <c r="V75" i="159"/>
  <c r="V75" i="167"/>
  <c r="V75" i="178"/>
  <c r="V75" i="188"/>
  <c r="V75" i="198"/>
  <c r="V75" i="169"/>
  <c r="V75" i="174"/>
  <c r="V75" i="161"/>
  <c r="V75" i="170"/>
  <c r="V75" i="118"/>
  <c r="V75" i="191"/>
  <c r="V75" i="183"/>
  <c r="V75" i="180"/>
  <c r="V75" i="194"/>
  <c r="V75" i="185"/>
  <c r="V75" i="163"/>
  <c r="V75" i="187"/>
  <c r="V75" i="158"/>
  <c r="V75" i="165"/>
  <c r="V75" i="175"/>
  <c r="V75" i="168"/>
  <c r="V75" i="186"/>
  <c r="V75" i="181"/>
  <c r="V103" i="165"/>
  <c r="V103" i="173"/>
  <c r="V103" i="194"/>
  <c r="V103" i="190"/>
  <c r="V103" i="186"/>
  <c r="V103" i="170"/>
  <c r="V103" i="168"/>
  <c r="V103" i="184"/>
  <c r="V103" i="174"/>
  <c r="V103" i="187"/>
  <c r="V103" i="198"/>
  <c r="V103" i="177"/>
  <c r="V103" i="158"/>
  <c r="V103" i="163"/>
  <c r="V103" i="179"/>
  <c r="V103" i="175"/>
  <c r="V103" i="169"/>
  <c r="V103" i="183"/>
  <c r="V103" i="188"/>
  <c r="V103" i="189"/>
  <c r="V103" i="180"/>
  <c r="V103" i="161"/>
  <c r="V103" i="159"/>
  <c r="V103" i="176"/>
  <c r="V103" i="181"/>
  <c r="V103" i="191"/>
  <c r="V103" i="164"/>
  <c r="V103" i="172"/>
  <c r="V103" i="185"/>
  <c r="V103" i="167"/>
  <c r="V103" i="178"/>
  <c r="V68" i="168"/>
  <c r="V68" i="187"/>
  <c r="V68" i="158"/>
  <c r="V68" i="178"/>
  <c r="V68" i="161"/>
  <c r="V68" i="169"/>
  <c r="V68" i="198"/>
  <c r="V68" i="183"/>
  <c r="V68" i="175"/>
  <c r="V68" i="180"/>
  <c r="V68" i="164"/>
  <c r="V68" i="185"/>
  <c r="V68" i="189"/>
  <c r="V68" i="181"/>
  <c r="V68" i="177"/>
  <c r="V68" i="176"/>
  <c r="V68" i="173"/>
  <c r="V68" i="165"/>
  <c r="V68" i="118"/>
  <c r="V68" i="190"/>
  <c r="V68" i="163"/>
  <c r="V68" i="191"/>
  <c r="V68" i="174"/>
  <c r="V68" i="179"/>
  <c r="V68" i="194"/>
  <c r="V68" i="172"/>
  <c r="V68" i="188"/>
  <c r="V68" i="186"/>
  <c r="V68" i="170"/>
  <c r="V68" i="184"/>
  <c r="V68" i="159"/>
  <c r="V68" i="167"/>
  <c r="N70" i="15"/>
  <c r="M70" i="192"/>
  <c r="N70" i="192"/>
  <c r="K105" i="177"/>
  <c r="L105" i="177"/>
  <c r="S66" i="195"/>
  <c r="T66" i="195"/>
  <c r="T66" i="193"/>
  <c r="T54" i="193"/>
  <c r="S54" i="195"/>
  <c r="T54" i="195"/>
  <c r="S70" i="195"/>
  <c r="T70" i="195"/>
  <c r="T70" i="193"/>
  <c r="T56" i="15"/>
  <c r="S56" i="192"/>
  <c r="T56" i="192"/>
  <c r="S100" i="192"/>
  <c r="T100" i="192"/>
  <c r="T100" i="15"/>
  <c r="S76" i="192"/>
  <c r="T76" i="192"/>
  <c r="T76" i="15"/>
  <c r="T76" i="193"/>
  <c r="S76" i="195"/>
  <c r="T76" i="195"/>
  <c r="T102" i="15"/>
  <c r="S102" i="192"/>
  <c r="T102" i="192"/>
  <c r="T92" i="15"/>
  <c r="S92" i="192"/>
  <c r="T92" i="192"/>
  <c r="S88" i="192"/>
  <c r="T88" i="192"/>
  <c r="T88" i="15"/>
  <c r="S88" i="195"/>
  <c r="T88" i="195"/>
  <c r="T88" i="193"/>
  <c r="T104" i="15"/>
  <c r="S104" i="192"/>
  <c r="T104" i="192"/>
  <c r="T92" i="193"/>
  <c r="S92" i="195"/>
  <c r="T92" i="195"/>
  <c r="S65" i="195"/>
  <c r="T65" i="195"/>
  <c r="T65" i="193"/>
  <c r="T103" i="15"/>
  <c r="S103" i="192"/>
  <c r="T103" i="192"/>
  <c r="S90" i="195"/>
  <c r="T90" i="195"/>
  <c r="T90" i="193"/>
  <c r="S90" i="192"/>
  <c r="T90" i="192"/>
  <c r="T90" i="15"/>
  <c r="T75" i="15"/>
  <c r="S75" i="192"/>
  <c r="T75" i="192"/>
  <c r="T75" i="193"/>
  <c r="S75" i="195"/>
  <c r="T75" i="195"/>
  <c r="S70" i="192"/>
  <c r="T70" i="192"/>
  <c r="T70" i="15"/>
  <c r="S78" i="192"/>
  <c r="T78" i="192"/>
  <c r="T78" i="15"/>
  <c r="S78" i="195"/>
  <c r="T78" i="195"/>
  <c r="T78" i="193"/>
  <c r="S77" i="195"/>
  <c r="T77" i="195"/>
  <c r="T77" i="193"/>
  <c r="T54" i="177"/>
  <c r="S105" i="177"/>
  <c r="S65" i="192"/>
  <c r="T65" i="192"/>
  <c r="T65" i="15"/>
  <c r="T86" i="15"/>
  <c r="S86" i="192"/>
  <c r="T86" i="192"/>
  <c r="T86" i="193"/>
  <c r="S86" i="195"/>
  <c r="T86" i="195"/>
  <c r="T99" i="15"/>
  <c r="S99" i="192"/>
  <c r="T99" i="192"/>
  <c r="T98" i="15"/>
  <c r="S98" i="192"/>
  <c r="T98" i="192"/>
  <c r="T98" i="193"/>
  <c r="S98" i="195"/>
  <c r="T98" i="195"/>
  <c r="T104" i="193"/>
  <c r="S104" i="195"/>
  <c r="T104" i="195"/>
  <c r="T102" i="193"/>
  <c r="S102" i="195"/>
  <c r="T102" i="195"/>
  <c r="S54" i="192"/>
  <c r="T54" i="192"/>
  <c r="T54" i="15"/>
  <c r="S67" i="192"/>
  <c r="T67" i="192"/>
  <c r="T67" i="15"/>
  <c r="S67" i="195"/>
  <c r="T67" i="195"/>
  <c r="T67" i="193"/>
  <c r="S66" i="192"/>
  <c r="T66" i="192"/>
  <c r="T66" i="15"/>
  <c r="T56" i="193"/>
  <c r="S56" i="195"/>
  <c r="T56" i="195"/>
  <c r="T100" i="193"/>
  <c r="S100" i="195"/>
  <c r="T100" i="195"/>
  <c r="T64" i="15"/>
  <c r="S64" i="192"/>
  <c r="T64" i="192"/>
  <c r="T64" i="193"/>
  <c r="S64" i="195"/>
  <c r="T64" i="195"/>
  <c r="T77" i="15"/>
  <c r="S77" i="192"/>
  <c r="T77" i="192"/>
  <c r="S103" i="195"/>
  <c r="T103" i="195"/>
  <c r="T103" i="193"/>
  <c r="S68" i="192"/>
  <c r="T68" i="192"/>
  <c r="T68" i="15"/>
  <c r="S68" i="195"/>
  <c r="T68" i="195"/>
  <c r="T68" i="193"/>
  <c r="T99" i="193"/>
  <c r="S99" i="195"/>
  <c r="T99" i="195"/>
  <c r="P105" i="177"/>
  <c r="O107" i="177"/>
  <c r="P107" i="177"/>
  <c r="N116" i="198"/>
  <c r="R105" i="177"/>
  <c r="Q107" i="177"/>
  <c r="R107" i="177"/>
  <c r="K107" i="177"/>
  <c r="L107" i="177"/>
  <c r="Q90" i="192"/>
  <c r="R90" i="192"/>
  <c r="R90" i="15"/>
  <c r="L90" i="15"/>
  <c r="K90" i="192"/>
  <c r="L90" i="192"/>
  <c r="L90" i="193"/>
  <c r="K90" i="195"/>
  <c r="L90" i="195"/>
  <c r="L103" i="193"/>
  <c r="K103" i="195"/>
  <c r="L103" i="195"/>
  <c r="R70" i="193"/>
  <c r="Q70" i="195"/>
  <c r="R70" i="195"/>
  <c r="R54" i="180"/>
  <c r="R104" i="193"/>
  <c r="Q104" i="195"/>
  <c r="R104" i="195"/>
  <c r="L65" i="193"/>
  <c r="K65" i="195"/>
  <c r="L65" i="195"/>
  <c r="L54" i="184"/>
  <c r="L54" i="168"/>
  <c r="L54" i="167"/>
  <c r="L88" i="15"/>
  <c r="K88" i="192"/>
  <c r="L88" i="192"/>
  <c r="L56" i="15"/>
  <c r="K56" i="192"/>
  <c r="L56" i="192"/>
  <c r="L56" i="193"/>
  <c r="K56" i="195"/>
  <c r="L56" i="195"/>
  <c r="L64" i="193"/>
  <c r="K64" i="195"/>
  <c r="L64" i="195"/>
  <c r="R92" i="15"/>
  <c r="Q92" i="192"/>
  <c r="R92" i="192"/>
  <c r="L66" i="15"/>
  <c r="K66" i="192"/>
  <c r="L66" i="192"/>
  <c r="L66" i="193"/>
  <c r="K66" i="195"/>
  <c r="L66" i="195"/>
  <c r="L100" i="15"/>
  <c r="K100" i="192"/>
  <c r="L100" i="192"/>
  <c r="L100" i="193"/>
  <c r="K100" i="195"/>
  <c r="L100" i="195"/>
  <c r="Q100" i="192"/>
  <c r="R100" i="192"/>
  <c r="R100" i="15"/>
  <c r="R77" i="193"/>
  <c r="Q77" i="195"/>
  <c r="R77" i="195"/>
  <c r="L92" i="193"/>
  <c r="K92" i="195"/>
  <c r="L92" i="195"/>
  <c r="L68" i="15"/>
  <c r="K68" i="192"/>
  <c r="L68" i="192"/>
  <c r="L68" i="193"/>
  <c r="K68" i="195"/>
  <c r="L68" i="195"/>
  <c r="L98" i="193"/>
  <c r="K98" i="195"/>
  <c r="L98" i="195"/>
  <c r="Q70" i="192"/>
  <c r="R70" i="192"/>
  <c r="R70" i="15"/>
  <c r="R66" i="193"/>
  <c r="Q66" i="195"/>
  <c r="R66" i="195"/>
  <c r="R54" i="174"/>
  <c r="Q54" i="192"/>
  <c r="R54" i="15"/>
  <c r="R54" i="172"/>
  <c r="R54" i="168"/>
  <c r="R54" i="118"/>
  <c r="R54" i="189"/>
  <c r="R54" i="164"/>
  <c r="Q56" i="195"/>
  <c r="R56" i="195"/>
  <c r="R56" i="193"/>
  <c r="R75" i="15"/>
  <c r="Q75" i="192"/>
  <c r="R75" i="192"/>
  <c r="L78" i="15"/>
  <c r="K78" i="192"/>
  <c r="L78" i="192"/>
  <c r="L54" i="173"/>
  <c r="L54" i="178"/>
  <c r="L54" i="158"/>
  <c r="L54" i="118"/>
  <c r="L54" i="188"/>
  <c r="L54" i="176"/>
  <c r="L54" i="193"/>
  <c r="K54" i="195"/>
  <c r="L54" i="183"/>
  <c r="L88" i="193"/>
  <c r="K88" i="195"/>
  <c r="L88" i="195"/>
  <c r="L104" i="193"/>
  <c r="K104" i="195"/>
  <c r="L104" i="195"/>
  <c r="R54" i="190"/>
  <c r="R54" i="165"/>
  <c r="R75" i="193"/>
  <c r="Q75" i="195"/>
  <c r="R75" i="195"/>
  <c r="R88" i="193"/>
  <c r="Q88" i="195"/>
  <c r="R88" i="195"/>
  <c r="L54" i="181"/>
  <c r="L54" i="180"/>
  <c r="L54" i="185"/>
  <c r="L54" i="189"/>
  <c r="L54" i="163"/>
  <c r="L86" i="15"/>
  <c r="K86" i="192"/>
  <c r="L86" i="192"/>
  <c r="Q99" i="192"/>
  <c r="R99" i="192"/>
  <c r="R99" i="15"/>
  <c r="R67" i="193"/>
  <c r="Q67" i="195"/>
  <c r="R67" i="195"/>
  <c r="L67" i="193"/>
  <c r="K67" i="195"/>
  <c r="L67" i="195"/>
  <c r="L77" i="15"/>
  <c r="K77" i="192"/>
  <c r="L77" i="192"/>
  <c r="L77" i="193"/>
  <c r="K77" i="195"/>
  <c r="L77" i="195"/>
  <c r="K102" i="192"/>
  <c r="L102" i="192"/>
  <c r="L102" i="15"/>
  <c r="L102" i="193"/>
  <c r="K102" i="195"/>
  <c r="L102" i="195"/>
  <c r="L70" i="15"/>
  <c r="K70" i="192"/>
  <c r="L70" i="192"/>
  <c r="K103" i="192"/>
  <c r="L103" i="192"/>
  <c r="L103" i="15"/>
  <c r="R112" i="198"/>
  <c r="Q116" i="198"/>
  <c r="R116" i="198"/>
  <c r="R105" i="197"/>
  <c r="Q107" i="197"/>
  <c r="R107" i="197"/>
  <c r="R103" i="15"/>
  <c r="Q103" i="192"/>
  <c r="R103" i="192"/>
  <c r="R103" i="193"/>
  <c r="Q103" i="195"/>
  <c r="R103" i="195"/>
  <c r="R64" i="15"/>
  <c r="Q64" i="192"/>
  <c r="R64" i="192"/>
  <c r="R68" i="193"/>
  <c r="Q68" i="195"/>
  <c r="R68" i="195"/>
  <c r="R102" i="15"/>
  <c r="Q102" i="192"/>
  <c r="R102" i="192"/>
  <c r="R102" i="193"/>
  <c r="Q102" i="195"/>
  <c r="R102" i="195"/>
  <c r="L92" i="15"/>
  <c r="K92" i="192"/>
  <c r="L92" i="192"/>
  <c r="R66" i="15"/>
  <c r="Q66" i="192"/>
  <c r="R66" i="192"/>
  <c r="R54" i="159"/>
  <c r="R54" i="173"/>
  <c r="R54" i="184"/>
  <c r="R54" i="186"/>
  <c r="R54" i="185"/>
  <c r="R54" i="161"/>
  <c r="R54" i="158"/>
  <c r="R54" i="175"/>
  <c r="R54" i="183"/>
  <c r="R65" i="193"/>
  <c r="Q65" i="195"/>
  <c r="R65" i="195"/>
  <c r="L99" i="193"/>
  <c r="K99" i="195"/>
  <c r="L99" i="195"/>
  <c r="L54" i="159"/>
  <c r="L54" i="174"/>
  <c r="L54" i="190"/>
  <c r="L54" i="15"/>
  <c r="K54" i="192"/>
  <c r="L54" i="191"/>
  <c r="L54" i="186"/>
  <c r="L54" i="165"/>
  <c r="L54" i="194"/>
  <c r="L75" i="15"/>
  <c r="K75" i="192"/>
  <c r="L75" i="192"/>
  <c r="L75" i="193"/>
  <c r="K75" i="195"/>
  <c r="L75" i="195"/>
  <c r="L86" i="193"/>
  <c r="K86" i="195"/>
  <c r="L86" i="195"/>
  <c r="R98" i="193"/>
  <c r="Q98" i="195"/>
  <c r="R98" i="195"/>
  <c r="Q67" i="192"/>
  <c r="R67" i="192"/>
  <c r="R67" i="15"/>
  <c r="L64" i="15"/>
  <c r="K64" i="192"/>
  <c r="L64" i="192"/>
  <c r="R92" i="193"/>
  <c r="Q92" i="195"/>
  <c r="R92" i="195"/>
  <c r="R100" i="193"/>
  <c r="Q100" i="195"/>
  <c r="R100" i="195"/>
  <c r="R64" i="193"/>
  <c r="Q64" i="195"/>
  <c r="R64" i="195"/>
  <c r="R68" i="15"/>
  <c r="Q68" i="192"/>
  <c r="R68" i="192"/>
  <c r="R54" i="170"/>
  <c r="R54" i="187"/>
  <c r="R54" i="179"/>
  <c r="R54" i="191"/>
  <c r="R54" i="194"/>
  <c r="R86" i="15"/>
  <c r="Q86" i="192"/>
  <c r="R86" i="192"/>
  <c r="R86" i="193"/>
  <c r="Q86" i="195"/>
  <c r="R86" i="195"/>
  <c r="L78" i="193"/>
  <c r="K78" i="195"/>
  <c r="L78" i="195"/>
  <c r="Q78" i="192"/>
  <c r="R78" i="192"/>
  <c r="R78" i="15"/>
  <c r="R99" i="193"/>
  <c r="Q99" i="195"/>
  <c r="R99" i="195"/>
  <c r="R98" i="15"/>
  <c r="Q98" i="192"/>
  <c r="R98" i="192"/>
  <c r="R76" i="193"/>
  <c r="Q76" i="195"/>
  <c r="R76" i="195"/>
  <c r="L67" i="15"/>
  <c r="K67" i="192"/>
  <c r="L67" i="192"/>
  <c r="L76" i="193"/>
  <c r="K76" i="195"/>
  <c r="L76" i="195"/>
  <c r="R78" i="193"/>
  <c r="Q78" i="195"/>
  <c r="R78" i="195"/>
  <c r="Q76" i="192"/>
  <c r="R76" i="192"/>
  <c r="R76" i="15"/>
  <c r="R90" i="193"/>
  <c r="Q90" i="195"/>
  <c r="R90" i="195"/>
  <c r="L104" i="15"/>
  <c r="K104" i="192"/>
  <c r="L104" i="192"/>
  <c r="L76" i="15"/>
  <c r="K76" i="192"/>
  <c r="L76" i="192"/>
  <c r="L70" i="193"/>
  <c r="K70" i="195"/>
  <c r="L70" i="195"/>
  <c r="R77" i="15"/>
  <c r="Q77" i="192"/>
  <c r="R77" i="192"/>
  <c r="L98" i="15"/>
  <c r="K98" i="192"/>
  <c r="L98" i="192"/>
  <c r="R54" i="181"/>
  <c r="R54" i="178"/>
  <c r="R54" i="169"/>
  <c r="R54" i="188"/>
  <c r="R54" i="176"/>
  <c r="R54" i="167"/>
  <c r="R54" i="193"/>
  <c r="Q54" i="195"/>
  <c r="R54" i="163"/>
  <c r="Q56" i="192"/>
  <c r="R56" i="192"/>
  <c r="R56" i="15"/>
  <c r="R104" i="15"/>
  <c r="Q104" i="192"/>
  <c r="R104" i="192"/>
  <c r="R65" i="15"/>
  <c r="Q65" i="192"/>
  <c r="R65" i="192"/>
  <c r="L65" i="15"/>
  <c r="K65" i="192"/>
  <c r="L65" i="192"/>
  <c r="L99" i="15"/>
  <c r="K99" i="192"/>
  <c r="L99" i="192"/>
  <c r="Q88" i="192"/>
  <c r="R88" i="192"/>
  <c r="R88" i="15"/>
  <c r="K107" i="197"/>
  <c r="L107" i="197"/>
  <c r="L105" i="197"/>
  <c r="L54" i="170"/>
  <c r="L54" i="187"/>
  <c r="L54" i="169"/>
  <c r="L54" i="179"/>
  <c r="L54" i="172"/>
  <c r="L54" i="161"/>
  <c r="L54" i="175"/>
  <c r="L54" i="164"/>
  <c r="M107" i="177"/>
  <c r="N107" i="177"/>
  <c r="V64" i="193"/>
  <c r="U64" i="195"/>
  <c r="V64" i="195"/>
  <c r="V65" i="193"/>
  <c r="U65" i="195"/>
  <c r="V65" i="195"/>
  <c r="V67" i="193"/>
  <c r="U67" i="195"/>
  <c r="V67" i="195"/>
  <c r="V99" i="15"/>
  <c r="U99" i="192"/>
  <c r="V99" i="192"/>
  <c r="V88" i="193"/>
  <c r="U88" i="195"/>
  <c r="V88" i="195"/>
  <c r="V88" i="15"/>
  <c r="U88" i="192"/>
  <c r="V88" i="192"/>
  <c r="V78" i="15"/>
  <c r="U78" i="192"/>
  <c r="V78" i="192"/>
  <c r="V68" i="15"/>
  <c r="U68" i="192"/>
  <c r="V68" i="192"/>
  <c r="V103" i="15"/>
  <c r="U103" i="192"/>
  <c r="V103" i="192"/>
  <c r="U66" i="192"/>
  <c r="V66" i="192"/>
  <c r="V66" i="15"/>
  <c r="U64" i="192"/>
  <c r="V64" i="192"/>
  <c r="V64" i="15"/>
  <c r="V105" i="197"/>
  <c r="U107" i="197"/>
  <c r="V107" i="197"/>
  <c r="V77" i="193"/>
  <c r="U77" i="195"/>
  <c r="V77" i="195"/>
  <c r="V65" i="15"/>
  <c r="U65" i="192"/>
  <c r="V65" i="192"/>
  <c r="V67" i="15"/>
  <c r="U67" i="192"/>
  <c r="V67" i="192"/>
  <c r="U100" i="192"/>
  <c r="V100" i="192"/>
  <c r="V100" i="15"/>
  <c r="V56" i="193"/>
  <c r="U56" i="195"/>
  <c r="V56" i="195"/>
  <c r="V70" i="193"/>
  <c r="U70" i="195"/>
  <c r="V70" i="195"/>
  <c r="V86" i="15"/>
  <c r="U86" i="192"/>
  <c r="V86" i="192"/>
  <c r="U76" i="192"/>
  <c r="V76" i="192"/>
  <c r="V76" i="15"/>
  <c r="V54" i="15"/>
  <c r="U54" i="192"/>
  <c r="V54" i="192"/>
  <c r="V54" i="177"/>
  <c r="U105" i="177"/>
  <c r="V68" i="193"/>
  <c r="U68" i="195"/>
  <c r="V68" i="195"/>
  <c r="V75" i="15"/>
  <c r="U75" i="192"/>
  <c r="V75" i="192"/>
  <c r="V66" i="193"/>
  <c r="U66" i="195"/>
  <c r="V66" i="195"/>
  <c r="V102" i="15"/>
  <c r="U102" i="192"/>
  <c r="V102" i="192"/>
  <c r="U90" i="192"/>
  <c r="V90" i="192"/>
  <c r="V90" i="15"/>
  <c r="V92" i="15"/>
  <c r="U92" i="192"/>
  <c r="V92" i="192"/>
  <c r="V99" i="193"/>
  <c r="U99" i="195"/>
  <c r="V99" i="195"/>
  <c r="U86" i="195"/>
  <c r="V86" i="195"/>
  <c r="V86" i="193"/>
  <c r="V54" i="193"/>
  <c r="U54" i="195"/>
  <c r="V54" i="195"/>
  <c r="U77" i="192"/>
  <c r="V77" i="192"/>
  <c r="V77" i="15"/>
  <c r="V90" i="193"/>
  <c r="U90" i="195"/>
  <c r="V90" i="195"/>
  <c r="V78" i="193"/>
  <c r="U78" i="195"/>
  <c r="V78" i="195"/>
  <c r="V98" i="15"/>
  <c r="U98" i="192"/>
  <c r="V98" i="192"/>
  <c r="V98" i="193"/>
  <c r="U98" i="195"/>
  <c r="V98" i="195"/>
  <c r="V103" i="193"/>
  <c r="U103" i="195"/>
  <c r="V103" i="195"/>
  <c r="V75" i="193"/>
  <c r="U75" i="195"/>
  <c r="V75" i="195"/>
  <c r="V102" i="193"/>
  <c r="U102" i="195"/>
  <c r="V102" i="195"/>
  <c r="V100" i="193"/>
  <c r="U100" i="195"/>
  <c r="V100" i="195"/>
  <c r="V56" i="15"/>
  <c r="U56" i="192"/>
  <c r="V56" i="192"/>
  <c r="V70" i="15"/>
  <c r="U70" i="192"/>
  <c r="V70" i="192"/>
  <c r="U92" i="195"/>
  <c r="V92" i="195"/>
  <c r="V92" i="193"/>
  <c r="V104" i="15"/>
  <c r="U104" i="192"/>
  <c r="V104" i="192"/>
  <c r="U104" i="195"/>
  <c r="V104" i="195"/>
  <c r="V104" i="193"/>
  <c r="V76" i="193"/>
  <c r="U76" i="195"/>
  <c r="V76" i="195"/>
  <c r="S107" i="177"/>
  <c r="T107" i="177"/>
  <c r="T105" i="177"/>
  <c r="R54" i="195"/>
  <c r="L54" i="192"/>
  <c r="L54" i="195"/>
  <c r="R54" i="192"/>
  <c r="U107" i="177"/>
  <c r="V107" i="177"/>
  <c r="V105" i="177"/>
  <c r="D55" i="183"/>
  <c r="C105" i="183"/>
  <c r="D105" i="183"/>
  <c r="C107" i="183"/>
  <c r="D107" i="183"/>
  <c r="D55" i="191"/>
  <c r="C105" i="191"/>
  <c r="D105" i="191"/>
  <c r="C107" i="191"/>
  <c r="D107" i="191"/>
  <c r="D55" i="188"/>
  <c r="C105" i="188"/>
  <c r="D105" i="188"/>
  <c r="C107" i="188"/>
  <c r="D107" i="188"/>
  <c r="D55" i="190"/>
  <c r="C105" i="190"/>
  <c r="D105" i="190"/>
  <c r="C55" i="192"/>
  <c r="D55" i="192"/>
  <c r="C105" i="192"/>
  <c r="D105" i="192"/>
  <c r="D55" i="198"/>
  <c r="C105" i="198"/>
  <c r="C107" i="198"/>
  <c r="D105" i="198"/>
  <c r="D107" i="198"/>
  <c r="C107" i="190"/>
  <c r="D107" i="190"/>
  <c r="C107" i="192"/>
  <c r="D107" i="192"/>
  <c r="F55" i="167"/>
  <c r="E105" i="167"/>
  <c r="F105" i="167"/>
  <c r="E107" i="167"/>
  <c r="F107" i="167"/>
  <c r="F55" i="191"/>
  <c r="E105" i="191"/>
  <c r="F105" i="191"/>
  <c r="E107" i="191"/>
  <c r="F107" i="191"/>
  <c r="F55" i="180"/>
  <c r="E105" i="180"/>
  <c r="F105" i="180"/>
  <c r="E107" i="180"/>
  <c r="F107" i="180"/>
  <c r="E55" i="192"/>
  <c r="F55" i="192"/>
  <c r="E105" i="192"/>
  <c r="E107" i="192"/>
  <c r="F107" i="192"/>
  <c r="F55" i="170"/>
  <c r="E105" i="170"/>
  <c r="E107" i="170"/>
  <c r="F107" i="170"/>
  <c r="F105" i="170"/>
  <c r="F55" i="198"/>
  <c r="E105" i="198"/>
  <c r="F105" i="198"/>
  <c r="E107" i="198"/>
  <c r="F107" i="198"/>
  <c r="F105" i="192"/>
  <c r="H55" i="176"/>
  <c r="G105" i="176"/>
  <c r="H105" i="176"/>
  <c r="G107" i="176"/>
  <c r="H107" i="176"/>
  <c r="H55" i="167"/>
  <c r="G105" i="167"/>
  <c r="H105" i="167"/>
  <c r="G107" i="167"/>
  <c r="H107" i="167"/>
  <c r="H55" i="180"/>
  <c r="G105" i="180"/>
  <c r="H105" i="180"/>
  <c r="G107" i="180"/>
  <c r="H107" i="180"/>
  <c r="H55" i="15"/>
  <c r="G105" i="15"/>
  <c r="H105" i="15"/>
  <c r="G107" i="15"/>
  <c r="H107" i="15"/>
  <c r="G55" i="192"/>
  <c r="H55" i="192"/>
  <c r="H55" i="170"/>
  <c r="G105" i="170"/>
  <c r="H105" i="170"/>
  <c r="G107" i="170"/>
  <c r="H107" i="170"/>
  <c r="H55" i="198"/>
  <c r="G105" i="198"/>
  <c r="H105" i="198"/>
  <c r="G107" i="198"/>
  <c r="H107" i="198"/>
  <c r="G105" i="192"/>
  <c r="H105" i="192"/>
  <c r="G107" i="192"/>
  <c r="H107" i="192"/>
  <c r="J101" i="183"/>
  <c r="I105" i="183"/>
  <c r="J105" i="183"/>
  <c r="I107" i="183"/>
  <c r="J107" i="183"/>
  <c r="J101" i="163"/>
  <c r="I105" i="163"/>
  <c r="J105" i="163"/>
  <c r="I107" i="163"/>
  <c r="J107" i="163"/>
  <c r="J101" i="164"/>
  <c r="I105" i="164"/>
  <c r="J105" i="164"/>
  <c r="I107" i="164"/>
  <c r="J107" i="164"/>
  <c r="J101" i="194"/>
  <c r="I105" i="194"/>
  <c r="J101" i="193"/>
  <c r="I105" i="193"/>
  <c r="J105" i="193"/>
  <c r="I107" i="193"/>
  <c r="J107" i="193"/>
  <c r="I101" i="195"/>
  <c r="J101" i="195"/>
  <c r="I105" i="195"/>
  <c r="J105" i="195"/>
  <c r="I107" i="195"/>
  <c r="J107" i="195"/>
  <c r="J101" i="189"/>
  <c r="I105" i="189"/>
  <c r="J101" i="175"/>
  <c r="I105" i="175"/>
  <c r="J105" i="175"/>
  <c r="I107" i="175"/>
  <c r="J107" i="175"/>
  <c r="J101" i="165"/>
  <c r="I105" i="165"/>
  <c r="J105" i="165"/>
  <c r="I107" i="165"/>
  <c r="J107" i="165"/>
  <c r="J55" i="176"/>
  <c r="J101" i="176"/>
  <c r="I105" i="176"/>
  <c r="J105" i="176"/>
  <c r="I107" i="176"/>
  <c r="J107" i="176"/>
  <c r="J55" i="167"/>
  <c r="J101" i="167"/>
  <c r="I105" i="167"/>
  <c r="J101" i="158"/>
  <c r="I105" i="158"/>
  <c r="J105" i="158"/>
  <c r="I107" i="158"/>
  <c r="J107" i="158"/>
  <c r="J101" i="161"/>
  <c r="I105" i="161"/>
  <c r="J105" i="161"/>
  <c r="I107" i="161"/>
  <c r="J107" i="161"/>
  <c r="J101" i="118"/>
  <c r="I105" i="118"/>
  <c r="J105" i="118"/>
  <c r="I107" i="118"/>
  <c r="J107" i="118"/>
  <c r="J101" i="186"/>
  <c r="I105" i="186"/>
  <c r="J101" i="191"/>
  <c r="I105" i="191"/>
  <c r="J105" i="191"/>
  <c r="I107" i="191"/>
  <c r="J107" i="191"/>
  <c r="J101" i="168"/>
  <c r="I105" i="168"/>
  <c r="J101" i="188"/>
  <c r="I105" i="188"/>
  <c r="J105" i="188"/>
  <c r="I107" i="188"/>
  <c r="J107" i="188"/>
  <c r="J101" i="185"/>
  <c r="I105" i="185"/>
  <c r="J105" i="185"/>
  <c r="I107" i="185"/>
  <c r="J107" i="185"/>
  <c r="J101" i="179"/>
  <c r="I105" i="179"/>
  <c r="J105" i="179"/>
  <c r="I107" i="179"/>
  <c r="J107" i="179"/>
  <c r="J101" i="172"/>
  <c r="I105" i="172"/>
  <c r="J101" i="190"/>
  <c r="I105" i="190"/>
  <c r="J105" i="190"/>
  <c r="I107" i="190"/>
  <c r="J107" i="190"/>
  <c r="J55" i="180"/>
  <c r="J101" i="180"/>
  <c r="I105" i="180"/>
  <c r="J105" i="180"/>
  <c r="I107" i="180"/>
  <c r="J107" i="180"/>
  <c r="J55" i="15"/>
  <c r="J101" i="15"/>
  <c r="I105" i="15"/>
  <c r="J105" i="15"/>
  <c r="I107" i="15"/>
  <c r="J107" i="15"/>
  <c r="J101" i="169"/>
  <c r="I105" i="169"/>
  <c r="I55" i="192"/>
  <c r="J55" i="192"/>
  <c r="I101" i="192"/>
  <c r="J101" i="192"/>
  <c r="I105" i="192"/>
  <c r="J105" i="192"/>
  <c r="J101" i="181"/>
  <c r="I105" i="181"/>
  <c r="J105" i="181"/>
  <c r="I107" i="181"/>
  <c r="J107" i="181"/>
  <c r="J101" i="178"/>
  <c r="I105" i="178"/>
  <c r="J105" i="178"/>
  <c r="J101" i="184"/>
  <c r="I105" i="184"/>
  <c r="J105" i="184"/>
  <c r="I107" i="184"/>
  <c r="J107" i="184"/>
  <c r="J101" i="159"/>
  <c r="I105" i="159"/>
  <c r="J105" i="159"/>
  <c r="I107" i="159"/>
  <c r="J107" i="159"/>
  <c r="J101" i="173"/>
  <c r="I105" i="173"/>
  <c r="J105" i="173"/>
  <c r="I107" i="173"/>
  <c r="J107" i="173"/>
  <c r="J101" i="187"/>
  <c r="I105" i="187"/>
  <c r="I107" i="187"/>
  <c r="J107" i="187"/>
  <c r="J55" i="170"/>
  <c r="J101" i="170"/>
  <c r="I105" i="170"/>
  <c r="J105" i="170"/>
  <c r="I107" i="170"/>
  <c r="J107" i="170"/>
  <c r="J101" i="174"/>
  <c r="I105" i="174"/>
  <c r="J105" i="174"/>
  <c r="I107" i="174"/>
  <c r="J107" i="174"/>
  <c r="J55" i="198"/>
  <c r="J101" i="198"/>
  <c r="I105" i="198"/>
  <c r="J105" i="198"/>
  <c r="I107" i="198"/>
  <c r="J107" i="198"/>
  <c r="J105" i="187"/>
  <c r="I107" i="192"/>
  <c r="J107" i="192"/>
  <c r="I107" i="178"/>
  <c r="J107" i="178"/>
  <c r="J105" i="169"/>
  <c r="I107" i="169"/>
  <c r="J107" i="169"/>
  <c r="J105" i="168"/>
  <c r="I107" i="168"/>
  <c r="J107" i="168"/>
  <c r="J105" i="172"/>
  <c r="I107" i="172"/>
  <c r="J107" i="172"/>
  <c r="J105" i="186"/>
  <c r="I107" i="186"/>
  <c r="J107" i="186"/>
  <c r="J105" i="167"/>
  <c r="I107" i="167"/>
  <c r="J107" i="167"/>
  <c r="I107" i="189"/>
  <c r="J107" i="189"/>
  <c r="J105" i="189"/>
  <c r="I107" i="194"/>
  <c r="J107" i="194"/>
  <c r="J105" i="194"/>
  <c r="L101" i="183"/>
  <c r="K105" i="183"/>
  <c r="L105" i="183"/>
  <c r="K107" i="183"/>
  <c r="L107" i="183"/>
  <c r="L101" i="163"/>
  <c r="K105" i="163"/>
  <c r="L105" i="163"/>
  <c r="K107" i="163"/>
  <c r="L107" i="163"/>
  <c r="L101" i="164"/>
  <c r="K105" i="164"/>
  <c r="L105" i="164"/>
  <c r="K107" i="164"/>
  <c r="L107" i="164"/>
  <c r="L101" i="194"/>
  <c r="K105" i="194"/>
  <c r="L105" i="194"/>
  <c r="K107" i="194"/>
  <c r="L107" i="194"/>
  <c r="L101" i="193"/>
  <c r="K105" i="193"/>
  <c r="L105" i="193"/>
  <c r="K107" i="193"/>
  <c r="L107" i="193"/>
  <c r="K101" i="195"/>
  <c r="L101" i="195"/>
  <c r="K105" i="195"/>
  <c r="L105" i="195"/>
  <c r="K107" i="195"/>
  <c r="L107" i="195"/>
  <c r="L101" i="189"/>
  <c r="K105" i="189"/>
  <c r="L105" i="189"/>
  <c r="K107" i="189"/>
  <c r="L107" i="189"/>
  <c r="L101" i="175"/>
  <c r="K105" i="175"/>
  <c r="L105" i="175"/>
  <c r="K107" i="175"/>
  <c r="L107" i="175"/>
  <c r="L101" i="165"/>
  <c r="K105" i="165"/>
  <c r="L105" i="165"/>
  <c r="K107" i="165"/>
  <c r="L107" i="165"/>
  <c r="L55" i="176"/>
  <c r="L101" i="176"/>
  <c r="K105" i="176"/>
  <c r="L105" i="176"/>
  <c r="K107" i="176"/>
  <c r="L107" i="176"/>
  <c r="L55" i="167"/>
  <c r="L101" i="167"/>
  <c r="K105" i="167"/>
  <c r="L105" i="167"/>
  <c r="K107" i="167"/>
  <c r="L107" i="167"/>
  <c r="L101" i="158"/>
  <c r="K105" i="158"/>
  <c r="L105" i="158"/>
  <c r="K107" i="158"/>
  <c r="L107" i="158"/>
  <c r="L101" i="161"/>
  <c r="K105" i="161"/>
  <c r="L105" i="161"/>
  <c r="K107" i="161"/>
  <c r="L107" i="161"/>
  <c r="L101" i="118"/>
  <c r="K105" i="118"/>
  <c r="L105" i="118"/>
  <c r="K107" i="118"/>
  <c r="L107" i="118"/>
  <c r="L101" i="186"/>
  <c r="K105" i="186"/>
  <c r="L105" i="186"/>
  <c r="K107" i="186"/>
  <c r="L107" i="186"/>
  <c r="L101" i="191"/>
  <c r="K105" i="191"/>
  <c r="L105" i="191"/>
  <c r="K107" i="191"/>
  <c r="L107" i="191"/>
  <c r="L101" i="168"/>
  <c r="K105" i="168"/>
  <c r="L105" i="168"/>
  <c r="K107" i="168"/>
  <c r="L107" i="168"/>
  <c r="L101" i="188"/>
  <c r="K105" i="188"/>
  <c r="L105" i="188"/>
  <c r="K107" i="188"/>
  <c r="L107" i="188"/>
  <c r="L101" i="185"/>
  <c r="K105" i="185"/>
  <c r="L105" i="185"/>
  <c r="K107" i="185"/>
  <c r="L107" i="185"/>
  <c r="L101" i="179"/>
  <c r="K105" i="179"/>
  <c r="L105" i="179"/>
  <c r="K107" i="179"/>
  <c r="L107" i="179"/>
  <c r="L101" i="172"/>
  <c r="K105" i="172"/>
  <c r="L105" i="172"/>
  <c r="K107" i="172"/>
  <c r="L107" i="172"/>
  <c r="L101" i="190"/>
  <c r="K105" i="190"/>
  <c r="L105" i="190"/>
  <c r="K107" i="190"/>
  <c r="L107" i="190"/>
  <c r="L55" i="180"/>
  <c r="L101" i="180"/>
  <c r="K105" i="180"/>
  <c r="L105" i="180"/>
  <c r="K107" i="180"/>
  <c r="L107" i="180"/>
  <c r="L55" i="15"/>
  <c r="L101" i="15"/>
  <c r="K105" i="15"/>
  <c r="L105" i="15"/>
  <c r="K107" i="15"/>
  <c r="L107" i="15"/>
  <c r="L101" i="169"/>
  <c r="K105" i="169"/>
  <c r="L105" i="169"/>
  <c r="K107" i="169"/>
  <c r="L107" i="169"/>
  <c r="K55" i="192"/>
  <c r="L55" i="192"/>
  <c r="K101" i="192"/>
  <c r="L101" i="192"/>
  <c r="K105" i="192"/>
  <c r="L105" i="192"/>
  <c r="L101" i="181"/>
  <c r="K105" i="181"/>
  <c r="L105" i="181"/>
  <c r="K107" i="181"/>
  <c r="L107" i="181"/>
  <c r="L101" i="178"/>
  <c r="K105" i="178"/>
  <c r="L105" i="178"/>
  <c r="K107" i="178"/>
  <c r="L107" i="178"/>
  <c r="L101" i="184"/>
  <c r="K105" i="184"/>
  <c r="L105" i="184"/>
  <c r="K107" i="184"/>
  <c r="L107" i="184"/>
  <c r="L101" i="159"/>
  <c r="K105" i="159"/>
  <c r="L105" i="159"/>
  <c r="K107" i="159"/>
  <c r="L107" i="159"/>
  <c r="L101" i="173"/>
  <c r="K105" i="173"/>
  <c r="L105" i="173"/>
  <c r="K107" i="173"/>
  <c r="L107" i="173"/>
  <c r="L101" i="187"/>
  <c r="K105" i="187"/>
  <c r="L105" i="187"/>
  <c r="L55" i="170"/>
  <c r="L101" i="170"/>
  <c r="K105" i="170"/>
  <c r="L105" i="170"/>
  <c r="L101" i="174"/>
  <c r="K105" i="174"/>
  <c r="L105" i="174"/>
  <c r="K107" i="174"/>
  <c r="L107" i="174"/>
  <c r="L55" i="198"/>
  <c r="L101" i="198"/>
  <c r="K105" i="198"/>
  <c r="L105" i="198"/>
  <c r="K107" i="198"/>
  <c r="L107" i="198"/>
  <c r="K107" i="170"/>
  <c r="L107" i="170"/>
  <c r="K107" i="187"/>
  <c r="L107" i="187"/>
  <c r="K107" i="192"/>
  <c r="L107" i="192"/>
  <c r="N101" i="183"/>
  <c r="M105" i="183"/>
  <c r="N105" i="183"/>
  <c r="M107" i="183"/>
  <c r="N107" i="183"/>
  <c r="N101" i="163"/>
  <c r="M105" i="163"/>
  <c r="N105" i="163"/>
  <c r="M107" i="163"/>
  <c r="N107" i="163"/>
  <c r="N101" i="164"/>
  <c r="M105" i="164"/>
  <c r="N105" i="164"/>
  <c r="M107" i="164"/>
  <c r="N107" i="164"/>
  <c r="N101" i="194"/>
  <c r="M105" i="194"/>
  <c r="N101" i="193"/>
  <c r="M105" i="193"/>
  <c r="N105" i="193"/>
  <c r="M107" i="193"/>
  <c r="N107" i="193"/>
  <c r="M101" i="195"/>
  <c r="N101" i="195"/>
  <c r="M105" i="195"/>
  <c r="N105" i="195"/>
  <c r="M107" i="195"/>
  <c r="N107" i="195"/>
  <c r="N101" i="189"/>
  <c r="M105" i="189"/>
  <c r="N101" i="175"/>
  <c r="M105" i="175"/>
  <c r="N105" i="175"/>
  <c r="M107" i="175"/>
  <c r="N107" i="175"/>
  <c r="N101" i="165"/>
  <c r="M105" i="165"/>
  <c r="N105" i="165"/>
  <c r="M107" i="165"/>
  <c r="N107" i="165"/>
  <c r="N55" i="176"/>
  <c r="N101" i="176"/>
  <c r="M105" i="176"/>
  <c r="N55" i="167"/>
  <c r="N101" i="167"/>
  <c r="M105" i="167"/>
  <c r="N105" i="167"/>
  <c r="M107" i="167"/>
  <c r="N107" i="167"/>
  <c r="N101" i="158"/>
  <c r="M105" i="158"/>
  <c r="N101" i="161"/>
  <c r="M105" i="161"/>
  <c r="N105" i="161"/>
  <c r="M107" i="161"/>
  <c r="N107" i="161"/>
  <c r="N101" i="118"/>
  <c r="M105" i="118"/>
  <c r="N105" i="118"/>
  <c r="M107" i="118"/>
  <c r="N107" i="118"/>
  <c r="N101" i="186"/>
  <c r="M105" i="186"/>
  <c r="N105" i="186"/>
  <c r="M107" i="186"/>
  <c r="N107" i="186"/>
  <c r="N101" i="191"/>
  <c r="M105" i="191"/>
  <c r="N101" i="168"/>
  <c r="M105" i="168"/>
  <c r="N105" i="168"/>
  <c r="M107" i="168"/>
  <c r="N107" i="168"/>
  <c r="N101" i="188"/>
  <c r="M105" i="188"/>
  <c r="N105" i="188"/>
  <c r="M107" i="188"/>
  <c r="N107" i="188"/>
  <c r="N101" i="185"/>
  <c r="M105" i="185"/>
  <c r="N105" i="185"/>
  <c r="M107" i="185"/>
  <c r="N107" i="185"/>
  <c r="N101" i="179"/>
  <c r="M105" i="179"/>
  <c r="N101" i="172"/>
  <c r="M105" i="172"/>
  <c r="N105" i="172"/>
  <c r="M107" i="172"/>
  <c r="N107" i="172"/>
  <c r="N101" i="190"/>
  <c r="M105" i="190"/>
  <c r="N105" i="190"/>
  <c r="M107" i="190"/>
  <c r="N107" i="190"/>
  <c r="N55" i="180"/>
  <c r="N101" i="180"/>
  <c r="M105" i="180"/>
  <c r="N105" i="180"/>
  <c r="M107" i="180"/>
  <c r="N107" i="180"/>
  <c r="N55" i="15"/>
  <c r="N101" i="15"/>
  <c r="M105" i="15"/>
  <c r="N105" i="15"/>
  <c r="M107" i="15"/>
  <c r="N107" i="15"/>
  <c r="N101" i="169"/>
  <c r="M105" i="169"/>
  <c r="N105" i="169"/>
  <c r="M107" i="169"/>
  <c r="N107" i="169"/>
  <c r="M55" i="192"/>
  <c r="N55" i="192"/>
  <c r="M101" i="192"/>
  <c r="N101" i="192"/>
  <c r="M105" i="192"/>
  <c r="M107" i="192"/>
  <c r="N107" i="192"/>
  <c r="N105" i="192"/>
  <c r="N101" i="181"/>
  <c r="M105" i="181"/>
  <c r="N101" i="178"/>
  <c r="M105" i="178"/>
  <c r="N105" i="178"/>
  <c r="M107" i="178"/>
  <c r="N107" i="178"/>
  <c r="N101" i="184"/>
  <c r="M105" i="184"/>
  <c r="N101" i="159"/>
  <c r="M105" i="159"/>
  <c r="N105" i="159"/>
  <c r="M107" i="159"/>
  <c r="N107" i="159"/>
  <c r="N101" i="173"/>
  <c r="M105" i="173"/>
  <c r="N105" i="173"/>
  <c r="M107" i="173"/>
  <c r="N107" i="173"/>
  <c r="N101" i="187"/>
  <c r="M105" i="187"/>
  <c r="N105" i="187"/>
  <c r="M107" i="187"/>
  <c r="N107" i="187"/>
  <c r="N55" i="170"/>
  <c r="N101" i="170"/>
  <c r="M105" i="170"/>
  <c r="N105" i="170"/>
  <c r="M107" i="170"/>
  <c r="N107" i="170"/>
  <c r="N101" i="174"/>
  <c r="M105" i="174"/>
  <c r="N105" i="174"/>
  <c r="M107" i="174"/>
  <c r="N107" i="174"/>
  <c r="N55" i="198"/>
  <c r="N101" i="198"/>
  <c r="M105" i="198"/>
  <c r="N105" i="198"/>
  <c r="M107" i="198"/>
  <c r="N107" i="198"/>
  <c r="N105" i="184"/>
  <c r="M107" i="184"/>
  <c r="N107" i="184"/>
  <c r="N105" i="158"/>
  <c r="M107" i="158"/>
  <c r="N107" i="158"/>
  <c r="N105" i="176"/>
  <c r="M107" i="176"/>
  <c r="N107" i="176"/>
  <c r="N105" i="181"/>
  <c r="M107" i="181"/>
  <c r="N107" i="181"/>
  <c r="N105" i="179"/>
  <c r="M107" i="179"/>
  <c r="N107" i="179"/>
  <c r="N105" i="191"/>
  <c r="M107" i="191"/>
  <c r="N107" i="191"/>
  <c r="N105" i="189"/>
  <c r="M107" i="189"/>
  <c r="N107" i="189"/>
  <c r="N105" i="194"/>
  <c r="M107" i="194"/>
  <c r="N107" i="194"/>
  <c r="P101" i="183"/>
  <c r="O105" i="183"/>
  <c r="P105" i="183"/>
  <c r="O107" i="183"/>
  <c r="P107" i="183"/>
  <c r="P101" i="163"/>
  <c r="O105" i="163"/>
  <c r="P105" i="163"/>
  <c r="P101" i="164"/>
  <c r="O105" i="164"/>
  <c r="P105" i="164"/>
  <c r="O107" i="164"/>
  <c r="P107" i="164"/>
  <c r="P101" i="194"/>
  <c r="O105" i="194"/>
  <c r="P105" i="194"/>
  <c r="O107" i="194"/>
  <c r="P107" i="194"/>
  <c r="P101" i="193"/>
  <c r="O105" i="193"/>
  <c r="P105" i="193"/>
  <c r="O107" i="193"/>
  <c r="P107" i="193"/>
  <c r="O101" i="195"/>
  <c r="P101" i="195"/>
  <c r="O105" i="195"/>
  <c r="P105" i="195"/>
  <c r="O107" i="195"/>
  <c r="P107" i="195"/>
  <c r="P101" i="189"/>
  <c r="O105" i="189"/>
  <c r="P101" i="175"/>
  <c r="O105" i="175"/>
  <c r="P105" i="175"/>
  <c r="O107" i="175"/>
  <c r="P107" i="175"/>
  <c r="P101" i="165"/>
  <c r="O105" i="165"/>
  <c r="P105" i="165"/>
  <c r="O107" i="165"/>
  <c r="P107" i="165"/>
  <c r="P55" i="176"/>
  <c r="P101" i="176"/>
  <c r="O105" i="176"/>
  <c r="P105" i="176"/>
  <c r="O107" i="176"/>
  <c r="P107" i="176"/>
  <c r="P55" i="167"/>
  <c r="P101" i="167"/>
  <c r="O105" i="167"/>
  <c r="P105" i="167"/>
  <c r="O107" i="167"/>
  <c r="P107" i="167"/>
  <c r="P101" i="158"/>
  <c r="O105" i="158"/>
  <c r="P105" i="158"/>
  <c r="O107" i="158"/>
  <c r="P107" i="158"/>
  <c r="P101" i="161"/>
  <c r="O105" i="161"/>
  <c r="P105" i="161"/>
  <c r="P101" i="118"/>
  <c r="O105" i="118"/>
  <c r="P105" i="118"/>
  <c r="O107" i="118"/>
  <c r="P107" i="118"/>
  <c r="P101" i="186"/>
  <c r="O105" i="186"/>
  <c r="P105" i="186"/>
  <c r="O107" i="186"/>
  <c r="P107" i="186"/>
  <c r="P101" i="191"/>
  <c r="O105" i="191"/>
  <c r="P105" i="191"/>
  <c r="O107" i="191"/>
  <c r="P107" i="191"/>
  <c r="P101" i="168"/>
  <c r="O105" i="168"/>
  <c r="P105" i="168"/>
  <c r="P101" i="188"/>
  <c r="O105" i="188"/>
  <c r="P105" i="188"/>
  <c r="O107" i="188"/>
  <c r="P107" i="188"/>
  <c r="P101" i="185"/>
  <c r="O105" i="185"/>
  <c r="P105" i="185"/>
  <c r="P101" i="179"/>
  <c r="O105" i="179"/>
  <c r="P105" i="179"/>
  <c r="O107" i="179"/>
  <c r="P107" i="179"/>
  <c r="P101" i="172"/>
  <c r="O105" i="172"/>
  <c r="P105" i="172"/>
  <c r="O107" i="172"/>
  <c r="P107" i="172"/>
  <c r="P101" i="190"/>
  <c r="O105" i="190"/>
  <c r="P105" i="190"/>
  <c r="O107" i="190"/>
  <c r="P107" i="190"/>
  <c r="P55" i="180"/>
  <c r="P101" i="180"/>
  <c r="O105" i="180"/>
  <c r="P105" i="180"/>
  <c r="O107" i="180"/>
  <c r="P107" i="180"/>
  <c r="P55" i="15"/>
  <c r="P101" i="15"/>
  <c r="O105" i="15"/>
  <c r="P105" i="15"/>
  <c r="O107" i="15"/>
  <c r="P107" i="15"/>
  <c r="P101" i="169"/>
  <c r="O105" i="169"/>
  <c r="P105" i="169"/>
  <c r="O107" i="169"/>
  <c r="P107" i="169"/>
  <c r="O55" i="192"/>
  <c r="P55" i="192"/>
  <c r="O101" i="192"/>
  <c r="P101" i="192"/>
  <c r="P101" i="181"/>
  <c r="O105" i="181"/>
  <c r="P105" i="181"/>
  <c r="O107" i="181"/>
  <c r="P107" i="181"/>
  <c r="P101" i="178"/>
  <c r="O105" i="178"/>
  <c r="P105" i="178"/>
  <c r="P101" i="184"/>
  <c r="O105" i="184"/>
  <c r="P105" i="184"/>
  <c r="O107" i="184"/>
  <c r="P107" i="184"/>
  <c r="P101" i="159"/>
  <c r="O105" i="159"/>
  <c r="P105" i="159"/>
  <c r="O107" i="159"/>
  <c r="P107" i="159"/>
  <c r="P101" i="173"/>
  <c r="O105" i="173"/>
  <c r="P105" i="173"/>
  <c r="O107" i="173"/>
  <c r="P107" i="173"/>
  <c r="P101" i="187"/>
  <c r="O105" i="187"/>
  <c r="P105" i="187"/>
  <c r="O107" i="187"/>
  <c r="P107" i="187"/>
  <c r="P55" i="170"/>
  <c r="P101" i="170"/>
  <c r="O105" i="170"/>
  <c r="P105" i="170"/>
  <c r="O107" i="170"/>
  <c r="P107" i="170"/>
  <c r="P101" i="174"/>
  <c r="O105" i="174"/>
  <c r="P105" i="174"/>
  <c r="O107" i="174"/>
  <c r="P107" i="174"/>
  <c r="P55" i="198"/>
  <c r="P101" i="198"/>
  <c r="O105" i="198"/>
  <c r="O107" i="198"/>
  <c r="P105" i="198"/>
  <c r="P105" i="189"/>
  <c r="O107" i="189"/>
  <c r="P107" i="189"/>
  <c r="O107" i="178"/>
  <c r="P107" i="178"/>
  <c r="O107" i="185"/>
  <c r="P107" i="185"/>
  <c r="O105" i="192"/>
  <c r="O107" i="161"/>
  <c r="P107" i="161"/>
  <c r="O107" i="163"/>
  <c r="P107" i="163"/>
  <c r="O107" i="168"/>
  <c r="P107" i="168"/>
  <c r="P107" i="198"/>
  <c r="P105" i="192"/>
  <c r="O107" i="192"/>
  <c r="P107" i="192"/>
  <c r="R101" i="183"/>
  <c r="Q105" i="183"/>
  <c r="R105" i="183"/>
  <c r="Q107" i="183"/>
  <c r="R107" i="183"/>
  <c r="R101" i="163"/>
  <c r="Q105" i="163"/>
  <c r="R105" i="163"/>
  <c r="Q107" i="163"/>
  <c r="R107" i="163"/>
  <c r="R101" i="164"/>
  <c r="Q105" i="164"/>
  <c r="R105" i="164"/>
  <c r="Q107" i="164"/>
  <c r="R107" i="164"/>
  <c r="R101" i="194"/>
  <c r="Q105" i="194"/>
  <c r="R101" i="193"/>
  <c r="Q105" i="193"/>
  <c r="R105" i="193"/>
  <c r="Q107" i="193"/>
  <c r="R107" i="193"/>
  <c r="Q101" i="195"/>
  <c r="R101" i="195"/>
  <c r="Q105" i="195"/>
  <c r="R105" i="195"/>
  <c r="Q107" i="195"/>
  <c r="R107" i="195"/>
  <c r="R101" i="189"/>
  <c r="Q105" i="189"/>
  <c r="R101" i="175"/>
  <c r="Q105" i="175"/>
  <c r="R105" i="175"/>
  <c r="Q107" i="175"/>
  <c r="R107" i="175"/>
  <c r="R101" i="165"/>
  <c r="Q105" i="165"/>
  <c r="R105" i="165"/>
  <c r="Q107" i="165"/>
  <c r="R107" i="165"/>
  <c r="R55" i="176"/>
  <c r="R101" i="176"/>
  <c r="Q105" i="176"/>
  <c r="R55" i="167"/>
  <c r="R101" i="167"/>
  <c r="Q105" i="167"/>
  <c r="R105" i="167"/>
  <c r="Q107" i="167"/>
  <c r="R107" i="167"/>
  <c r="R101" i="158"/>
  <c r="Q105" i="158"/>
  <c r="R105" i="158"/>
  <c r="Q107" i="158"/>
  <c r="R107" i="158"/>
  <c r="R101" i="161"/>
  <c r="Q105" i="161"/>
  <c r="R101" i="118"/>
  <c r="Q105" i="118"/>
  <c r="R105" i="118"/>
  <c r="Q107" i="118"/>
  <c r="R107" i="118"/>
  <c r="R101" i="186"/>
  <c r="Q105" i="186"/>
  <c r="R105" i="186"/>
  <c r="Q107" i="186"/>
  <c r="R107" i="186"/>
  <c r="R101" i="191"/>
  <c r="Q105" i="191"/>
  <c r="R105" i="191"/>
  <c r="Q107" i="191"/>
  <c r="R107" i="191"/>
  <c r="R101" i="168"/>
  <c r="Q105" i="168"/>
  <c r="R101" i="188"/>
  <c r="Q105" i="188"/>
  <c r="R105" i="188"/>
  <c r="Q107" i="188"/>
  <c r="R107" i="188"/>
  <c r="R101" i="185"/>
  <c r="Q105" i="185"/>
  <c r="R105" i="185"/>
  <c r="Q107" i="185"/>
  <c r="R107" i="185"/>
  <c r="R101" i="179"/>
  <c r="Q105" i="179"/>
  <c r="R105" i="179"/>
  <c r="Q107" i="179"/>
  <c r="R107" i="179"/>
  <c r="R101" i="172"/>
  <c r="Q105" i="172"/>
  <c r="R105" i="172"/>
  <c r="R101" i="190"/>
  <c r="Q105" i="190"/>
  <c r="R105" i="190"/>
  <c r="Q107" i="190"/>
  <c r="R107" i="190"/>
  <c r="R55" i="180"/>
  <c r="R101" i="180"/>
  <c r="Q105" i="180"/>
  <c r="Q107" i="180"/>
  <c r="R105" i="180"/>
  <c r="R107" i="180"/>
  <c r="R55" i="15"/>
  <c r="R101" i="15"/>
  <c r="Q105" i="15"/>
  <c r="R105" i="15"/>
  <c r="Q107" i="15"/>
  <c r="R107" i="15"/>
  <c r="R101" i="169"/>
  <c r="Q105" i="169"/>
  <c r="R105" i="169"/>
  <c r="Q107" i="169"/>
  <c r="R107" i="169"/>
  <c r="Q55" i="192"/>
  <c r="R55" i="192"/>
  <c r="Q101" i="192"/>
  <c r="R101" i="192"/>
  <c r="Q105" i="192"/>
  <c r="Q107" i="192"/>
  <c r="R107" i="192"/>
  <c r="R105" i="192"/>
  <c r="R101" i="181"/>
  <c r="Q105" i="181"/>
  <c r="R105" i="181"/>
  <c r="R101" i="178"/>
  <c r="Q105" i="178"/>
  <c r="Q107" i="178"/>
  <c r="R107" i="178"/>
  <c r="R105" i="178"/>
  <c r="R101" i="184"/>
  <c r="Q105" i="184"/>
  <c r="R105" i="184"/>
  <c r="R101" i="159"/>
  <c r="Q105" i="159"/>
  <c r="R105" i="159"/>
  <c r="Q107" i="159"/>
  <c r="R107" i="159"/>
  <c r="R101" i="173"/>
  <c r="Q105" i="173"/>
  <c r="R105" i="173"/>
  <c r="Q107" i="173"/>
  <c r="R107" i="173"/>
  <c r="R101" i="187"/>
  <c r="Q105" i="187"/>
  <c r="Q107" i="187"/>
  <c r="R107" i="187"/>
  <c r="R105" i="187"/>
  <c r="R55" i="170"/>
  <c r="R101" i="170"/>
  <c r="Q105" i="170"/>
  <c r="R105" i="170"/>
  <c r="Q107" i="170"/>
  <c r="R107" i="170"/>
  <c r="R101" i="174"/>
  <c r="Q105" i="174"/>
  <c r="R105" i="174"/>
  <c r="Q107" i="174"/>
  <c r="R107" i="174"/>
  <c r="R55" i="198"/>
  <c r="R101" i="198"/>
  <c r="Q105" i="198"/>
  <c r="R105" i="198"/>
  <c r="Q107" i="198"/>
  <c r="R105" i="194"/>
  <c r="Q107" i="194"/>
  <c r="R107" i="194"/>
  <c r="Q107" i="184"/>
  <c r="R107" i="184"/>
  <c r="Q107" i="181"/>
  <c r="R107" i="181"/>
  <c r="Q107" i="172"/>
  <c r="R107" i="172"/>
  <c r="R105" i="161"/>
  <c r="Q107" i="161"/>
  <c r="R107" i="161"/>
  <c r="R105" i="189"/>
  <c r="Q107" i="189"/>
  <c r="R107" i="189"/>
  <c r="R105" i="168"/>
  <c r="Q107" i="168"/>
  <c r="R107" i="168"/>
  <c r="R105" i="176"/>
  <c r="Q107" i="176"/>
  <c r="R107" i="176"/>
  <c r="R107" i="198"/>
  <c r="T101" i="183"/>
  <c r="S105" i="183"/>
  <c r="T105" i="183"/>
  <c r="S107" i="183"/>
  <c r="T107" i="183"/>
  <c r="T101" i="163"/>
  <c r="S105" i="163"/>
  <c r="T105" i="163"/>
  <c r="S107" i="163"/>
  <c r="T107" i="163"/>
  <c r="T101" i="164"/>
  <c r="S105" i="164"/>
  <c r="T105" i="164"/>
  <c r="T101" i="194"/>
  <c r="S105" i="194"/>
  <c r="T105" i="194"/>
  <c r="S107" i="194"/>
  <c r="T107" i="194"/>
  <c r="T101" i="193"/>
  <c r="S105" i="193"/>
  <c r="T105" i="193"/>
  <c r="S107" i="193"/>
  <c r="T107" i="193"/>
  <c r="S101" i="195"/>
  <c r="T101" i="195"/>
  <c r="S105" i="195"/>
  <c r="T105" i="195"/>
  <c r="S107" i="195"/>
  <c r="T107" i="195"/>
  <c r="T101" i="189"/>
  <c r="S105" i="189"/>
  <c r="T105" i="189"/>
  <c r="S107" i="189"/>
  <c r="T107" i="189"/>
  <c r="T101" i="175"/>
  <c r="S105" i="175"/>
  <c r="T105" i="175"/>
  <c r="T101" i="165"/>
  <c r="S105" i="165"/>
  <c r="T105" i="165"/>
  <c r="S107" i="165"/>
  <c r="T107" i="165"/>
  <c r="T55" i="176"/>
  <c r="T101" i="176"/>
  <c r="S105" i="176"/>
  <c r="T105" i="176"/>
  <c r="S107" i="176"/>
  <c r="T107" i="176"/>
  <c r="T55" i="167"/>
  <c r="T101" i="167"/>
  <c r="S105" i="167"/>
  <c r="T105" i="167"/>
  <c r="S107" i="167"/>
  <c r="T107" i="167"/>
  <c r="T101" i="158"/>
  <c r="S105" i="158"/>
  <c r="T105" i="158"/>
  <c r="S107" i="158"/>
  <c r="T107" i="158"/>
  <c r="T101" i="161"/>
  <c r="S105" i="161"/>
  <c r="T105" i="161"/>
  <c r="S107" i="161"/>
  <c r="T107" i="161"/>
  <c r="T101" i="118"/>
  <c r="S105" i="118"/>
  <c r="T105" i="118"/>
  <c r="S107" i="118"/>
  <c r="T107" i="118"/>
  <c r="T101" i="186"/>
  <c r="S105" i="186"/>
  <c r="T105" i="186"/>
  <c r="S107" i="186"/>
  <c r="T107" i="186"/>
  <c r="T101" i="191"/>
  <c r="S105" i="191"/>
  <c r="T105" i="191"/>
  <c r="S107" i="191"/>
  <c r="T107" i="191"/>
  <c r="T101" i="168"/>
  <c r="S105" i="168"/>
  <c r="T105" i="168"/>
  <c r="S107" i="168"/>
  <c r="T107" i="168"/>
  <c r="T101" i="188"/>
  <c r="S105" i="188"/>
  <c r="T105" i="188"/>
  <c r="T101" i="185"/>
  <c r="S105" i="185"/>
  <c r="T105" i="185"/>
  <c r="S107" i="185"/>
  <c r="T107" i="185"/>
  <c r="T101" i="179"/>
  <c r="S105" i="179"/>
  <c r="T105" i="179"/>
  <c r="S107" i="179"/>
  <c r="T107" i="179"/>
  <c r="T101" i="172"/>
  <c r="S105" i="172"/>
  <c r="T105" i="172"/>
  <c r="S107" i="172"/>
  <c r="T107" i="172"/>
  <c r="T101" i="190"/>
  <c r="S105" i="190"/>
  <c r="T105" i="190"/>
  <c r="S107" i="190"/>
  <c r="T107" i="190"/>
  <c r="T55" i="180"/>
  <c r="T101" i="180"/>
  <c r="S105" i="180"/>
  <c r="T105" i="180"/>
  <c r="S107" i="180"/>
  <c r="T107" i="180"/>
  <c r="T55" i="15"/>
  <c r="T101" i="15"/>
  <c r="S105" i="15"/>
  <c r="T105" i="15"/>
  <c r="S107" i="15"/>
  <c r="T107" i="15"/>
  <c r="T101" i="169"/>
  <c r="S105" i="169"/>
  <c r="T105" i="169"/>
  <c r="S107" i="169"/>
  <c r="T107" i="169"/>
  <c r="S55" i="192"/>
  <c r="T55" i="192"/>
  <c r="S101" i="192"/>
  <c r="T101" i="192"/>
  <c r="S105" i="192"/>
  <c r="T105" i="192"/>
  <c r="S107" i="192"/>
  <c r="T107" i="192"/>
  <c r="T101" i="181"/>
  <c r="S105" i="181"/>
  <c r="T105" i="181"/>
  <c r="S107" i="181"/>
  <c r="T107" i="181"/>
  <c r="T101" i="178"/>
  <c r="S105" i="178"/>
  <c r="T105" i="178"/>
  <c r="S107" i="178"/>
  <c r="T107" i="178"/>
  <c r="T101" i="184"/>
  <c r="S105" i="184"/>
  <c r="S107" i="184"/>
  <c r="T107" i="184"/>
  <c r="T105" i="184"/>
  <c r="T101" i="159"/>
  <c r="S105" i="159"/>
  <c r="T105" i="159"/>
  <c r="S107" i="159"/>
  <c r="T107" i="159"/>
  <c r="T101" i="173"/>
  <c r="S105" i="173"/>
  <c r="T105" i="173"/>
  <c r="S107" i="173"/>
  <c r="T107" i="173"/>
  <c r="T101" i="187"/>
  <c r="S105" i="187"/>
  <c r="S107" i="187"/>
  <c r="T107" i="187"/>
  <c r="T105" i="187"/>
  <c r="T55" i="170"/>
  <c r="T101" i="170"/>
  <c r="S105" i="170"/>
  <c r="T105" i="170"/>
  <c r="S107" i="170"/>
  <c r="T107" i="170"/>
  <c r="T101" i="174"/>
  <c r="S105" i="174"/>
  <c r="T105" i="174"/>
  <c r="T55" i="198"/>
  <c r="T101" i="198"/>
  <c r="S105" i="198"/>
  <c r="T105" i="198"/>
  <c r="S107" i="198"/>
  <c r="T107" i="198"/>
  <c r="S107" i="174"/>
  <c r="T107" i="174"/>
  <c r="S107" i="188"/>
  <c r="T107" i="188"/>
  <c r="S107" i="175"/>
  <c r="T107" i="175"/>
  <c r="S107" i="164"/>
  <c r="T107" i="164"/>
  <c r="V101" i="183"/>
  <c r="U105" i="183"/>
  <c r="U107" i="183"/>
  <c r="V107" i="183"/>
  <c r="V105" i="183"/>
  <c r="V101" i="163"/>
  <c r="U105" i="163"/>
  <c r="U107" i="163"/>
  <c r="V107" i="163"/>
  <c r="V101" i="164"/>
  <c r="U105" i="164"/>
  <c r="U107" i="164"/>
  <c r="V107" i="164"/>
  <c r="V105" i="164"/>
  <c r="V101" i="194"/>
  <c r="U105" i="194"/>
  <c r="V105" i="194"/>
  <c r="U107" i="194"/>
  <c r="V107" i="194"/>
  <c r="V101" i="193"/>
  <c r="U105" i="193"/>
  <c r="U107" i="193"/>
  <c r="V107" i="193"/>
  <c r="V105" i="193"/>
  <c r="U101" i="195"/>
  <c r="V101" i="195"/>
  <c r="U105" i="195"/>
  <c r="V105" i="195"/>
  <c r="V101" i="189"/>
  <c r="U105" i="189"/>
  <c r="V105" i="189"/>
  <c r="U107" i="189"/>
  <c r="V107" i="189"/>
  <c r="V101" i="175"/>
  <c r="U105" i="175"/>
  <c r="V105" i="175"/>
  <c r="U107" i="175"/>
  <c r="V107" i="175"/>
  <c r="V101" i="165"/>
  <c r="U105" i="165"/>
  <c r="U107" i="165"/>
  <c r="V107" i="165"/>
  <c r="V55" i="176"/>
  <c r="V101" i="176"/>
  <c r="U105" i="176"/>
  <c r="V105" i="176"/>
  <c r="U107" i="176"/>
  <c r="V107" i="176"/>
  <c r="V55" i="167"/>
  <c r="V101" i="167"/>
  <c r="U105" i="167"/>
  <c r="U107" i="167"/>
  <c r="V107" i="167"/>
  <c r="V101" i="158"/>
  <c r="U105" i="158"/>
  <c r="V105" i="158"/>
  <c r="V101" i="161"/>
  <c r="U105" i="161"/>
  <c r="V105" i="161"/>
  <c r="U107" i="161"/>
  <c r="V107" i="161"/>
  <c r="V101" i="118"/>
  <c r="U105" i="118"/>
  <c r="U107" i="118"/>
  <c r="V107" i="118"/>
  <c r="V105" i="118"/>
  <c r="V101" i="186"/>
  <c r="U105" i="186"/>
  <c r="U107" i="186"/>
  <c r="V107" i="186"/>
  <c r="V101" i="191"/>
  <c r="U105" i="191"/>
  <c r="V105" i="191"/>
  <c r="V101" i="168"/>
  <c r="U105" i="168"/>
  <c r="V105" i="168"/>
  <c r="U107" i="168"/>
  <c r="V107" i="168"/>
  <c r="V101" i="188"/>
  <c r="U105" i="188"/>
  <c r="U107" i="188"/>
  <c r="V107" i="188"/>
  <c r="V105" i="188"/>
  <c r="V101" i="185"/>
  <c r="U105" i="185"/>
  <c r="U107" i="185"/>
  <c r="V107" i="185"/>
  <c r="V101" i="179"/>
  <c r="U105" i="179"/>
  <c r="V105" i="179"/>
  <c r="V101" i="172"/>
  <c r="U105" i="172"/>
  <c r="V105" i="172"/>
  <c r="U107" i="172"/>
  <c r="V107" i="172"/>
  <c r="V101" i="190"/>
  <c r="U105" i="190"/>
  <c r="U107" i="190"/>
  <c r="V107" i="190"/>
  <c r="V105" i="190"/>
  <c r="V55" i="180"/>
  <c r="V101" i="180"/>
  <c r="U105" i="180"/>
  <c r="V105" i="180"/>
  <c r="V55" i="15"/>
  <c r="V101" i="15"/>
  <c r="U105" i="15"/>
  <c r="U107" i="15"/>
  <c r="V107" i="15"/>
  <c r="V105" i="15"/>
  <c r="V101" i="169"/>
  <c r="U105" i="169"/>
  <c r="U107" i="169"/>
  <c r="V107" i="169"/>
  <c r="U55" i="192"/>
  <c r="U101" i="192"/>
  <c r="U105" i="192"/>
  <c r="V101" i="192"/>
  <c r="V101" i="181"/>
  <c r="U105" i="181"/>
  <c r="U107" i="181"/>
  <c r="V107" i="181"/>
  <c r="V105" i="181"/>
  <c r="V55" i="178"/>
  <c r="V101" i="178"/>
  <c r="U105" i="178"/>
  <c r="U107" i="178"/>
  <c r="V107" i="178"/>
  <c r="V105" i="178"/>
  <c r="V101" i="184"/>
  <c r="U105" i="184"/>
  <c r="U107" i="184"/>
  <c r="V107" i="184"/>
  <c r="V101" i="159"/>
  <c r="U105" i="159"/>
  <c r="V105" i="159"/>
  <c r="V101" i="173"/>
  <c r="U105" i="173"/>
  <c r="V105" i="173"/>
  <c r="U107" i="173"/>
  <c r="V107" i="173"/>
  <c r="V101" i="187"/>
  <c r="U105" i="187"/>
  <c r="V105" i="187"/>
  <c r="U107" i="187"/>
  <c r="V107" i="187"/>
  <c r="V55" i="170"/>
  <c r="V101" i="170"/>
  <c r="U105" i="170"/>
  <c r="V105" i="170"/>
  <c r="V101" i="174"/>
  <c r="U105" i="174"/>
  <c r="V105" i="174"/>
  <c r="U107" i="174"/>
  <c r="V107" i="174"/>
  <c r="V55" i="198"/>
  <c r="V101" i="198"/>
  <c r="U105" i="198"/>
  <c r="U107" i="192"/>
  <c r="V107" i="192"/>
  <c r="V105" i="192"/>
  <c r="V105" i="198"/>
  <c r="V105" i="184"/>
  <c r="V55" i="192"/>
  <c r="V105" i="169"/>
  <c r="V105" i="185"/>
  <c r="V105" i="186"/>
  <c r="V105" i="167"/>
  <c r="V105" i="165"/>
  <c r="V105" i="163"/>
  <c r="U107" i="170"/>
  <c r="V107" i="170"/>
  <c r="U107" i="159"/>
  <c r="V107" i="159"/>
  <c r="U107" i="180"/>
  <c r="V107" i="180"/>
  <c r="U107" i="179"/>
  <c r="V107" i="179"/>
  <c r="U107" i="191"/>
  <c r="V107" i="191"/>
  <c r="U107" i="158"/>
  <c r="V107" i="158"/>
  <c r="U107" i="195"/>
  <c r="V107" i="195"/>
  <c r="U107" i="198"/>
  <c r="V107" i="198"/>
</calcChain>
</file>

<file path=xl/sharedStrings.xml><?xml version="1.0" encoding="utf-8"?>
<sst xmlns="http://schemas.openxmlformats.org/spreadsheetml/2006/main" count="7377" uniqueCount="512">
  <si>
    <t>APPENDIX VIII - FINANCIAL WORKBOOK</t>
  </si>
  <si>
    <t>FLORIDA INTERNATIONAL UNIVERSITY</t>
  </si>
  <si>
    <t>FINANCIAL WORKBOOK INSTRUCTIONS</t>
  </si>
  <si>
    <t>General</t>
  </si>
  <si>
    <t>- Vendors are responsible to ensure that all formulas are correct.</t>
  </si>
  <si>
    <r>
      <t>- Specific instructions for one specific sheet are generally in</t>
    </r>
    <r>
      <rPr>
        <i/>
        <sz val="10"/>
        <rFont val="Calibri"/>
        <family val="2"/>
        <scheme val="minor"/>
      </rPr>
      <t xml:space="preserve"> </t>
    </r>
    <r>
      <rPr>
        <i/>
        <sz val="10"/>
        <color rgb="FF3333CC"/>
        <rFont val="Calibri"/>
        <family val="2"/>
        <scheme val="minor"/>
      </rPr>
      <t>blue text</t>
    </r>
  </si>
  <si>
    <t>- All sheets have been formatted to print on letter size paper</t>
  </si>
  <si>
    <t>- Enter data into cells that are gray</t>
  </si>
  <si>
    <t xml:space="preserve"> and note that other cells may contain formulas.</t>
  </si>
  <si>
    <t>Pro Forma Worksheets</t>
  </si>
  <si>
    <t>- Report the value of forfeited all you care to eat meals on Lines 23 and 24 of the G&amp;A Pro Forma worksheet.</t>
  </si>
  <si>
    <t>- Report the value of forfeited meal plan Dining $ on Line 20 of the G&amp;A Pro Forma worksheet.</t>
  </si>
  <si>
    <t>- Report revenue from Summer Conference &amp; Camps on the Fresh Food Co worksheet</t>
  </si>
  <si>
    <t xml:space="preserve">- Calculate the refunded dining dollars from the All Access $100DD meal plan only on Year 1-10 MP worksheet.  </t>
  </si>
  <si>
    <t xml:space="preserve">   Refunds are made in the spring semester and for a maximum of $75 per semester.</t>
  </si>
  <si>
    <t>COMMISSIONS PAYABLE TO THE UNIVERSITY</t>
  </si>
  <si>
    <t>VENDOR:</t>
  </si>
  <si>
    <t>Aramark Educational Services, LLC</t>
  </si>
  <si>
    <t>1.</t>
  </si>
  <si>
    <t>Sales Commissions</t>
  </si>
  <si>
    <t>Commissionable revenue includes Cash/Check, Credit Card, Debit Card, FIU One Card, Meal Plan Dining $, and Departmental Purchases.</t>
  </si>
  <si>
    <t>Current Name</t>
  </si>
  <si>
    <t>Proposed Name</t>
  </si>
  <si>
    <t>Subcontracted?</t>
  </si>
  <si>
    <t>Commission</t>
  </si>
  <si>
    <t>(Yes/No)</t>
  </si>
  <si>
    <t>Rate</t>
  </si>
  <si>
    <t>MMC</t>
  </si>
  <si>
    <t>Retail Sales (inclusive of Meal Plan Dining $)</t>
  </si>
  <si>
    <t>Fresh Food Co. - Door Sales (Graham Center)</t>
  </si>
  <si>
    <t xml:space="preserve">No </t>
  </si>
  <si>
    <t xml:space="preserve">Fixed - see below chart </t>
  </si>
  <si>
    <t>POD Market (Breezeway)</t>
  </si>
  <si>
    <t>Express (Green Library)</t>
  </si>
  <si>
    <t>Starbucks (Green Library)</t>
  </si>
  <si>
    <t>Miro's Food Truck (Green Library)</t>
  </si>
  <si>
    <t>Yes</t>
  </si>
  <si>
    <t>Faculty Club (Graham Center)</t>
  </si>
  <si>
    <t>Almazar (Graham Center)</t>
  </si>
  <si>
    <t>Burger King (Graham Center)</t>
  </si>
  <si>
    <t>Café Bustelo (Graham Center)</t>
  </si>
  <si>
    <t>Chili's (Graham Center)</t>
  </si>
  <si>
    <t>Einstein Bros. Bagels (Graham Center)</t>
  </si>
  <si>
    <t>Jamba Juice (Graham Center)</t>
  </si>
  <si>
    <t>Pollo Tropical (Graham Center)</t>
  </si>
  <si>
    <t>Subway (Graham Center)</t>
  </si>
  <si>
    <t>Sushi Maki (Graham Center)</t>
  </si>
  <si>
    <t>Panda Express (Mango)</t>
  </si>
  <si>
    <t>Starbucks (Mango)</t>
  </si>
  <si>
    <t>Taco Bell (Mango)</t>
  </si>
  <si>
    <t>Chick-fil-A (Parking Garage 5)</t>
  </si>
  <si>
    <t>Dunkin Donuts (Parking Garage 5)</t>
  </si>
  <si>
    <t>Misha's Cupcakes (Parking Garage 5)</t>
  </si>
  <si>
    <t>Sergio's Cuban Café &amp; Grill (Parking Garage 5)</t>
  </si>
  <si>
    <t>Moe's Southwest Grill (Parking Garage 5)</t>
  </si>
  <si>
    <t>Papa John's Pizza (Parking Garage 5)</t>
  </si>
  <si>
    <t>Salad Creations (Parking Garage 5)</t>
  </si>
  <si>
    <t>Half Moon Empanadas (Parking Garage 6)</t>
  </si>
  <si>
    <t>Tropical Café Smoothies (Recreation Center)</t>
  </si>
  <si>
    <t xml:space="preserve">Heritage Market </t>
  </si>
  <si>
    <t xml:space="preserve">Chipotle </t>
  </si>
  <si>
    <t>Panera</t>
  </si>
  <si>
    <t>Market Pavillion</t>
  </si>
  <si>
    <t>Meal Plans</t>
  </si>
  <si>
    <t>All Meal Plans (exclusive of Meal Plan Dining $)</t>
  </si>
  <si>
    <t>No</t>
  </si>
  <si>
    <t xml:space="preserve">Fixed </t>
  </si>
  <si>
    <t>Other</t>
  </si>
  <si>
    <t>Catering</t>
  </si>
  <si>
    <t>Athletic Catering</t>
  </si>
  <si>
    <t>Alcohol</t>
  </si>
  <si>
    <t>Summer Conferences &amp; Camps</t>
  </si>
  <si>
    <t>BBC</t>
  </si>
  <si>
    <t>Starbucks (Hubert Library)</t>
  </si>
  <si>
    <t>Moe's Southwest Grill (Wolfe Center)</t>
  </si>
  <si>
    <t>Grille Works (Wolfe Center)</t>
  </si>
  <si>
    <t>Subway (Wolfe Center)</t>
  </si>
  <si>
    <t xml:space="preserve">CFA </t>
  </si>
  <si>
    <t xml:space="preserve">Chick-fil-A </t>
  </si>
  <si>
    <t>Other (Specify)</t>
  </si>
  <si>
    <t xml:space="preserve">Ath. Concessions </t>
  </si>
  <si>
    <t xml:space="preserve">Unused DB </t>
  </si>
  <si>
    <t>2.</t>
  </si>
  <si>
    <t>Guaranteed Minimum Commission ($ from all commissionable revenue streams)</t>
  </si>
  <si>
    <t>FY 18-19</t>
  </si>
  <si>
    <t>* Commissoins on concessions and commissions on DB drop would be in addition to this number</t>
  </si>
  <si>
    <t>FY 19-20</t>
  </si>
  <si>
    <t>FY 20-21</t>
  </si>
  <si>
    <t>FY 21-22</t>
  </si>
  <si>
    <t>FY 22-23</t>
  </si>
  <si>
    <t>FY 23-24</t>
  </si>
  <si>
    <t>FY 24-25</t>
  </si>
  <si>
    <t>FY 25-26</t>
  </si>
  <si>
    <t>FY 26-27</t>
  </si>
  <si>
    <t>FY 27-28</t>
  </si>
  <si>
    <t>Renewal Yrs.</t>
  </si>
  <si>
    <t xml:space="preserve">To be mutually agreed upon </t>
  </si>
  <si>
    <t xml:space="preserve">Estimated at 85% of total projected commissions </t>
  </si>
  <si>
    <t>Full Exclusivity</t>
  </si>
  <si>
    <t>Provide an offer (lump sum, additional commission %, etc) for Full Exclusivity on MMC &amp; BBC</t>
  </si>
  <si>
    <t xml:space="preserve">Per Year </t>
  </si>
  <si>
    <t>REVENUE ASSUMPTIONS &amp; ADDITIONAL INFORMATION</t>
  </si>
  <si>
    <t>Year 1 Revenue Assumptions</t>
  </si>
  <si>
    <t>You MUST use the following revenue assumptions for your Year 1 financial projections.</t>
  </si>
  <si>
    <t>Revenue Type</t>
  </si>
  <si>
    <t>FY 2018-19</t>
  </si>
  <si>
    <t>Estimated (1)</t>
  </si>
  <si>
    <t xml:space="preserve">MMC </t>
  </si>
  <si>
    <t>Retail Dining Sales (2)</t>
  </si>
  <si>
    <t>Cash, Check, Credit/Debit Card, Dept. Charge</t>
  </si>
  <si>
    <t>For Years 2-10, base your projections on a 2% annual inflation rate except where confident you can grow the base.</t>
  </si>
  <si>
    <t>FIU One Card</t>
  </si>
  <si>
    <t>Meal Plan Dining $</t>
  </si>
  <si>
    <t>For Years 1-10, as derived by Vendor on the Year 1-10 MP worksheet</t>
  </si>
  <si>
    <t>Meal Plan AYCE Revenue</t>
  </si>
  <si>
    <t>Catering Services (includes related Alcohol service)</t>
  </si>
  <si>
    <t>Athletic Catering Services</t>
  </si>
  <si>
    <t>Retail Sales (2)</t>
  </si>
  <si>
    <t>(1) Estimated only; not a guarantee.</t>
  </si>
  <si>
    <t xml:space="preserve">(2) Includes the Retail sales revenue of subcontractors.  </t>
  </si>
  <si>
    <t>Purchase Rebates</t>
  </si>
  <si>
    <t xml:space="preserve">If you propose to pass manufacturer and/or distributor volume purchase rebates and/or discounts back to the University, enter the percentages below.  </t>
  </si>
  <si>
    <t xml:space="preserve">The dollar amounts listed on the Total Estimated Rebate line must tie out to the Applied Credits from Purchase Rebates line in your pro forma projections.  </t>
  </si>
  <si>
    <t>Rebate Type</t>
  </si>
  <si>
    <t>FY 2019-20</t>
  </si>
  <si>
    <t>FY 2020-21</t>
  </si>
  <si>
    <t>FY 2021-22</t>
  </si>
  <si>
    <t>FY 2022-23</t>
  </si>
  <si>
    <t>FY 2023-24</t>
  </si>
  <si>
    <t>FY 2024-25</t>
  </si>
  <si>
    <t>FY 2025-26</t>
  </si>
  <si>
    <t>FY 2026-27</t>
  </si>
  <si>
    <t>FY 2027-28</t>
  </si>
  <si>
    <t>Renewal Yrs</t>
  </si>
  <si>
    <t>Food Credit  (as a % or in $)</t>
  </si>
  <si>
    <t>Food Credit (as a % or in $)</t>
  </si>
  <si>
    <t>Total Estimated Credit (in $)</t>
  </si>
  <si>
    <t xml:space="preserve">** Estimate based on % of annual food cost </t>
  </si>
  <si>
    <t>3.</t>
  </si>
  <si>
    <t>Residential Dining Door Pricing</t>
  </si>
  <si>
    <t>Provide your proposed FY18-19 Door Pricing below.</t>
  </si>
  <si>
    <t>Residential Dining Door Rates</t>
  </si>
  <si>
    <t>If Using Cash, Debit/Credit, FIU One Card</t>
  </si>
  <si>
    <t>If Using Meal Plan Dining $</t>
  </si>
  <si>
    <t xml:space="preserve">  Breakfast</t>
  </si>
  <si>
    <t xml:space="preserve">  Lunch</t>
  </si>
  <si>
    <t xml:space="preserve">  Dinner</t>
  </si>
  <si>
    <t xml:space="preserve">  Late Night </t>
  </si>
  <si>
    <t xml:space="preserve">  Brunch</t>
  </si>
  <si>
    <t>START UP COSTS</t>
  </si>
  <si>
    <t>Start Up Costs</t>
  </si>
  <si>
    <t>Provide a list of your one-time Start Up Costs below, including cost estimates for each.</t>
  </si>
  <si>
    <t>Dining Venue</t>
  </si>
  <si>
    <t>Estimated Cost</t>
  </si>
  <si>
    <t>Brand training, Travel, Food sampling/ training costs</t>
  </si>
  <si>
    <t xml:space="preserve">Starbucks/ Starbucks truck / Sergios/ CFA </t>
  </si>
  <si>
    <t xml:space="preserve">BBC CFA/ Panera/ World Pavillion/ Updated PG5/ Ath. Training table </t>
  </si>
  <si>
    <t>Heritage Market / Chipotle</t>
  </si>
  <si>
    <t>Total Vendor Start Up Costs:</t>
  </si>
  <si>
    <t>Check one of the statements below with an "X":</t>
  </si>
  <si>
    <t>1.  Start Up costs will be amortized over the initial term of the contract (10 years).</t>
  </si>
  <si>
    <t>2.  Start Up costs will be fully contributed upfront by Vendor (not amortized).</t>
  </si>
  <si>
    <t>X</t>
  </si>
  <si>
    <t>If you select statement 1, be sure to include the annual amortization on your pro forma projections (Row 53)</t>
  </si>
  <si>
    <t>If you select statement 2, be sure to include the total amount on your pro forma projections (Row 101)</t>
  </si>
  <si>
    <t>CAPITAL INVESTMENT AND OTHER CONTRIBUTIONS TO THE UNIVERSITY</t>
  </si>
  <si>
    <t>Capital Investments (to include Refresh Funds)</t>
  </si>
  <si>
    <t>Use the following tables to list your proposed Capital Investments (including investment amounts and annual amortization) and Contributions.</t>
  </si>
  <si>
    <t>Be sure to include the annual amortization on your pro forma projections (Row 52)</t>
  </si>
  <si>
    <t>Investment Description</t>
  </si>
  <si>
    <t>Total</t>
  </si>
  <si>
    <t xml:space="preserve">Starbucks - Year 1 </t>
  </si>
  <si>
    <t xml:space="preserve">Expanded seating + Tapingo </t>
  </si>
  <si>
    <t xml:space="preserve">POD Express- Year 1 </t>
  </si>
  <si>
    <t xml:space="preserve">Refresh </t>
  </si>
  <si>
    <t xml:space="preserve">Fresh Food Company - Year 1 </t>
  </si>
  <si>
    <t xml:space="preserve">PG5 Chick-fil-A - Year 1 </t>
  </si>
  <si>
    <t xml:space="preserve">Refresh - to Include Breakfast </t>
  </si>
  <si>
    <t xml:space="preserve">Starbucks Truck - Year 1 </t>
  </si>
  <si>
    <t xml:space="preserve">New Starbucks Truck </t>
  </si>
  <si>
    <t xml:space="preserve">Sergios - Year 1 </t>
  </si>
  <si>
    <t xml:space="preserve">Refresh and Expansion </t>
  </si>
  <si>
    <t>BBC Campus - Year 2</t>
  </si>
  <si>
    <t>Chick-fil-A/ 2 Rotating PODS</t>
  </si>
  <si>
    <t xml:space="preserve">Faculty Club - Year 2 </t>
  </si>
  <si>
    <t xml:space="preserve">Faculty Club Renovations </t>
  </si>
  <si>
    <t>Panera - Year 2</t>
  </si>
  <si>
    <t xml:space="preserve">Panera - New location </t>
  </si>
  <si>
    <t>World Pavillion - Year 2</t>
  </si>
  <si>
    <t xml:space="preserve">5 new concepts </t>
  </si>
  <si>
    <t>NEW PG5 - Year 2</t>
  </si>
  <si>
    <t>Salad Works, Café Bustello, Smart Room</t>
  </si>
  <si>
    <t>Athletics - Year 2</t>
  </si>
  <si>
    <t>Ath. Training table kitchen</t>
  </si>
  <si>
    <t>Heritage Market - Year 3</t>
  </si>
  <si>
    <t xml:space="preserve">New Dining Center </t>
  </si>
  <si>
    <t xml:space="preserve">Starbucks </t>
  </si>
  <si>
    <t>Mandatory Starbucks Refresh</t>
  </si>
  <si>
    <t xml:space="preserve">Chilis Patio - Year 1 </t>
  </si>
  <si>
    <t xml:space="preserve">Chili's Too Renovation </t>
  </si>
  <si>
    <t>GC Food Court with Chipotle - Year 3</t>
  </si>
  <si>
    <t xml:space="preserve">FC Foodcourt with new Chipotle </t>
  </si>
  <si>
    <t>Additional Dining Improvements</t>
  </si>
  <si>
    <t xml:space="preserve">Misc. Dining Improvements </t>
  </si>
  <si>
    <t>Total:</t>
  </si>
  <si>
    <t>Investment Amortization</t>
  </si>
  <si>
    <t>Total Annual Amortization by Year</t>
  </si>
  <si>
    <t>Value Added Support/Contributions (Ex: Catering Fund, Unrestricted Funds, etc.)</t>
  </si>
  <si>
    <t>Be sure to include the annual contributions on your pro forma projections (Row 62)</t>
  </si>
  <si>
    <t>Description</t>
  </si>
  <si>
    <t xml:space="preserve">In Kind Catering Fund </t>
  </si>
  <si>
    <t xml:space="preserve">Annual Refresh Funds </t>
  </si>
  <si>
    <t xml:space="preserve">Annual Unrestricted Grants </t>
  </si>
  <si>
    <t>Student Internship Program</t>
  </si>
  <si>
    <t xml:space="preserve">Scholarship Program </t>
  </si>
  <si>
    <t xml:space="preserve">Annual Food credit </t>
  </si>
  <si>
    <t xml:space="preserve">Exclusivity </t>
  </si>
  <si>
    <t xml:space="preserve">Taxes on Commissions, Investment, Food credit, Grants, etc. </t>
  </si>
  <si>
    <t xml:space="preserve"> </t>
  </si>
  <si>
    <t>YEAR 1-10 MEAL PLAN PROJECTIONS</t>
  </si>
  <si>
    <t>Aramark</t>
  </si>
  <si>
    <t>INSTRUCTIONS</t>
  </si>
  <si>
    <t xml:space="preserve">1. The meal plan subcriptions and pricing provided are not a guarantee and are for modeling purposes for the ITN.  </t>
  </si>
  <si>
    <t xml:space="preserve">2. For Year 1, you MUST use the meal plan types, and Mandatory meal plan subscription rates provided in the spreadsheet without deviation or addition.  </t>
  </si>
  <si>
    <t xml:space="preserve">    You may add in the number of Voluntary meal plan subscriptions.</t>
  </si>
  <si>
    <r>
      <t xml:space="preserve">3. For Years 2-10 Mandatory plans, you MUST use the meal plan types and meal plan subscription rates provided in the spreadsheet without deviation or addition, </t>
    </r>
    <r>
      <rPr>
        <b/>
        <sz val="10"/>
        <color rgb="FFFF0000"/>
        <rFont val="Calibri"/>
        <family val="2"/>
        <scheme val="minor"/>
      </rPr>
      <t xml:space="preserve">except for the All Access $100DD. </t>
    </r>
  </si>
  <si>
    <r>
      <t xml:space="preserve">      </t>
    </r>
    <r>
      <rPr>
        <b/>
        <sz val="10"/>
        <color rgb="FFFF0000"/>
        <rFont val="Calibri"/>
        <family val="2"/>
        <scheme val="minor"/>
      </rPr>
      <t>Adjust the number of mandatory All Access $100DD subscriptions so that the total number of ALL (mandatory and voluntary) meal plans is 31,087.</t>
    </r>
  </si>
  <si>
    <t xml:space="preserve">4. For Years 2-10 Voluntary plans, you MUST use the meal plan types provided in the spreadsheet, without deviation or addition.  However, you MAY change the number of Voluntary meal plan subscriptions to </t>
  </si>
  <si>
    <t xml:space="preserve">    the extent you believe you can grow this business.</t>
  </si>
  <si>
    <t>5. Employee &amp; Affiliate current meal plans to continued to be offered trough out contract, even though not shown on this worksheet.</t>
  </si>
  <si>
    <t>6. Early Fall (Summer B) has specific plans beginning on Row 32 in Year 1.  The BYOB 50 Meals can be used for Early Fall (Summer B), Fall Semester &amp; Spring Semester.</t>
  </si>
  <si>
    <t>7. The yellow highlighted cells indicate revised numbers provided on this worksheet.</t>
  </si>
  <si>
    <t xml:space="preserve">Year 1 </t>
  </si>
  <si>
    <t>Early Fall (Summer B)</t>
  </si>
  <si>
    <t>Fall Semester</t>
  </si>
  <si>
    <t>Spring Semester</t>
  </si>
  <si>
    <t>FY18-19 
Price per Term</t>
  </si>
  <si>
    <t xml:space="preserve">Dining $ Included in Plan </t>
  </si>
  <si>
    <t>Estimated Mandatory Subscriptions</t>
  </si>
  <si>
    <t>Estimated Voluntary Subscriptions</t>
  </si>
  <si>
    <t>Total AYCE Revenue Component</t>
  </si>
  <si>
    <t xml:space="preserve">Total Estimated
Meal Plan 
Dining $ </t>
  </si>
  <si>
    <t>Total Estimated
Meal
Plan Revenue</t>
  </si>
  <si>
    <t>Ultimate 5 (any 5 days of access +bonus meal)</t>
  </si>
  <si>
    <t>Ultimate 7 (all access + bonus meal)</t>
  </si>
  <si>
    <t>VIP5 (any 5 days of access)</t>
  </si>
  <si>
    <t>VIP7 (all access)</t>
  </si>
  <si>
    <t>SBLK150 Meals +$700DD +$200 Bonus DD</t>
  </si>
  <si>
    <t>SBLK100 Meals +$1,100DD +$100 Bonus DD</t>
  </si>
  <si>
    <t>SBLK50 Meals +$1,550DD +$100 Bonus DD</t>
  </si>
  <si>
    <t>All Access T1 $1,549DD</t>
  </si>
  <si>
    <t>All Access T2 $1,129DD</t>
  </si>
  <si>
    <t>`</t>
  </si>
  <si>
    <t>All Access T3 $829DD</t>
  </si>
  <si>
    <t>All Access T4 $499DD</t>
  </si>
  <si>
    <t>BYOB 100 Meals</t>
  </si>
  <si>
    <t>BYOB 50 Meals</t>
  </si>
  <si>
    <t>Global Block 75</t>
  </si>
  <si>
    <t>BYOB 25 Meals</t>
  </si>
  <si>
    <t>All Access T1 $775DD</t>
  </si>
  <si>
    <t>All Access T2 $350DD</t>
  </si>
  <si>
    <t>All Access T3 $250DD</t>
  </si>
  <si>
    <t xml:space="preserve">Total: </t>
  </si>
  <si>
    <t>1. The calculated Mandatory AYCE Revenue must tie out to the Mandatory AYCE Revenue line in your pro forma projections.</t>
  </si>
  <si>
    <t>2. The calculated Voluntary AYCE Revenue must tie out to the Mandatory AYCE Revenue line in your pro forma projections.</t>
  </si>
  <si>
    <t>Mandatory Revenue:</t>
  </si>
  <si>
    <t>3. The calculated Total Estimated Meal Plan Dining $ must tie out to the Mandatory AYCH Revenue line in your pro forma projections.</t>
  </si>
  <si>
    <t>Voluntary Revenue:</t>
  </si>
  <si>
    <t>Year 2</t>
  </si>
  <si>
    <t>FY19-20 
Price per Term</t>
  </si>
  <si>
    <t xml:space="preserve">Estimated
Meal Plan 
Dining $ </t>
  </si>
  <si>
    <t>Ultimate 5 (any 5 days all access)</t>
  </si>
  <si>
    <t>Ultimate 7 (all access)</t>
  </si>
  <si>
    <t>SBLK 200 Meals +$250DD +$100 Bonus DD</t>
  </si>
  <si>
    <t>SBLK 150 Meals +$500DD +$100 Bonus DD</t>
  </si>
  <si>
    <t>SBLK 75 Meals +$1,275DD +$100 Bonus DD</t>
  </si>
  <si>
    <t>All Access $1,549DD</t>
  </si>
  <si>
    <t>All Access $999DD</t>
  </si>
  <si>
    <t>All Access $499DD</t>
  </si>
  <si>
    <t>All Access $100DD</t>
  </si>
  <si>
    <t>Global Block 75 Meals</t>
  </si>
  <si>
    <t>Refunded Dining Dollars ($100DD Plan Only)</t>
  </si>
  <si>
    <t>Total Estimated Meal Plan Dining $</t>
  </si>
  <si>
    <t>Year 3</t>
  </si>
  <si>
    <t>FY20-21 
Price per Term</t>
  </si>
  <si>
    <t>Year 4</t>
  </si>
  <si>
    <t>FY21-22 
Price per Term</t>
  </si>
  <si>
    <t>Year 5</t>
  </si>
  <si>
    <t>FY22-23 
Price per Term</t>
  </si>
  <si>
    <t>Year 6</t>
  </si>
  <si>
    <t>FY23-24 
Price per Term</t>
  </si>
  <si>
    <t>Year 7</t>
  </si>
  <si>
    <t>FY24-25 
Price per Term</t>
  </si>
  <si>
    <t>Year 8</t>
  </si>
  <si>
    <t>FY25-26 
Price per Term</t>
  </si>
  <si>
    <t>Year 9</t>
  </si>
  <si>
    <t>FY26-27 
Price per Term</t>
  </si>
  <si>
    <t>Year 10</t>
  </si>
  <si>
    <t>FY27-28 
Price per Term</t>
  </si>
  <si>
    <t>ADDITIONAL MEAL PLAN REQUESTS</t>
  </si>
  <si>
    <t>Provide your proposed voluntary meal plans with descriptions and pricing.  - Revised area of worksheet.</t>
  </si>
  <si>
    <t>Meal Plans (including description of plan)</t>
  </si>
  <si>
    <t>Voluntary Student Plans</t>
  </si>
  <si>
    <t>Unlimited 5 with 100 DB</t>
  </si>
  <si>
    <t>Unlimited 5 with 200 DB</t>
  </si>
  <si>
    <t>Unlimited 5 with 300 DB</t>
  </si>
  <si>
    <t>Unlimited 5 with 400 DB</t>
  </si>
  <si>
    <t>Unlimited 5 with 100 DB CE</t>
  </si>
  <si>
    <t>Unlimited 5 with 200 DB CE</t>
  </si>
  <si>
    <t>Unlimited 5 with 300 DB CE</t>
  </si>
  <si>
    <t>Unlimited 5 with 400 DB CE</t>
  </si>
  <si>
    <t>Unlimited 7 with 100 DB</t>
  </si>
  <si>
    <t>Unlimited 7 with 200 DB</t>
  </si>
  <si>
    <t>Unlimited 7 with 300 DB</t>
  </si>
  <si>
    <t>Unlimited 7 with 400 DB</t>
  </si>
  <si>
    <t>Unlimited 7 with 100 DB CE</t>
  </si>
  <si>
    <t>Unlimited 7 with 200 DB CE</t>
  </si>
  <si>
    <t>Unlimited 7 with 300 DB CE</t>
  </si>
  <si>
    <t>Unlimited 7 with 400 DB CE</t>
  </si>
  <si>
    <t>Block 175 with 100 DB</t>
  </si>
  <si>
    <t>Commuter Block 50 with 100 DB</t>
  </si>
  <si>
    <t>Commuter All DB 850</t>
  </si>
  <si>
    <t>Commuter All DB 500</t>
  </si>
  <si>
    <t>Commuter Block 25 with 200 DB</t>
  </si>
  <si>
    <t xml:space="preserve">Ultimate 5 with $125 DB - Summer MP </t>
  </si>
  <si>
    <t xml:space="preserve">Ultimate 7 with $75 DB - Summer MP </t>
  </si>
  <si>
    <t>Notes:</t>
  </si>
  <si>
    <t>Provide your proposed commission structure for Years 2-10 if FIU elects to make all meal plan purchases voluntary.</t>
  </si>
  <si>
    <t>A. Sales Commissions</t>
  </si>
  <si>
    <t xml:space="preserve">    Commissionable revenue includes Cash/Check, Credit Card, Debit Card, FIU One Card, Meal Plan Dining $, and Departmental Purchases.</t>
  </si>
  <si>
    <t>Commission Rate</t>
  </si>
  <si>
    <t xml:space="preserve">Provide your proposed commission structure in the event the University elects to allow acceptance of Meal Plan Dining $ at </t>
  </si>
  <si>
    <t>on-campus food service locations that are not included in your contract.</t>
  </si>
  <si>
    <t>Assume that the University's meal plan structure will be otherwise unchanged from its intended FY 2018-19 plans.</t>
  </si>
  <si>
    <t xml:space="preserve">Catering </t>
  </si>
  <si>
    <t>B. Guaranteed Minimum Commission ($ from all commissionable revenue streams)</t>
  </si>
  <si>
    <t xml:space="preserve">C. Concerns - list any concerns regarding the mechanics/operation of allowing Meal Plan Dining $ to be used at on campus </t>
  </si>
  <si>
    <t xml:space="preserve">     food service locations not included in your contract.</t>
  </si>
  <si>
    <t>Add additional numbers as needed.</t>
  </si>
  <si>
    <t>1).</t>
  </si>
  <si>
    <t>2).</t>
  </si>
  <si>
    <t>3).</t>
  </si>
  <si>
    <t>Service Location (Current Name):</t>
  </si>
  <si>
    <t>Fresh Food Company</t>
  </si>
  <si>
    <t>PRO FORMA FINANCIAL PROJECTIONS</t>
  </si>
  <si>
    <t>Service Location (Proposed Name):</t>
  </si>
  <si>
    <t xml:space="preserve">VENDOR:  </t>
  </si>
  <si>
    <t>Subcontract? (Yes/No):</t>
  </si>
  <si>
    <t>REVENUE ASSUMPTIONS:</t>
  </si>
  <si>
    <t>Number of Annual Operating Days</t>
  </si>
  <si>
    <t>Projected Annual Number of Meals Served</t>
  </si>
  <si>
    <t>Projected Food Cost per Meal Served</t>
  </si>
  <si>
    <t>Projected Meals per Labor Hour</t>
  </si>
  <si>
    <t>%</t>
  </si>
  <si>
    <t>Revenue (Net of Sales Tax)</t>
  </si>
  <si>
    <t>Retail Sales Revenue</t>
  </si>
  <si>
    <t xml:space="preserve">   Cash/Credit Card/One Card</t>
  </si>
  <si>
    <t xml:space="preserve">   Meal Plan Dining $ </t>
  </si>
  <si>
    <t xml:space="preserve">   Meal Equivalencies</t>
  </si>
  <si>
    <t>Residential Dining Sales Revenue</t>
  </si>
  <si>
    <t xml:space="preserve">   Mandatory Meal Plans (AYCE portion)</t>
  </si>
  <si>
    <t xml:space="preserve">   Voluntary Meal Plans (AYCE Portion)</t>
  </si>
  <si>
    <t>Catering Sales Revenue</t>
  </si>
  <si>
    <t>Summer Conferences &amp; Camps Sales Revenue</t>
  </si>
  <si>
    <t>Other Revenue (list) _________________________</t>
  </si>
  <si>
    <t>Total Revenue:</t>
  </si>
  <si>
    <t>Cost of Goods Sold:</t>
  </si>
  <si>
    <t>Food Cost</t>
  </si>
  <si>
    <t xml:space="preserve">Less:  Applied Credits from Purchase Rebates </t>
  </si>
  <si>
    <t>Subtotal Food &amp; Beverage Costs:</t>
  </si>
  <si>
    <t>Labor Costs:</t>
  </si>
  <si>
    <t>Management Wages</t>
  </si>
  <si>
    <t>Full-time Staff Wages</t>
  </si>
  <si>
    <t>Part-time Staff Wages</t>
  </si>
  <si>
    <t>Student Employee Wages</t>
  </si>
  <si>
    <t>Management Benefits</t>
  </si>
  <si>
    <t>Full-time Staff Benefits</t>
  </si>
  <si>
    <t>Part-time Staff Benefits</t>
  </si>
  <si>
    <t>Student Employee Benefits</t>
  </si>
  <si>
    <t>Temporary Labor Expenses</t>
  </si>
  <si>
    <t>Payroll Taxes</t>
  </si>
  <si>
    <t>Subtotal Labor Costs:</t>
  </si>
  <si>
    <t>Operating Expenses:</t>
  </si>
  <si>
    <t>Amortization of Capital Investments (Row 29 'Invest &amp; Contrib' Sheet)</t>
  </si>
  <si>
    <t>Amortization of Start Up Costs (Row 32 'Start Up Costs' Sheet)</t>
  </si>
  <si>
    <t>Bank Service Fees</t>
  </si>
  <si>
    <t>Brand Licensing, Royalty and /or Franchise Fees</t>
  </si>
  <si>
    <t xml:space="preserve">Business Insurance </t>
  </si>
  <si>
    <t>Business Taxes and Licenses</t>
  </si>
  <si>
    <t>Cash Escort Services</t>
  </si>
  <si>
    <t>Commissions Payable to University</t>
  </si>
  <si>
    <t>Common Area Maintenance</t>
  </si>
  <si>
    <t>Computer Hardware Purchases Leases, Fees and Support</t>
  </si>
  <si>
    <t>Contributions to University (Row 46 'Invest &amp; Contrib' Sheet)</t>
  </si>
  <si>
    <t>Credit/Debit Card Transaction Fees</t>
  </si>
  <si>
    <t>Custodial/Sanitation Supplies and/or Janitorial/Cleaning Services</t>
  </si>
  <si>
    <t>Decorative Materials</t>
  </si>
  <si>
    <t>Delivery &amp; Freight</t>
  </si>
  <si>
    <t xml:space="preserve">Equipment Maintenance and Repair </t>
  </si>
  <si>
    <t>Equipment Rental</t>
  </si>
  <si>
    <t>Exhaust Hood Canopy/Duct Deep Cleaning</t>
  </si>
  <si>
    <t>First Aid Supplies and Equipment</t>
  </si>
  <si>
    <t>Grease Trap Maintenance and Removal</t>
  </si>
  <si>
    <t>Health, Safety and Sanitation Inspection Services and Fees</t>
  </si>
  <si>
    <t>Internet Access/Service</t>
  </si>
  <si>
    <t>Laundry &amp; Linen Purchase/Rental</t>
  </si>
  <si>
    <t>Marketing Materials, Advertising and Other Direct Expenses</t>
  </si>
  <si>
    <t>Office Equipment (Lease or expensed in purchase year)</t>
  </si>
  <si>
    <t>Office Supplies, Misc. Printing &amp; Postage</t>
  </si>
  <si>
    <t xml:space="preserve">Paper Supplies and Disposable Ware </t>
  </si>
  <si>
    <t>Parking Permits</t>
  </si>
  <si>
    <t>Performance Bond</t>
  </si>
  <si>
    <t xml:space="preserve">Pest &amp; Insect Control </t>
  </si>
  <si>
    <t>Professional Memberships/Dues (Food Service Industry)</t>
  </si>
  <si>
    <t>Relocation Expenses - Key Management Team Members</t>
  </si>
  <si>
    <t>Risk Payments (Performance Scorecard)</t>
  </si>
  <si>
    <t>Security Systems</t>
  </si>
  <si>
    <t>Smallwares Replacement</t>
  </si>
  <si>
    <t>Software Licensing and Support</t>
  </si>
  <si>
    <t xml:space="preserve">Subcontracted Services </t>
  </si>
  <si>
    <t xml:space="preserve">Telephone Equipment, Line Installation &amp; Service </t>
  </si>
  <si>
    <t xml:space="preserve">Training </t>
  </si>
  <si>
    <t>Trash, Recyclables and Compost Removal (From Dumpsters)</t>
  </si>
  <si>
    <t>Uniforms and Uniform Replacement</t>
  </si>
  <si>
    <t>University One Card Fees</t>
  </si>
  <si>
    <t>University Technology Fees</t>
  </si>
  <si>
    <t>Utilities</t>
  </si>
  <si>
    <t>Vehicle Lease and Operating Expenses (Delivery Vehicles)</t>
  </si>
  <si>
    <t>Workers' Compensation Insurance</t>
  </si>
  <si>
    <t xml:space="preserve">Taxes - Personal Property </t>
  </si>
  <si>
    <t>Taxes - Sales Tax on purchased goods</t>
  </si>
  <si>
    <t>Taxes (List) ______________________________________</t>
  </si>
  <si>
    <t>Yr 1 Start Up Costs (Row 32 'Start Up Costs' Sheet if Not Amortized)</t>
  </si>
  <si>
    <t>Other (List) ______________________________________</t>
  </si>
  <si>
    <t>Subtotal Operating Expenses:</t>
  </si>
  <si>
    <t>Operating Profit/(Loss):</t>
  </si>
  <si>
    <t>Return to University</t>
  </si>
  <si>
    <t xml:space="preserve">Contributions to University </t>
  </si>
  <si>
    <t>Total Annual Return to University:</t>
  </si>
  <si>
    <t>Assumptions:</t>
  </si>
  <si>
    <t>List assumptions as appropriate</t>
  </si>
  <si>
    <t>FTIC YEAR 1</t>
  </si>
  <si>
    <t xml:space="preserve">Allocate 4% of total retail to ME for the highlited locations </t>
  </si>
  <si>
    <t xml:space="preserve">Total ME for campus should be at $200k </t>
  </si>
  <si>
    <t xml:space="preserve">FTIC YEAR 2 ONWARDS </t>
  </si>
  <si>
    <t xml:space="preserve">Total ME for campus should be at $100k </t>
  </si>
  <si>
    <t xml:space="preserve">ONWARDS </t>
  </si>
  <si>
    <t>POD (Breezeway)</t>
  </si>
  <si>
    <t xml:space="preserve">POD Breezway </t>
  </si>
  <si>
    <t>Projected Average # Daily Customers</t>
  </si>
  <si>
    <t>Projected Average Check</t>
  </si>
  <si>
    <t>Projected Annual Revenue</t>
  </si>
  <si>
    <t>Contributions to University (Row 46 'Invest &amp; Support' Sheet)</t>
  </si>
  <si>
    <t>Starbucks (Green Library) &amp; Starbucks Truck</t>
  </si>
  <si>
    <t>Includes NEW Starbucks truck sales in the mix</t>
  </si>
  <si>
    <t xml:space="preserve">Other Revenue - Subcontractor Revenue </t>
  </si>
  <si>
    <t>Other Revenue: Subcontractor</t>
  </si>
  <si>
    <t>Taxes (List)</t>
  </si>
  <si>
    <t>Café Bustelo relocated to PG5 in year 3</t>
  </si>
  <si>
    <t>Other Revenue : subcontractor</t>
  </si>
  <si>
    <t>Other Revenue: subcontractor</t>
  </si>
  <si>
    <t>In year 2 - Sergio's to be expanded with elimination of EBB</t>
  </si>
  <si>
    <t>PG5 Renovation Year 3</t>
  </si>
  <si>
    <t xml:space="preserve">Other Revenue: subcontractor </t>
  </si>
  <si>
    <t>Converted from subcontractor to Aramark operated in year 3</t>
  </si>
  <si>
    <t>Half Moon Empanadas (Parking Garage 5)</t>
  </si>
  <si>
    <t xml:space="preserve">Athletic training table </t>
  </si>
  <si>
    <t>Menu</t>
  </si>
  <si>
    <t>Item      </t>
  </si>
  <si>
    <t>Price</t>
  </si>
  <si>
    <t>Hotdog     </t>
  </si>
  <si>
    <t xml:space="preserve">Pizza      </t>
  </si>
  <si>
    <t xml:space="preserve">Pretzel   </t>
  </si>
  <si>
    <t>Soda (Bottle)</t>
  </si>
  <si>
    <t>Water       </t>
  </si>
  <si>
    <t>Hamburger</t>
  </si>
  <si>
    <t>Candy</t>
  </si>
  <si>
    <t>Chicken Sandwich</t>
  </si>
  <si>
    <t>Chips</t>
  </si>
  <si>
    <t>Churro</t>
  </si>
  <si>
    <t>Coffee</t>
  </si>
  <si>
    <t>Cracker Jacks</t>
  </si>
  <si>
    <t>Peanus</t>
  </si>
  <si>
    <t>Sunflower Seeds</t>
  </si>
  <si>
    <t>Small Popcorn</t>
  </si>
  <si>
    <t>Large Popcorn</t>
  </si>
  <si>
    <t>Fountain Soda</t>
  </si>
  <si>
    <t>Gatorade</t>
  </si>
  <si>
    <t>Nachos</t>
  </si>
  <si>
    <t>Rockstar</t>
  </si>
  <si>
    <t>Sausage</t>
  </si>
  <si>
    <t>16oz Beer (domestic)</t>
  </si>
  <si>
    <t>Craft/Import Beer</t>
  </si>
  <si>
    <t>Replaced by CFA Year 1</t>
  </si>
  <si>
    <t>Grill Works replaced with shipping containers food concept in Year 2</t>
  </si>
  <si>
    <t xml:space="preserve">CFA added to space as well </t>
  </si>
  <si>
    <t>Year 2 Subway refresh</t>
  </si>
  <si>
    <t>Chic Fil A BBC</t>
  </si>
  <si>
    <t>Includes restaurant rotation, food truck, fruit stand and carribean concept.</t>
  </si>
  <si>
    <t>ATTACHMENT IX - FINANCIAL WORKBOOK</t>
  </si>
  <si>
    <t>Retail Dining Roll Up</t>
  </si>
  <si>
    <t>Catering Services (MMC)</t>
  </si>
  <si>
    <t>Catering Services (BBC)</t>
  </si>
  <si>
    <t>Catering Services Roll Up</t>
  </si>
  <si>
    <t>General &amp; Administrative</t>
  </si>
  <si>
    <t xml:space="preserve">Other G&amp;A </t>
  </si>
  <si>
    <t>Food cost: Catering food cost for in kind catering accounted under G&amp;A</t>
  </si>
  <si>
    <t>Annual Food credit in the amount of $200K provided to FIU</t>
  </si>
  <si>
    <t>Total Roll Up</t>
  </si>
  <si>
    <t xml:space="preserve">Other: Investment </t>
  </si>
  <si>
    <t>Other: Marketing and Advertising fund</t>
  </si>
  <si>
    <t>Other: Repair/ Maint. / Utilities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</si>
</sst>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.00"/>
    <numFmt numFmtId="166" formatCode="&quot;$&quot;#,##0"/>
    <numFmt numFmtId="167" formatCode="_(* #,##0_);_(* \(#,##0\);_(* &quot;-&quot;??_);_(@_)"/>
    <numFmt numFmtId="168" formatCode="0.0%"/>
    <numFmt numFmtId="169" formatCode="0.000%"/>
  </numFmts>
  <fonts count="25">
    <font>
      <sz val="10"/>
      <name val="MS Sans Serif"/>
    </font>
    <font>
      <sz val="10.5"/>
      <color theme="1"/>
      <name val="Trebuchet M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0"/>
      <name val="MS Sans Serif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color rgb="FF3333CC"/>
      <name val="Calibri"/>
      <family val="2"/>
      <scheme val="minor"/>
    </font>
    <font>
      <i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color rgb="FF3333CC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3333CC"/>
      <name val="Calibri"/>
      <family val="2"/>
      <scheme val="minor"/>
    </font>
    <font>
      <sz val="10.5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0"/>
      <name val="Calibri"/>
      <family val="2"/>
      <scheme val="minor"/>
    </font>
    <font>
      <strike/>
      <sz val="1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gray0625"/>
    </fill>
    <fill>
      <patternFill patternType="solid">
        <fgColor theme="0" tint="-0.149998474074526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</borders>
  <cellStyleXfs count="7">
    <xf numFmtId="0" fontId="0" fillId="0" borderId="0"/>
    <xf numFmtId="9" fontId="2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23" fillId="0" borderId="0"/>
  </cellStyleXfs>
  <cellXfs count="275">
    <xf numFmtId="0" fontId="0" fillId="0" borderId="0" xfId="0"/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0" fontId="9" fillId="0" borderId="0" xfId="0" applyFont="1"/>
    <xf numFmtId="0" fontId="7" fillId="0" borderId="4" xfId="0" applyFont="1" applyBorder="1"/>
    <xf numFmtId="44" fontId="7" fillId="0" borderId="0" xfId="3" applyFont="1"/>
    <xf numFmtId="0" fontId="10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 applyAlignment="1">
      <alignment horizontal="center"/>
    </xf>
    <xf numFmtId="164" fontId="7" fillId="0" borderId="0" xfId="0" applyNumberFormat="1" applyFont="1"/>
    <xf numFmtId="166" fontId="7" fillId="0" borderId="0" xfId="3" applyNumberFormat="1" applyFont="1"/>
    <xf numFmtId="0" fontId="7" fillId="0" borderId="3" xfId="0" applyFont="1" applyBorder="1"/>
    <xf numFmtId="0" fontId="6" fillId="0" borderId="3" xfId="0" applyFont="1" applyBorder="1"/>
    <xf numFmtId="0" fontId="7" fillId="0" borderId="2" xfId="0" applyFont="1" applyBorder="1"/>
    <xf numFmtId="44" fontId="6" fillId="0" borderId="0" xfId="3" applyFont="1"/>
    <xf numFmtId="165" fontId="6" fillId="0" borderId="0" xfId="0" applyNumberFormat="1" applyFont="1"/>
    <xf numFmtId="0" fontId="11" fillId="0" borderId="0" xfId="0" applyFont="1"/>
    <xf numFmtId="44" fontId="6" fillId="2" borderId="3" xfId="3" applyFont="1" applyFill="1" applyBorder="1" applyAlignment="1">
      <alignment horizontal="center" vertical="center" wrapText="1"/>
    </xf>
    <xf numFmtId="44" fontId="6" fillId="2" borderId="13" xfId="3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17" fillId="0" borderId="0" xfId="0" applyFont="1"/>
    <xf numFmtId="164" fontId="7" fillId="0" borderId="18" xfId="3" applyNumberFormat="1" applyFont="1" applyBorder="1"/>
    <xf numFmtId="164" fontId="7" fillId="0" borderId="5" xfId="3" applyNumberFormat="1" applyFont="1" applyBorder="1"/>
    <xf numFmtId="164" fontId="6" fillId="0" borderId="6" xfId="3" applyNumberFormat="1" applyFont="1" applyBorder="1"/>
    <xf numFmtId="0" fontId="6" fillId="0" borderId="0" xfId="0" applyFont="1" applyAlignment="1">
      <alignment vertical="top" wrapText="1"/>
    </xf>
    <xf numFmtId="0" fontId="7" fillId="0" borderId="14" xfId="0" applyFont="1" applyBorder="1"/>
    <xf numFmtId="0" fontId="7" fillId="0" borderId="12" xfId="0" applyFont="1" applyBorder="1"/>
    <xf numFmtId="164" fontId="6" fillId="0" borderId="3" xfId="3" applyNumberFormat="1" applyFont="1" applyBorder="1"/>
    <xf numFmtId="167" fontId="6" fillId="0" borderId="0" xfId="4" applyNumberFormat="1" applyFont="1"/>
    <xf numFmtId="0" fontId="6" fillId="0" borderId="0" xfId="0" applyFont="1" applyAlignment="1">
      <alignment horizontal="center"/>
    </xf>
    <xf numFmtId="0" fontId="6" fillId="0" borderId="4" xfId="0" applyFont="1" applyBorder="1" applyAlignment="1">
      <alignment horizontal="left"/>
    </xf>
    <xf numFmtId="0" fontId="6" fillId="0" borderId="4" xfId="0" applyFont="1" applyBorder="1" applyAlignment="1">
      <alignment horizontal="center"/>
    </xf>
    <xf numFmtId="0" fontId="7" fillId="0" borderId="5" xfId="0" applyFont="1" applyBorder="1"/>
    <xf numFmtId="6" fontId="7" fillId="0" borderId="12" xfId="0" applyNumberFormat="1" applyFont="1" applyBorder="1"/>
    <xf numFmtId="9" fontId="7" fillId="0" borderId="12" xfId="1" applyFont="1" applyBorder="1"/>
    <xf numFmtId="6" fontId="6" fillId="0" borderId="0" xfId="0" applyNumberFormat="1" applyFont="1"/>
    <xf numFmtId="9" fontId="7" fillId="0" borderId="0" xfId="1" applyFont="1"/>
    <xf numFmtId="0" fontId="6" fillId="0" borderId="0" xfId="2" applyFont="1"/>
    <xf numFmtId="0" fontId="7" fillId="0" borderId="5" xfId="2" applyFont="1" applyBorder="1"/>
    <xf numFmtId="0" fontId="6" fillId="0" borderId="5" xfId="2" applyFont="1" applyBorder="1"/>
    <xf numFmtId="0" fontId="14" fillId="0" borderId="0" xfId="0" applyFont="1"/>
    <xf numFmtId="0" fontId="6" fillId="4" borderId="0" xfId="0" applyFont="1" applyFill="1"/>
    <xf numFmtId="164" fontId="7" fillId="0" borderId="0" xfId="3" applyNumberFormat="1" applyFont="1" applyAlignment="1">
      <alignment horizontal="center"/>
    </xf>
    <xf numFmtId="0" fontId="7" fillId="0" borderId="0" xfId="0" applyFont="1" applyAlignment="1">
      <alignment horizontal="right"/>
    </xf>
    <xf numFmtId="0" fontId="16" fillId="0" borderId="0" xfId="0" applyFont="1"/>
    <xf numFmtId="0" fontId="7" fillId="0" borderId="8" xfId="0" applyFont="1" applyBorder="1"/>
    <xf numFmtId="0" fontId="7" fillId="0" borderId="9" xfId="0" applyFont="1" applyBorder="1"/>
    <xf numFmtId="0" fontId="6" fillId="0" borderId="0" xfId="0" quotePrefix="1" applyFont="1" applyAlignment="1">
      <alignment horizontal="center"/>
    </xf>
    <xf numFmtId="0" fontId="7" fillId="0" borderId="0" xfId="0" quotePrefix="1" applyFont="1" applyAlignment="1">
      <alignment horizontal="center"/>
    </xf>
    <xf numFmtId="165" fontId="7" fillId="0" borderId="0" xfId="3" applyNumberFormat="1" applyFont="1"/>
    <xf numFmtId="0" fontId="6" fillId="0" borderId="5" xfId="0" applyFont="1" applyBorder="1"/>
    <xf numFmtId="0" fontId="7" fillId="6" borderId="0" xfId="0" applyFont="1" applyFill="1"/>
    <xf numFmtId="0" fontId="6" fillId="2" borderId="21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37" fontId="20" fillId="0" borderId="21" xfId="5" applyNumberFormat="1" applyFont="1" applyBorder="1"/>
    <xf numFmtId="37" fontId="19" fillId="0" borderId="21" xfId="5" applyNumberFormat="1" applyFont="1" applyBorder="1"/>
    <xf numFmtId="0" fontId="6" fillId="0" borderId="0" xfId="0" applyFont="1" applyAlignment="1">
      <alignment horizontal="right" vertical="top" wrapText="1"/>
    </xf>
    <xf numFmtId="37" fontId="20" fillId="0" borderId="6" xfId="5" applyNumberFormat="1" applyFont="1" applyBorder="1"/>
    <xf numFmtId="0" fontId="6" fillId="0" borderId="0" xfId="0" applyFont="1" applyAlignment="1">
      <alignment horizontal="right"/>
    </xf>
    <xf numFmtId="164" fontId="6" fillId="0" borderId="3" xfId="0" applyNumberFormat="1" applyFont="1" applyBorder="1"/>
    <xf numFmtId="0" fontId="18" fillId="0" borderId="0" xfId="0" applyFont="1"/>
    <xf numFmtId="37" fontId="20" fillId="0" borderId="0" xfId="5" applyNumberFormat="1" applyFont="1"/>
    <xf numFmtId="37" fontId="19" fillId="0" borderId="0" xfId="5" applyNumberFormat="1" applyFont="1"/>
    <xf numFmtId="164" fontId="6" fillId="0" borderId="16" xfId="3" applyNumberFormat="1" applyFont="1" applyBorder="1"/>
    <xf numFmtId="164" fontId="6" fillId="6" borderId="3" xfId="3" applyNumberFormat="1" applyFont="1" applyFill="1" applyBorder="1"/>
    <xf numFmtId="164" fontId="6" fillId="7" borderId="21" xfId="3" applyNumberFormat="1" applyFont="1" applyFill="1" applyBorder="1"/>
    <xf numFmtId="164" fontId="6" fillId="5" borderId="6" xfId="3" applyNumberFormat="1" applyFont="1" applyFill="1" applyBorder="1"/>
    <xf numFmtId="44" fontId="7" fillId="6" borderId="0" xfId="3" applyFont="1" applyFill="1"/>
    <xf numFmtId="0" fontId="7" fillId="6" borderId="0" xfId="0" applyFont="1" applyFill="1" applyAlignment="1">
      <alignment vertical="top" wrapText="1"/>
    </xf>
    <xf numFmtId="167" fontId="7" fillId="6" borderId="0" xfId="4" applyNumberFormat="1" applyFont="1" applyFill="1"/>
    <xf numFmtId="0" fontId="7" fillId="7" borderId="0" xfId="0" applyFont="1" applyFill="1"/>
    <xf numFmtId="44" fontId="7" fillId="7" borderId="0" xfId="3" applyFont="1" applyFill="1"/>
    <xf numFmtId="0" fontId="7" fillId="5" borderId="0" xfId="0" applyFont="1" applyFill="1"/>
    <xf numFmtId="44" fontId="7" fillId="5" borderId="0" xfId="3" applyFont="1" applyFill="1"/>
    <xf numFmtId="9" fontId="7" fillId="0" borderId="0" xfId="1" applyFont="1" applyAlignment="1">
      <alignment horizontal="center"/>
    </xf>
    <xf numFmtId="0" fontId="7" fillId="0" borderId="1" xfId="0" applyFont="1" applyBorder="1"/>
    <xf numFmtId="6" fontId="7" fillId="0" borderId="1" xfId="0" applyNumberFormat="1" applyFont="1" applyBorder="1"/>
    <xf numFmtId="9" fontId="7" fillId="0" borderId="1" xfId="1" applyFont="1" applyBorder="1"/>
    <xf numFmtId="6" fontId="7" fillId="0" borderId="2" xfId="0" applyNumberFormat="1" applyFont="1" applyBorder="1"/>
    <xf numFmtId="6" fontId="6" fillId="0" borderId="3" xfId="0" applyNumberFormat="1" applyFont="1" applyBorder="1"/>
    <xf numFmtId="9" fontId="6" fillId="0" borderId="3" xfId="1" applyFont="1" applyBorder="1"/>
    <xf numFmtId="6" fontId="7" fillId="0" borderId="10" xfId="0" applyNumberFormat="1" applyFont="1" applyBorder="1"/>
    <xf numFmtId="6" fontId="6" fillId="0" borderId="3" xfId="2" applyNumberFormat="1" applyFont="1" applyBorder="1"/>
    <xf numFmtId="0" fontId="6" fillId="3" borderId="3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9" fontId="6" fillId="0" borderId="0" xfId="1" applyFont="1"/>
    <xf numFmtId="0" fontId="6" fillId="8" borderId="0" xfId="0" applyFont="1" applyFill="1"/>
    <xf numFmtId="0" fontId="7" fillId="8" borderId="0" xfId="0" applyFont="1" applyFill="1"/>
    <xf numFmtId="0" fontId="7" fillId="8" borderId="4" xfId="0" applyFont="1" applyFill="1" applyBorder="1"/>
    <xf numFmtId="44" fontId="7" fillId="8" borderId="4" xfId="3" applyFont="1" applyFill="1" applyBorder="1"/>
    <xf numFmtId="0" fontId="6" fillId="3" borderId="10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 wrapText="1"/>
    </xf>
    <xf numFmtId="0" fontId="6" fillId="3" borderId="14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168" fontId="7" fillId="0" borderId="6" xfId="1" applyNumberFormat="1" applyFont="1" applyBorder="1"/>
    <xf numFmtId="168" fontId="7" fillId="0" borderId="11" xfId="1" applyNumberFormat="1" applyFont="1" applyBorder="1"/>
    <xf numFmtId="0" fontId="6" fillId="0" borderId="8" xfId="0" applyFont="1" applyBorder="1"/>
    <xf numFmtId="168" fontId="7" fillId="0" borderId="5" xfId="1" applyNumberFormat="1" applyFont="1" applyBorder="1"/>
    <xf numFmtId="0" fontId="15" fillId="0" borderId="8" xfId="0" applyFont="1" applyBorder="1"/>
    <xf numFmtId="0" fontId="21" fillId="0" borderId="8" xfId="0" applyFont="1" applyBorder="1"/>
    <xf numFmtId="0" fontId="21" fillId="0" borderId="15" xfId="0" applyFont="1" applyBorder="1"/>
    <xf numFmtId="0" fontId="21" fillId="0" borderId="14" xfId="0" applyFont="1" applyBorder="1"/>
    <xf numFmtId="0" fontId="21" fillId="0" borderId="0" xfId="0" applyFont="1"/>
    <xf numFmtId="0" fontId="15" fillId="0" borderId="0" xfId="0" applyFont="1"/>
    <xf numFmtId="0" fontId="7" fillId="0" borderId="0" xfId="0" quotePrefix="1" applyFont="1"/>
    <xf numFmtId="0" fontId="6" fillId="0" borderId="0" xfId="0" quotePrefix="1" applyFont="1"/>
    <xf numFmtId="0" fontId="7" fillId="9" borderId="4" xfId="0" applyFont="1" applyFill="1" applyBorder="1"/>
    <xf numFmtId="44" fontId="7" fillId="9" borderId="4" xfId="3" applyFont="1" applyFill="1" applyBorder="1"/>
    <xf numFmtId="6" fontId="7" fillId="9" borderId="1" xfId="0" applyNumberFormat="1" applyFont="1" applyFill="1" applyBorder="1"/>
    <xf numFmtId="6" fontId="7" fillId="9" borderId="2" xfId="0" applyNumberFormat="1" applyFont="1" applyFill="1" applyBorder="1"/>
    <xf numFmtId="0" fontId="7" fillId="9" borderId="1" xfId="0" applyFont="1" applyFill="1" applyBorder="1"/>
    <xf numFmtId="0" fontId="7" fillId="9" borderId="2" xfId="0" applyFont="1" applyFill="1" applyBorder="1"/>
    <xf numFmtId="0" fontId="6" fillId="9" borderId="12" xfId="0" applyFont="1" applyFill="1" applyBorder="1" applyAlignment="1">
      <alignment horizontal="left"/>
    </xf>
    <xf numFmtId="0" fontId="6" fillId="9" borderId="12" xfId="0" applyFont="1" applyFill="1" applyBorder="1" applyAlignment="1">
      <alignment horizontal="center"/>
    </xf>
    <xf numFmtId="0" fontId="7" fillId="0" borderId="0" xfId="2" applyFont="1"/>
    <xf numFmtId="0" fontId="6" fillId="0" borderId="0" xfId="0" applyFont="1" applyAlignment="1">
      <alignment horizontal="left"/>
    </xf>
    <xf numFmtId="43" fontId="7" fillId="9" borderId="4" xfId="4" applyFont="1" applyFill="1" applyBorder="1"/>
    <xf numFmtId="43" fontId="7" fillId="0" borderId="0" xfId="4" applyFont="1"/>
    <xf numFmtId="44" fontId="7" fillId="0" borderId="4" xfId="0" applyNumberFormat="1" applyFont="1" applyBorder="1"/>
    <xf numFmtId="0" fontId="22" fillId="0" borderId="0" xfId="0" applyFont="1"/>
    <xf numFmtId="0" fontId="22" fillId="0" borderId="5" xfId="0" applyFont="1" applyBorder="1"/>
    <xf numFmtId="44" fontId="7" fillId="8" borderId="4" xfId="0" applyNumberFormat="1" applyFont="1" applyFill="1" applyBorder="1"/>
    <xf numFmtId="6" fontId="7" fillId="8" borderId="1" xfId="0" applyNumberFormat="1" applyFont="1" applyFill="1" applyBorder="1"/>
    <xf numFmtId="9" fontId="7" fillId="8" borderId="1" xfId="1" applyFont="1" applyFill="1" applyBorder="1"/>
    <xf numFmtId="0" fontId="21" fillId="0" borderId="4" xfId="0" applyFont="1" applyBorder="1"/>
    <xf numFmtId="0" fontId="7" fillId="9" borderId="3" xfId="0" applyFont="1" applyFill="1" applyBorder="1"/>
    <xf numFmtId="0" fontId="6" fillId="9" borderId="4" xfId="0" applyFont="1" applyFill="1" applyBorder="1"/>
    <xf numFmtId="9" fontId="7" fillId="0" borderId="6" xfId="1" applyFont="1" applyBorder="1"/>
    <xf numFmtId="0" fontId="6" fillId="3" borderId="10" xfId="0" applyFont="1" applyFill="1" applyBorder="1" applyAlignment="1">
      <alignment horizontal="center" vertical="top" wrapText="1"/>
    </xf>
    <xf numFmtId="0" fontId="6" fillId="3" borderId="10" xfId="0" applyFont="1" applyFill="1" applyBorder="1" applyAlignment="1">
      <alignment horizontal="center" vertical="center"/>
    </xf>
    <xf numFmtId="0" fontId="7" fillId="3" borderId="3" xfId="0" applyFont="1" applyFill="1" applyBorder="1"/>
    <xf numFmtId="164" fontId="7" fillId="0" borderId="1" xfId="3" applyNumberFormat="1" applyFont="1" applyBorder="1"/>
    <xf numFmtId="164" fontId="7" fillId="0" borderId="8" xfId="3" applyNumberFormat="1" applyFont="1" applyBorder="1"/>
    <xf numFmtId="167" fontId="7" fillId="9" borderId="23" xfId="4" applyNumberFormat="1" applyFont="1" applyFill="1" applyBorder="1"/>
    <xf numFmtId="167" fontId="7" fillId="9" borderId="24" xfId="4" applyNumberFormat="1" applyFont="1" applyFill="1" applyBorder="1"/>
    <xf numFmtId="167" fontId="7" fillId="0" borderId="22" xfId="4" applyNumberFormat="1" applyFont="1" applyBorder="1"/>
    <xf numFmtId="167" fontId="7" fillId="0" borderId="26" xfId="4" applyNumberFormat="1" applyFont="1" applyBorder="1"/>
    <xf numFmtId="164" fontId="7" fillId="9" borderId="3" xfId="3" applyNumberFormat="1" applyFont="1" applyFill="1" applyBorder="1"/>
    <xf numFmtId="164" fontId="6" fillId="9" borderId="2" xfId="3" applyNumberFormat="1" applyFont="1" applyFill="1" applyBorder="1"/>
    <xf numFmtId="164" fontId="7" fillId="9" borderId="4" xfId="3" applyNumberFormat="1" applyFont="1" applyFill="1" applyBorder="1"/>
    <xf numFmtId="164" fontId="6" fillId="9" borderId="4" xfId="3" applyNumberFormat="1" applyFont="1" applyFill="1" applyBorder="1"/>
    <xf numFmtId="0" fontId="7" fillId="9" borderId="12" xfId="0" applyFont="1" applyFill="1" applyBorder="1"/>
    <xf numFmtId="0" fontId="7" fillId="9" borderId="14" xfId="0" applyFont="1" applyFill="1" applyBorder="1"/>
    <xf numFmtId="168" fontId="7" fillId="9" borderId="7" xfId="1" applyNumberFormat="1" applyFont="1" applyFill="1" applyBorder="1"/>
    <xf numFmtId="168" fontId="7" fillId="9" borderId="6" xfId="1" applyNumberFormat="1" applyFont="1" applyFill="1" applyBorder="1"/>
    <xf numFmtId="168" fontId="7" fillId="9" borderId="11" xfId="1" applyNumberFormat="1" applyFont="1" applyFill="1" applyBorder="1"/>
    <xf numFmtId="0" fontId="7" fillId="9" borderId="0" xfId="0" applyFont="1" applyFill="1"/>
    <xf numFmtId="168" fontId="7" fillId="9" borderId="5" xfId="1" applyNumberFormat="1" applyFont="1" applyFill="1" applyBorder="1"/>
    <xf numFmtId="164" fontId="7" fillId="9" borderId="4" xfId="3" applyNumberFormat="1" applyFont="1" applyFill="1" applyBorder="1" applyAlignment="1">
      <alignment horizontal="center"/>
    </xf>
    <xf numFmtId="164" fontId="7" fillId="0" borderId="2" xfId="3" applyNumberFormat="1" applyFont="1" applyBorder="1"/>
    <xf numFmtId="164" fontId="7" fillId="0" borderId="0" xfId="3" applyNumberFormat="1" applyFont="1"/>
    <xf numFmtId="42" fontId="7" fillId="0" borderId="0" xfId="0" applyNumberFormat="1" applyFont="1"/>
    <xf numFmtId="42" fontId="7" fillId="0" borderId="0" xfId="3" applyNumberFormat="1" applyFont="1"/>
    <xf numFmtId="6" fontId="7" fillId="10" borderId="1" xfId="0" applyNumberFormat="1" applyFont="1" applyFill="1" applyBorder="1"/>
    <xf numFmtId="9" fontId="7" fillId="10" borderId="1" xfId="1" applyFont="1" applyFill="1" applyBorder="1"/>
    <xf numFmtId="0" fontId="6" fillId="8" borderId="12" xfId="0" applyFont="1" applyFill="1" applyBorder="1" applyAlignment="1">
      <alignment horizontal="left"/>
    </xf>
    <xf numFmtId="0" fontId="6" fillId="8" borderId="12" xfId="0" applyFont="1" applyFill="1" applyBorder="1" applyAlignment="1">
      <alignment horizontal="center"/>
    </xf>
    <xf numFmtId="164" fontId="6" fillId="5" borderId="3" xfId="0" applyNumberFormat="1" applyFont="1" applyFill="1" applyBorder="1"/>
    <xf numFmtId="0" fontId="11" fillId="0" borderId="8" xfId="0" applyFont="1" applyBorder="1"/>
    <xf numFmtId="168" fontId="7" fillId="0" borderId="0" xfId="1" applyNumberFormat="1" applyFont="1"/>
    <xf numFmtId="0" fontId="6" fillId="0" borderId="8" xfId="0" applyFont="1" applyBorder="1" applyAlignment="1">
      <alignment horizontal="center"/>
    </xf>
    <xf numFmtId="164" fontId="7" fillId="0" borderId="27" xfId="3" applyNumberFormat="1" applyFont="1" applyBorder="1"/>
    <xf numFmtId="167" fontId="7" fillId="9" borderId="0" xfId="4" applyNumberFormat="1" applyFont="1" applyFill="1"/>
    <xf numFmtId="167" fontId="7" fillId="10" borderId="25" xfId="4" applyNumberFormat="1" applyFont="1" applyFill="1" applyBorder="1"/>
    <xf numFmtId="167" fontId="7" fillId="10" borderId="23" xfId="4" applyNumberFormat="1" applyFont="1" applyFill="1" applyBorder="1"/>
    <xf numFmtId="167" fontId="7" fillId="10" borderId="22" xfId="4" applyNumberFormat="1" applyFont="1" applyFill="1" applyBorder="1"/>
    <xf numFmtId="167" fontId="7" fillId="10" borderId="24" xfId="4" applyNumberFormat="1" applyFont="1" applyFill="1" applyBorder="1"/>
    <xf numFmtId="167" fontId="7" fillId="10" borderId="0" xfId="4" applyNumberFormat="1" applyFont="1" applyFill="1"/>
    <xf numFmtId="167" fontId="7" fillId="11" borderId="22" xfId="4" applyNumberFormat="1" applyFont="1" applyFill="1" applyBorder="1"/>
    <xf numFmtId="167" fontId="7" fillId="11" borderId="0" xfId="4" applyNumberFormat="1" applyFont="1" applyFill="1"/>
    <xf numFmtId="164" fontId="7" fillId="11" borderId="2" xfId="3" applyNumberFormat="1" applyFont="1" applyFill="1" applyBorder="1"/>
    <xf numFmtId="164" fontId="7" fillId="11" borderId="9" xfId="3" applyNumberFormat="1" applyFont="1" applyFill="1" applyBorder="1"/>
    <xf numFmtId="167" fontId="7" fillId="11" borderId="25" xfId="4" applyNumberFormat="1" applyFont="1" applyFill="1" applyBorder="1"/>
    <xf numFmtId="167" fontId="7" fillId="11" borderId="23" xfId="4" applyNumberFormat="1" applyFont="1" applyFill="1" applyBorder="1"/>
    <xf numFmtId="167" fontId="7" fillId="11" borderId="24" xfId="4" applyNumberFormat="1" applyFont="1" applyFill="1" applyBorder="1"/>
    <xf numFmtId="167" fontId="7" fillId="10" borderId="26" xfId="4" applyNumberFormat="1" applyFont="1" applyFill="1" applyBorder="1"/>
    <xf numFmtId="164" fontId="7" fillId="9" borderId="1" xfId="3" applyNumberFormat="1" applyFont="1" applyFill="1" applyBorder="1"/>
    <xf numFmtId="164" fontId="7" fillId="10" borderId="2" xfId="3" applyNumberFormat="1" applyFont="1" applyFill="1" applyBorder="1"/>
    <xf numFmtId="164" fontId="7" fillId="10" borderId="9" xfId="3" applyNumberFormat="1" applyFont="1" applyFill="1" applyBorder="1"/>
    <xf numFmtId="164" fontId="7" fillId="9" borderId="2" xfId="3" applyNumberFormat="1" applyFont="1" applyFill="1" applyBorder="1"/>
    <xf numFmtId="0" fontId="6" fillId="2" borderId="6" xfId="0" applyFont="1" applyFill="1" applyBorder="1" applyAlignment="1">
      <alignment horizontal="center" vertical="center" wrapText="1"/>
    </xf>
    <xf numFmtId="168" fontId="7" fillId="0" borderId="0" xfId="0" applyNumberFormat="1" applyFont="1"/>
    <xf numFmtId="0" fontId="17" fillId="0" borderId="0" xfId="0" applyFont="1" applyAlignment="1">
      <alignment wrapText="1"/>
    </xf>
    <xf numFmtId="1" fontId="7" fillId="0" borderId="0" xfId="0" applyNumberFormat="1" applyFont="1"/>
    <xf numFmtId="167" fontId="17" fillId="0" borderId="0" xfId="0" applyNumberFormat="1" applyFont="1" applyAlignment="1">
      <alignment wrapText="1"/>
    </xf>
    <xf numFmtId="167" fontId="7" fillId="4" borderId="22" xfId="4" applyNumberFormat="1" applyFont="1" applyFill="1" applyBorder="1"/>
    <xf numFmtId="167" fontId="7" fillId="4" borderId="25" xfId="4" applyNumberFormat="1" applyFont="1" applyFill="1" applyBorder="1"/>
    <xf numFmtId="0" fontId="18" fillId="4" borderId="0" xfId="0" applyFont="1" applyFill="1"/>
    <xf numFmtId="0" fontId="7" fillId="4" borderId="0" xfId="0" applyFont="1" applyFill="1"/>
    <xf numFmtId="44" fontId="7" fillId="4" borderId="0" xfId="3" applyFont="1" applyFill="1"/>
    <xf numFmtId="164" fontId="7" fillId="4" borderId="1" xfId="3" applyNumberFormat="1" applyFont="1" applyFill="1" applyBorder="1"/>
    <xf numFmtId="164" fontId="7" fillId="4" borderId="2" xfId="3" applyNumberFormat="1" applyFont="1" applyFill="1" applyBorder="1"/>
    <xf numFmtId="164" fontId="7" fillId="9" borderId="3" xfId="0" applyNumberFormat="1" applyFont="1" applyFill="1" applyBorder="1"/>
    <xf numFmtId="164" fontId="7" fillId="12" borderId="8" xfId="3" applyNumberFormat="1" applyFont="1" applyFill="1" applyBorder="1"/>
    <xf numFmtId="167" fontId="7" fillId="12" borderId="22" xfId="4" applyNumberFormat="1" applyFont="1" applyFill="1" applyBorder="1"/>
    <xf numFmtId="37" fontId="20" fillId="12" borderId="6" xfId="5" applyNumberFormat="1" applyFont="1" applyFill="1" applyBorder="1"/>
    <xf numFmtId="37" fontId="19" fillId="12" borderId="21" xfId="5" applyNumberFormat="1" applyFont="1" applyFill="1" applyBorder="1"/>
    <xf numFmtId="10" fontId="7" fillId="0" borderId="0" xfId="1" applyNumberFormat="1" applyFont="1"/>
    <xf numFmtId="44" fontId="7" fillId="9" borderId="1" xfId="3" applyFont="1" applyFill="1" applyBorder="1"/>
    <xf numFmtId="169" fontId="0" fillId="0" borderId="0" xfId="1" applyNumberFormat="1" applyFont="1"/>
    <xf numFmtId="0" fontId="7" fillId="4" borderId="5" xfId="0" applyFont="1" applyFill="1" applyBorder="1"/>
    <xf numFmtId="164" fontId="7" fillId="9" borderId="1" xfId="0" applyNumberFormat="1" applyFont="1" applyFill="1" applyBorder="1"/>
    <xf numFmtId="10" fontId="7" fillId="0" borderId="1" xfId="0" applyNumberFormat="1" applyFont="1" applyBorder="1"/>
    <xf numFmtId="164" fontId="7" fillId="0" borderId="4" xfId="0" applyNumberFormat="1" applyFont="1" applyBorder="1"/>
    <xf numFmtId="0" fontId="7" fillId="9" borderId="1" xfId="3" applyNumberFormat="1" applyFont="1" applyFill="1" applyBorder="1"/>
    <xf numFmtId="44" fontId="7" fillId="9" borderId="1" xfId="0" applyNumberFormat="1" applyFont="1" applyFill="1" applyBorder="1"/>
    <xf numFmtId="1" fontId="7" fillId="9" borderId="4" xfId="0" applyNumberFormat="1" applyFont="1" applyFill="1" applyBorder="1"/>
    <xf numFmtId="9" fontId="7" fillId="0" borderId="1" xfId="0" applyNumberFormat="1" applyFont="1" applyBorder="1"/>
    <xf numFmtId="167" fontId="7" fillId="9" borderId="4" xfId="4" applyNumberFormat="1" applyFont="1" applyFill="1" applyBorder="1"/>
    <xf numFmtId="167" fontId="7" fillId="0" borderId="0" xfId="0" applyNumberFormat="1" applyFont="1"/>
    <xf numFmtId="167" fontId="7" fillId="9" borderId="4" xfId="0" applyNumberFormat="1" applyFont="1" applyFill="1" applyBorder="1"/>
    <xf numFmtId="44" fontId="7" fillId="0" borderId="0" xfId="0" applyNumberFormat="1" applyFont="1"/>
    <xf numFmtId="0" fontId="7" fillId="9" borderId="4" xfId="0" applyFont="1" applyFill="1" applyBorder="1" applyAlignment="1">
      <alignment wrapText="1"/>
    </xf>
    <xf numFmtId="0" fontId="7" fillId="9" borderId="13" xfId="0" applyFont="1" applyFill="1" applyBorder="1" applyAlignment="1">
      <alignment horizontal="left"/>
    </xf>
    <xf numFmtId="0" fontId="7" fillId="9" borderId="6" xfId="0" applyFont="1" applyFill="1" applyBorder="1" applyAlignment="1">
      <alignment horizontal="left"/>
    </xf>
    <xf numFmtId="0" fontId="8" fillId="4" borderId="0" xfId="0" applyFont="1" applyFill="1"/>
    <xf numFmtId="0" fontId="7" fillId="13" borderId="0" xfId="0" applyFont="1" applyFill="1"/>
    <xf numFmtId="8" fontId="7" fillId="9" borderId="1" xfId="0" applyNumberFormat="1" applyFont="1" applyFill="1" applyBorder="1"/>
    <xf numFmtId="0" fontId="7" fillId="14" borderId="0" xfId="0" applyFont="1" applyFill="1"/>
    <xf numFmtId="0" fontId="7" fillId="14" borderId="5" xfId="0" applyFont="1" applyFill="1" applyBorder="1"/>
    <xf numFmtId="0" fontId="7" fillId="14" borderId="0" xfId="2" applyFont="1" applyFill="1"/>
    <xf numFmtId="0" fontId="6" fillId="14" borderId="0" xfId="0" applyFont="1" applyFill="1"/>
    <xf numFmtId="6" fontId="7" fillId="9" borderId="1" xfId="0" applyNumberFormat="1" applyFont="1" applyFill="1" applyBorder="1" applyAlignment="1">
      <alignment horizontal="right"/>
    </xf>
    <xf numFmtId="44" fontId="7" fillId="9" borderId="3" xfId="3" applyFont="1" applyFill="1" applyBorder="1"/>
    <xf numFmtId="44" fontId="7" fillId="9" borderId="2" xfId="3" applyFont="1" applyFill="1" applyBorder="1"/>
    <xf numFmtId="168" fontId="7" fillId="9" borderId="3" xfId="1" applyNumberFormat="1" applyFont="1" applyFill="1" applyBorder="1"/>
    <xf numFmtId="0" fontId="7" fillId="0" borderId="0" xfId="0" applyFont="1" applyAlignment="1">
      <alignment vertical="center" wrapText="1"/>
    </xf>
    <xf numFmtId="164" fontId="7" fillId="0" borderId="1" xfId="3" applyNumberFormat="1" applyFont="1" applyBorder="1" applyAlignment="1">
      <alignment vertical="center" wrapText="1"/>
    </xf>
    <xf numFmtId="6" fontId="7" fillId="0" borderId="0" xfId="0" applyNumberFormat="1" applyFont="1"/>
    <xf numFmtId="164" fontId="7" fillId="9" borderId="4" xfId="0" applyNumberFormat="1" applyFont="1" applyFill="1" applyBorder="1"/>
    <xf numFmtId="0" fontId="24" fillId="15" borderId="0" xfId="0" applyFont="1" applyFill="1" applyAlignment="1">
      <alignment horizontal="center" vertical="center"/>
    </xf>
    <xf numFmtId="0" fontId="24" fillId="15" borderId="0" xfId="0" applyFont="1" applyFill="1" applyAlignment="1">
      <alignment horizontal="center"/>
    </xf>
    <xf numFmtId="0" fontId="13" fillId="15" borderId="0" xfId="0" applyFont="1" applyFill="1" applyAlignment="1">
      <alignment vertical="center"/>
    </xf>
    <xf numFmtId="0" fontId="13" fillId="15" borderId="0" xfId="0" applyFont="1" applyFill="1"/>
    <xf numFmtId="8" fontId="13" fillId="15" borderId="0" xfId="0" applyNumberFormat="1" applyFont="1" applyFill="1"/>
    <xf numFmtId="164" fontId="7" fillId="0" borderId="1" xfId="0" applyNumberFormat="1" applyFont="1" applyBorder="1"/>
    <xf numFmtId="0" fontId="6" fillId="3" borderId="15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164" fontId="7" fillId="0" borderId="0" xfId="3" applyNumberFormat="1" applyFont="1" applyAlignment="1">
      <alignment horizontal="left"/>
    </xf>
    <xf numFmtId="0" fontId="7" fillId="9" borderId="4" xfId="0" applyFont="1" applyFill="1" applyBorder="1" applyAlignment="1">
      <alignment horizontal="left"/>
    </xf>
    <xf numFmtId="0" fontId="6" fillId="3" borderId="13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7" fillId="9" borderId="3" xfId="0" applyFont="1" applyFill="1" applyBorder="1" applyAlignment="1">
      <alignment horizontal="left"/>
    </xf>
    <xf numFmtId="0" fontId="6" fillId="9" borderId="13" xfId="0" applyFont="1" applyFill="1" applyBorder="1" applyAlignment="1">
      <alignment horizontal="left"/>
    </xf>
    <xf numFmtId="0" fontId="6" fillId="9" borderId="6" xfId="0" applyFont="1" applyFill="1" applyBorder="1" applyAlignment="1">
      <alignment horizontal="left"/>
    </xf>
    <xf numFmtId="0" fontId="7" fillId="9" borderId="13" xfId="0" applyFont="1" applyFill="1" applyBorder="1" applyAlignment="1">
      <alignment horizontal="left"/>
    </xf>
    <xf numFmtId="0" fontId="7" fillId="9" borderId="6" xfId="0" applyFont="1" applyFill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6" fillId="9" borderId="3" xfId="0" applyFont="1" applyFill="1" applyBorder="1" applyAlignment="1">
      <alignment horizontal="left"/>
    </xf>
    <xf numFmtId="0" fontId="6" fillId="3" borderId="3" xfId="0" applyFont="1" applyFill="1" applyBorder="1" applyAlignment="1">
      <alignment horizontal="left"/>
    </xf>
    <xf numFmtId="0" fontId="7" fillId="0" borderId="8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6" fillId="3" borderId="19" xfId="0" applyFont="1" applyFill="1" applyBorder="1" applyAlignment="1">
      <alignment horizontal="center"/>
    </xf>
    <xf numFmtId="0" fontId="6" fillId="3" borderId="20" xfId="0" applyFont="1" applyFill="1" applyBorder="1" applyAlignment="1">
      <alignment horizontal="center"/>
    </xf>
    <xf numFmtId="0" fontId="6" fillId="3" borderId="12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6" fillId="2" borderId="1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6" fillId="0" borderId="11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24" fillId="15" borderId="0" xfId="0" applyFont="1" applyFill="1" applyAlignment="1">
      <alignment horizontal="center" vertical="center"/>
    </xf>
  </cellXfs>
  <cellStyles count="7">
    <cellStyle name="Comma" xfId="4" builtinId="3"/>
    <cellStyle name="Currency" xfId="3" builtinId="4"/>
    <cellStyle name="Normal" xfId="0" builtinId="0"/>
    <cellStyle name="Normal 2" xfId="2" xr:uid="{00000000-0005-0000-0000-000003000000}"/>
    <cellStyle name="Normal 2 2 2" xfId="6" xr:uid="{00000000-0005-0000-0000-000004000000}"/>
    <cellStyle name="Normal 4" xfId="5" xr:uid="{00000000-0005-0000-0000-000005000000}"/>
    <cellStyle name="Percent" xfId="1" builtinId="5"/>
  </cellStyles>
  <dxfs count="0"/>
  <tableStyles count="0" defaultTableStyle="TableStyleMedium9" defaultPivotStyle="PivotStyleLight16"/>
  <colors>
    <mruColors>
      <color rgb="FF3333CC"/>
      <color rgb="FFFFFF99"/>
      <color rgb="FF6633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E17"/>
  <sheetViews>
    <sheetView tabSelected="1" workbookViewId="0" xr3:uid="{AEA406A1-0E4B-5B11-9CD5-51D6E497D94C}">
      <selection activeCell="K23" sqref="K23"/>
    </sheetView>
  </sheetViews>
  <sheetFormatPr defaultColWidth="9.140625" defaultRowHeight="12.75"/>
  <cols>
    <col min="1" max="16384" width="9.140625" style="2"/>
  </cols>
  <sheetData>
    <row r="1" spans="1:5">
      <c r="A1" s="1" t="s">
        <v>0</v>
      </c>
    </row>
    <row r="2" spans="1:5">
      <c r="A2" s="1" t="s">
        <v>1</v>
      </c>
    </row>
    <row r="3" spans="1:5">
      <c r="A3" s="1" t="s">
        <v>2</v>
      </c>
    </row>
    <row r="5" spans="1:5">
      <c r="A5" s="1"/>
    </row>
    <row r="6" spans="1:5">
      <c r="A6" s="127" t="s">
        <v>3</v>
      </c>
    </row>
    <row r="7" spans="1:5">
      <c r="A7" s="107" t="s">
        <v>4</v>
      </c>
    </row>
    <row r="8" spans="1:5">
      <c r="A8" s="107" t="s">
        <v>5</v>
      </c>
    </row>
    <row r="9" spans="1:5">
      <c r="A9" s="107" t="s">
        <v>6</v>
      </c>
    </row>
    <row r="10" spans="1:5">
      <c r="A10" s="107" t="s">
        <v>7</v>
      </c>
      <c r="D10" s="128"/>
      <c r="E10" s="2" t="s">
        <v>8</v>
      </c>
    </row>
    <row r="11" spans="1:5">
      <c r="A11" s="107"/>
    </row>
    <row r="12" spans="1:5">
      <c r="A12" s="105" t="s">
        <v>9</v>
      </c>
    </row>
    <row r="13" spans="1:5">
      <c r="A13" s="107" t="s">
        <v>10</v>
      </c>
    </row>
    <row r="14" spans="1:5">
      <c r="A14" s="107" t="s">
        <v>11</v>
      </c>
    </row>
    <row r="15" spans="1:5">
      <c r="A15" s="107" t="s">
        <v>12</v>
      </c>
    </row>
    <row r="16" spans="1:5">
      <c r="A16" s="107" t="s">
        <v>13</v>
      </c>
    </row>
    <row r="17" spans="1:1">
      <c r="A17" s="2" t="s">
        <v>14</v>
      </c>
    </row>
  </sheetData>
  <pageMargins left="0.7" right="0.7" top="0.75" bottom="0.75" header="0.3" footer="0.3"/>
  <pageSetup orientation="landscape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39997558519241921"/>
  </sheetPr>
  <dimension ref="A1:X259"/>
  <sheetViews>
    <sheetView topLeftCell="C55" zoomScale="70" zoomScaleNormal="70" workbookViewId="0" xr3:uid="{7BE570AB-09E9-518F-B8F7-3F91B7162CA9}">
      <selection activeCell="Y81" sqref="Y81"/>
    </sheetView>
  </sheetViews>
  <sheetFormatPr defaultColWidth="9.140625" defaultRowHeight="12.75"/>
  <cols>
    <col min="1" max="1" width="9.5703125" style="2" customWidth="1"/>
    <col min="2" max="2" width="39.85546875" style="2" customWidth="1"/>
    <col min="3" max="3" width="21.28515625" style="2" customWidth="1"/>
    <col min="4" max="4" width="8.7109375" style="2" customWidth="1"/>
    <col min="5" max="5" width="14" style="2" bestFit="1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343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">
        <v>343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K4" s="2" t="s">
        <v>218</v>
      </c>
      <c r="V4" s="32"/>
    </row>
    <row r="5" spans="1:22" ht="12.75" customHeight="1">
      <c r="A5" s="1"/>
      <c r="B5" s="28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f>114+114</f>
        <v>228</v>
      </c>
      <c r="E8" s="109">
        <f>+C8</f>
        <v>228</v>
      </c>
      <c r="G8" s="109">
        <f>+E8</f>
        <v>228</v>
      </c>
      <c r="I8" s="109">
        <f>+G8</f>
        <v>228</v>
      </c>
      <c r="K8" s="109">
        <f>+I8</f>
        <v>228</v>
      </c>
      <c r="M8" s="109">
        <f>+K8</f>
        <v>228</v>
      </c>
      <c r="O8" s="109">
        <f>+M8</f>
        <v>228</v>
      </c>
      <c r="Q8" s="109">
        <f>+O8</f>
        <v>228</v>
      </c>
      <c r="S8" s="109">
        <f>+Q8</f>
        <v>228</v>
      </c>
      <c r="U8" s="109">
        <f>+S8</f>
        <v>228</v>
      </c>
    </row>
    <row r="9" spans="1:22" ht="12.75" customHeight="1"/>
    <row r="10" spans="1:22" ht="12.75" customHeight="1">
      <c r="A10" s="2" t="s">
        <v>350</v>
      </c>
      <c r="C10" s="209">
        <f>(168394*2)+((C19+C20)/6)</f>
        <v>428454.66666666669</v>
      </c>
      <c r="E10" s="209">
        <f>111983*2+((E19+E20)/6)</f>
        <v>346049.33333333331</v>
      </c>
      <c r="G10" s="109">
        <f>115931*2+((G19+G20)/6)</f>
        <v>356387</v>
      </c>
      <c r="I10" s="209">
        <f>+G10*1.03</f>
        <v>367078.61</v>
      </c>
      <c r="J10" s="186"/>
      <c r="K10" s="209">
        <f>+I10*1.03</f>
        <v>378090.96830000001</v>
      </c>
      <c r="L10" s="186"/>
      <c r="M10" s="209">
        <f>+K10*1.03</f>
        <v>389433.69734900002</v>
      </c>
      <c r="N10" s="186"/>
      <c r="O10" s="209">
        <f>+M10*1.03</f>
        <v>401116.70826947002</v>
      </c>
      <c r="P10" s="186"/>
      <c r="Q10" s="209">
        <f>+O10*1.03</f>
        <v>413150.20951755415</v>
      </c>
      <c r="R10" s="186"/>
      <c r="S10" s="209">
        <f>+Q10*1.03</f>
        <v>425544.71580308076</v>
      </c>
      <c r="T10" s="186"/>
      <c r="U10" s="209">
        <f>+S10*1.03</f>
        <v>438311.05727717321</v>
      </c>
    </row>
    <row r="11" spans="1:22" ht="12.75" customHeight="1"/>
    <row r="12" spans="1:22" ht="12.75" customHeight="1">
      <c r="A12" s="2" t="s">
        <v>351</v>
      </c>
      <c r="C12" s="110">
        <f>+C33/C10</f>
        <v>2.3433820800955991</v>
      </c>
      <c r="E12" s="110">
        <f>+E33/E10</f>
        <v>3.5168632988745343</v>
      </c>
      <c r="G12" s="110">
        <f>+G33/G10</f>
        <v>3.6307382822605763</v>
      </c>
      <c r="I12" s="110">
        <f>+I33/I10</f>
        <v>3.4242336475775583</v>
      </c>
      <c r="K12" s="110">
        <f>+K33/K10</f>
        <v>3.5355427616580815</v>
      </c>
      <c r="M12" s="110">
        <f>+M33/M10</f>
        <v>3.5017347785486619</v>
      </c>
      <c r="O12" s="110">
        <f>+O33/O10</f>
        <v>3.7152645985649522</v>
      </c>
      <c r="Q12" s="110">
        <f>+Q33/Q10</f>
        <v>3.6788782027337135</v>
      </c>
      <c r="S12" s="110">
        <f>+S33/S10</f>
        <v>3.6432138120389577</v>
      </c>
      <c r="U12" s="110">
        <f>+U33/U10</f>
        <v>3.6883949025691334</v>
      </c>
    </row>
    <row r="13" spans="1:22" ht="12.75" customHeight="1">
      <c r="A13" s="2" t="s">
        <v>352</v>
      </c>
      <c r="C13" s="119">
        <f>+C10/((C37+C38+C39)/10.5)</f>
        <v>7.8612100825652007</v>
      </c>
      <c r="D13" s="120"/>
      <c r="E13" s="119">
        <f>+E10/((E37+E38+E39)/9.5)</f>
        <v>7.4679293463224248</v>
      </c>
      <c r="F13" s="120"/>
      <c r="G13" s="119">
        <f>+G10/((G37+G38+G39)/9.5)</f>
        <v>8.4385207020470183</v>
      </c>
      <c r="H13" s="120"/>
      <c r="I13" s="119">
        <f>+I10/((I37+I38+I39)/9.5)</f>
        <v>8.4796842176667617</v>
      </c>
      <c r="J13" s="120"/>
      <c r="K13" s="119">
        <f>+K10/((K37+K38+K39)/9.5)</f>
        <v>8.5210485309236716</v>
      </c>
      <c r="L13" s="120"/>
      <c r="M13" s="119">
        <f>+M10/((M37+M38+M39)/9.5)</f>
        <v>8.5626146213184242</v>
      </c>
      <c r="N13" s="120"/>
      <c r="O13" s="119">
        <f>+O10/((O37+O38+O39)/9.5)</f>
        <v>8.6043834731297331</v>
      </c>
      <c r="P13" s="120"/>
      <c r="Q13" s="119">
        <f>+Q10/((Q37+Q38+Q39)/9.5)</f>
        <v>8.6463560754376836</v>
      </c>
      <c r="R13" s="120"/>
      <c r="S13" s="119">
        <f>+S10/((S37+S38+S39)/9.5)</f>
        <v>8.6885334221471364</v>
      </c>
      <c r="T13" s="120"/>
      <c r="U13" s="119">
        <f>+U10/((U37+U38+U39)/9.5)</f>
        <v>8.7309165120112695</v>
      </c>
    </row>
    <row r="14" spans="1:22" ht="12.75" customHeight="1">
      <c r="C14" s="214"/>
    </row>
    <row r="15" spans="1:22" ht="12.75" customHeight="1">
      <c r="A15" s="39">
        <v>7.0000000000000007E-2</v>
      </c>
      <c r="E15" s="186">
        <v>1500032</v>
      </c>
      <c r="F15" s="186"/>
      <c r="G15" s="186">
        <v>1616446.38</v>
      </c>
      <c r="H15" s="186"/>
      <c r="I15" s="186">
        <v>1312675.3075999999</v>
      </c>
      <c r="J15" s="186"/>
      <c r="K15" s="186">
        <v>1405848.8137520002</v>
      </c>
      <c r="L15" s="186"/>
      <c r="M15" s="186">
        <v>1394965.7900270401</v>
      </c>
      <c r="N15" s="186"/>
      <c r="O15" s="186">
        <v>1380025.1058275811</v>
      </c>
      <c r="P15" s="186"/>
      <c r="Q15" s="186">
        <v>1365025.6079441328</v>
      </c>
      <c r="R15" s="186"/>
      <c r="S15" s="186">
        <v>1347966.1201030146</v>
      </c>
      <c r="T15" s="186"/>
      <c r="U15" s="186">
        <v>1329845.4425050756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>
        <v>550000</v>
      </c>
      <c r="D17" s="78"/>
      <c r="E17" s="78">
        <v>718000</v>
      </c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111">
        <f>+C17-C20</f>
        <v>481910</v>
      </c>
      <c r="D19" s="80">
        <f>IFERROR(C19/C$28,0)</f>
        <v>9.0235162671766719E-2</v>
      </c>
      <c r="E19" s="111">
        <f>+E17-E20+14500</f>
        <v>350021.39999999997</v>
      </c>
      <c r="F19" s="80">
        <f>IFERROR(E19/E$28,0)</f>
        <v>6.6149859959858934E-2</v>
      </c>
      <c r="G19" s="111">
        <f>+E19*1.02</f>
        <v>357021.82799999998</v>
      </c>
      <c r="H19" s="80">
        <f>IFERROR(G19/G$28,0)</f>
        <v>6.3460838650650234E-2</v>
      </c>
      <c r="I19" s="111">
        <f>+G19*1.02</f>
        <v>364162.26455999998</v>
      </c>
      <c r="J19" s="80">
        <f>IFERROR(I19/I$28,0)</f>
        <v>6.0840358831807169E-2</v>
      </c>
      <c r="K19" s="111">
        <f>+I19*1.02</f>
        <v>371445.50985119998</v>
      </c>
      <c r="L19" s="80">
        <f>IFERROR(K19/K$28,0)</f>
        <v>5.8352841648364746E-2</v>
      </c>
      <c r="M19" s="111">
        <f>+K19*1.02</f>
        <v>378874.42004822398</v>
      </c>
      <c r="N19" s="80">
        <f>IFERROR(M19/M$28,0)</f>
        <v>5.8344215125845589E-2</v>
      </c>
      <c r="O19" s="111">
        <f>+M19*1.02</f>
        <v>386451.90844918846</v>
      </c>
      <c r="P19" s="80">
        <f>IFERROR(O19/O$28,0)</f>
        <v>5.8346857784516482E-2</v>
      </c>
      <c r="Q19" s="111">
        <f>+O19*1.02</f>
        <v>394180.94661817222</v>
      </c>
      <c r="R19" s="80">
        <f>IFERROR(Q19/Q$28,0)</f>
        <v>5.8351867402358336E-2</v>
      </c>
      <c r="S19" s="111">
        <f>+Q19*1.02</f>
        <v>402064.56555053568</v>
      </c>
      <c r="T19" s="80">
        <f>IFERROR(S19/S$28,0)</f>
        <v>5.8351020550557485E-2</v>
      </c>
      <c r="U19" s="111">
        <f>+S19*1.02</f>
        <v>410105.8568615464</v>
      </c>
      <c r="V19" s="80">
        <f>IFERROR(U19/U$28,0)</f>
        <v>5.8345043472207911E-2</v>
      </c>
    </row>
    <row r="20" spans="1:24" ht="12.75" customHeight="1">
      <c r="A20" s="2" t="s">
        <v>357</v>
      </c>
      <c r="B20" s="35"/>
      <c r="C20" s="111">
        <f>+C17*12.38%</f>
        <v>68090</v>
      </c>
      <c r="D20" s="80">
        <f>IFERROR(C20/C$28,0)</f>
        <v>1.2749501413792193E-2</v>
      </c>
      <c r="E20" s="111">
        <f>+E17*53.27%</f>
        <v>382478.60000000003</v>
      </c>
      <c r="F20" s="80">
        <f>IFERROR(E20/E$28,0)</f>
        <v>7.228388272157904E-2</v>
      </c>
      <c r="G20" s="111">
        <f>+E20*1.02</f>
        <v>390128.17200000002</v>
      </c>
      <c r="H20" s="80">
        <f>IFERROR(G20/G$28,0)</f>
        <v>6.9345510651424719E-2</v>
      </c>
      <c r="I20" s="111">
        <f>+G20*1.02</f>
        <v>397930.73544000002</v>
      </c>
      <c r="J20" s="80">
        <f>IFERROR(I20/I$28,0)</f>
        <v>6.6482035868341893E-2</v>
      </c>
      <c r="K20" s="111">
        <f>+I20*1.02</f>
        <v>405889.3501488</v>
      </c>
      <c r="L20" s="80">
        <f>IFERROR(K20/K$28,0)</f>
        <v>6.3763853237797014E-2</v>
      </c>
      <c r="M20" s="111">
        <f>+K20*1.02</f>
        <v>414007.137151776</v>
      </c>
      <c r="N20" s="80">
        <f>IFERROR(M20/M$28,0)</f>
        <v>6.375442678485442E-2</v>
      </c>
      <c r="O20" s="111">
        <f>+M20*1.02</f>
        <v>422287.27989481151</v>
      </c>
      <c r="P20" s="80">
        <f>IFERROR(O20/O$28,0)</f>
        <v>6.3757314495116485E-2</v>
      </c>
      <c r="Q20" s="111">
        <f>+O20*1.02</f>
        <v>430733.02549270773</v>
      </c>
      <c r="R20" s="80">
        <f>IFERROR(Q20/Q$28,0)</f>
        <v>6.376278865075008E-2</v>
      </c>
      <c r="S20" s="111">
        <f>+Q20*1.02</f>
        <v>439347.68600256188</v>
      </c>
      <c r="T20" s="80">
        <f>IFERROR(S20/S$28,0)</f>
        <v>6.3761863271069863E-2</v>
      </c>
      <c r="U20" s="111">
        <f>+S20*1.02</f>
        <v>448134.63972261315</v>
      </c>
      <c r="V20" s="80">
        <f>IFERROR(U20/U$28,0)</f>
        <v>6.3755331943101817E-2</v>
      </c>
    </row>
    <row r="21" spans="1:24" ht="12.75" customHeight="1">
      <c r="A21" s="122" t="s">
        <v>358</v>
      </c>
      <c r="B21" s="35"/>
      <c r="C21" s="225"/>
      <c r="D21" s="80">
        <f>IFERROR(C21/C$28,0)</f>
        <v>0</v>
      </c>
      <c r="E21" s="111">
        <f>+C21*1.02</f>
        <v>0</v>
      </c>
      <c r="F21" s="80">
        <f>IFERROR(E21/E$28,0)</f>
        <v>0</v>
      </c>
      <c r="G21" s="111">
        <f t="shared" ref="E21:U27" si="0">+E21*1.02</f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111"/>
      <c r="D22" s="80"/>
      <c r="E22" s="134"/>
      <c r="F22" s="80"/>
      <c r="G22" s="134"/>
      <c r="H22" s="80"/>
      <c r="I22" s="134"/>
      <c r="J22" s="80"/>
      <c r="K22" s="134"/>
      <c r="L22" s="80"/>
      <c r="M22" s="134"/>
      <c r="N22" s="80"/>
      <c r="O22" s="134"/>
      <c r="P22" s="80"/>
      <c r="Q22" s="134"/>
      <c r="R22" s="80"/>
      <c r="S22" s="134"/>
      <c r="T22" s="80"/>
      <c r="U22" s="134"/>
      <c r="V22" s="80"/>
    </row>
    <row r="23" spans="1:24" ht="12.75" customHeight="1">
      <c r="A23" s="2" t="s">
        <v>360</v>
      </c>
      <c r="B23" s="35"/>
      <c r="C23" s="111">
        <v>4110896</v>
      </c>
      <c r="D23" s="80">
        <f t="shared" ref="D23:D28" si="1">IFERROR(C23/C$28,0)</f>
        <v>0.76974407936485056</v>
      </c>
      <c r="E23" s="111">
        <v>0</v>
      </c>
      <c r="F23" s="80">
        <f t="shared" ref="F23:F28" si="2">IFERROR(E23/E$28,0)</f>
        <v>0</v>
      </c>
      <c r="G23" s="111">
        <f t="shared" si="0"/>
        <v>0</v>
      </c>
      <c r="H23" s="80">
        <f t="shared" ref="H23:H28" si="3">IFERROR(G23/G$28,0)</f>
        <v>0</v>
      </c>
      <c r="I23" s="111">
        <v>0</v>
      </c>
      <c r="J23" s="80">
        <f t="shared" ref="J23:J28" si="4">IFERROR(I23/I$28,0)</f>
        <v>0</v>
      </c>
      <c r="K23" s="111">
        <f t="shared" si="0"/>
        <v>0</v>
      </c>
      <c r="L23" s="80">
        <f t="shared" ref="L23:L28" si="5">IFERROR(K23/K$28,0)</f>
        <v>0</v>
      </c>
      <c r="M23" s="111">
        <f t="shared" si="0"/>
        <v>0</v>
      </c>
      <c r="N23" s="80">
        <f t="shared" ref="N23:N28" si="6">IFERROR(M23/M$28,0)</f>
        <v>0</v>
      </c>
      <c r="O23" s="111">
        <f t="shared" si="0"/>
        <v>0</v>
      </c>
      <c r="P23" s="80">
        <f t="shared" ref="P23:P28" si="7">IFERROR(O23/O$28,0)</f>
        <v>0</v>
      </c>
      <c r="Q23" s="111">
        <f t="shared" si="0"/>
        <v>0</v>
      </c>
      <c r="R23" s="80">
        <f t="shared" ref="R23:R28" si="8">IFERROR(Q23/Q$28,0)</f>
        <v>0</v>
      </c>
      <c r="S23" s="111">
        <f t="shared" si="0"/>
        <v>0</v>
      </c>
      <c r="T23" s="80">
        <f t="shared" ref="T23:T28" si="9">IFERROR(S23/S$28,0)</f>
        <v>0</v>
      </c>
      <c r="U23" s="111">
        <f t="shared" si="0"/>
        <v>0</v>
      </c>
      <c r="V23" s="80">
        <f t="shared" ref="V23:V28" si="10">IFERROR(U23/U$28,0)</f>
        <v>0</v>
      </c>
    </row>
    <row r="24" spans="1:24" ht="12.75" customHeight="1">
      <c r="A24" s="2" t="s">
        <v>361</v>
      </c>
      <c r="B24" s="35"/>
      <c r="C24" s="111">
        <f>559104+201</f>
        <v>559305</v>
      </c>
      <c r="D24" s="80">
        <f t="shared" si="1"/>
        <v>0.10472697735704277</v>
      </c>
      <c r="E24" s="111">
        <v>4436032</v>
      </c>
      <c r="F24" s="80"/>
      <c r="G24" s="111">
        <v>4753446.38</v>
      </c>
      <c r="H24" s="80"/>
      <c r="I24" s="111">
        <v>5095675.3075999999</v>
      </c>
      <c r="J24" s="80"/>
      <c r="K24" s="111">
        <v>5457848.8137520002</v>
      </c>
      <c r="L24" s="80"/>
      <c r="M24" s="111">
        <v>5567965.7900270401</v>
      </c>
      <c r="N24" s="80"/>
      <c r="O24" s="111">
        <v>5679025.1058275811</v>
      </c>
      <c r="P24" s="80"/>
      <c r="Q24" s="111">
        <v>5792025.6079441328</v>
      </c>
      <c r="R24" s="80"/>
      <c r="S24" s="111">
        <v>5907966.1201030146</v>
      </c>
      <c r="T24" s="80"/>
      <c r="U24" s="111">
        <v>6026845.4425050756</v>
      </c>
      <c r="V24" s="80">
        <f t="shared" si="10"/>
        <v>0.85742876737785978</v>
      </c>
    </row>
    <row r="25" spans="1:24" ht="12.75" customHeight="1">
      <c r="A25" s="2" t="s">
        <v>362</v>
      </c>
      <c r="B25" s="35"/>
      <c r="C25" s="111">
        <v>0</v>
      </c>
      <c r="D25" s="80">
        <f t="shared" si="1"/>
        <v>0</v>
      </c>
      <c r="E25" s="111">
        <f t="shared" si="0"/>
        <v>0</v>
      </c>
      <c r="F25" s="80">
        <f t="shared" si="2"/>
        <v>0</v>
      </c>
      <c r="G25" s="111">
        <f t="shared" si="0"/>
        <v>0</v>
      </c>
      <c r="H25" s="80">
        <f t="shared" si="3"/>
        <v>0</v>
      </c>
      <c r="I25" s="111">
        <f t="shared" si="0"/>
        <v>0</v>
      </c>
      <c r="J25" s="80">
        <f t="shared" si="4"/>
        <v>0</v>
      </c>
      <c r="K25" s="111">
        <f t="shared" si="0"/>
        <v>0</v>
      </c>
      <c r="L25" s="80">
        <f t="shared" si="5"/>
        <v>0</v>
      </c>
      <c r="M25" s="111">
        <f t="shared" si="0"/>
        <v>0</v>
      </c>
      <c r="N25" s="80">
        <f t="shared" si="6"/>
        <v>0</v>
      </c>
      <c r="O25" s="111">
        <f t="shared" si="0"/>
        <v>0</v>
      </c>
      <c r="P25" s="80">
        <f t="shared" si="7"/>
        <v>0</v>
      </c>
      <c r="Q25" s="111">
        <f t="shared" si="0"/>
        <v>0</v>
      </c>
      <c r="R25" s="80">
        <f t="shared" si="8"/>
        <v>0</v>
      </c>
      <c r="S25" s="111">
        <f t="shared" si="0"/>
        <v>0</v>
      </c>
      <c r="T25" s="80">
        <f t="shared" si="9"/>
        <v>0</v>
      </c>
      <c r="U25" s="111">
        <f t="shared" si="0"/>
        <v>0</v>
      </c>
      <c r="V25" s="80">
        <f t="shared" si="10"/>
        <v>0</v>
      </c>
    </row>
    <row r="26" spans="1:24" ht="12.75" customHeight="1">
      <c r="A26" s="2" t="s">
        <v>363</v>
      </c>
      <c r="B26" s="35"/>
      <c r="C26" s="111">
        <v>120400</v>
      </c>
      <c r="D26" s="80">
        <f t="shared" si="1"/>
        <v>2.2544279192547804E-2</v>
      </c>
      <c r="E26" s="111">
        <f t="shared" si="0"/>
        <v>122808</v>
      </c>
      <c r="F26" s="80">
        <f t="shared" si="2"/>
        <v>2.3209243783238274E-2</v>
      </c>
      <c r="G26" s="111">
        <f t="shared" si="0"/>
        <v>125264.16</v>
      </c>
      <c r="H26" s="80">
        <f t="shared" si="3"/>
        <v>2.2265777672476752E-2</v>
      </c>
      <c r="I26" s="111">
        <f t="shared" si="0"/>
        <v>127769.44320000001</v>
      </c>
      <c r="J26" s="80">
        <f t="shared" si="4"/>
        <v>2.1346359929468817E-2</v>
      </c>
      <c r="K26" s="111">
        <f t="shared" si="0"/>
        <v>130324.83206400002</v>
      </c>
      <c r="L26" s="80">
        <f t="shared" si="5"/>
        <v>2.047359326359011E-2</v>
      </c>
      <c r="M26" s="111">
        <f t="shared" si="0"/>
        <v>132931.32870528003</v>
      </c>
      <c r="N26" s="80">
        <f t="shared" si="6"/>
        <v>2.047056657442901E-2</v>
      </c>
      <c r="O26" s="111">
        <f t="shared" si="0"/>
        <v>135589.95527938564</v>
      </c>
      <c r="P26" s="80">
        <f t="shared" si="7"/>
        <v>2.0471493773811838E-2</v>
      </c>
      <c r="Q26" s="111">
        <f t="shared" si="0"/>
        <v>138301.75438497335</v>
      </c>
      <c r="R26" s="80">
        <f t="shared" si="8"/>
        <v>2.0473251441051391E-2</v>
      </c>
      <c r="S26" s="111">
        <f t="shared" si="0"/>
        <v>141067.78947267283</v>
      </c>
      <c r="T26" s="80">
        <f t="shared" si="9"/>
        <v>2.0472954315858591E-2</v>
      </c>
      <c r="U26" s="111">
        <f t="shared" si="0"/>
        <v>143889.14526212629</v>
      </c>
      <c r="V26" s="80">
        <f t="shared" si="10"/>
        <v>2.047085720683053E-2</v>
      </c>
    </row>
    <row r="27" spans="1:24" ht="12.75" customHeight="1">
      <c r="A27" s="2" t="s">
        <v>364</v>
      </c>
      <c r="B27" s="35"/>
      <c r="C27" s="112">
        <v>0</v>
      </c>
      <c r="D27" s="80">
        <f t="shared" si="1"/>
        <v>0</v>
      </c>
      <c r="E27" s="111">
        <f t="shared" si="0"/>
        <v>0</v>
      </c>
      <c r="F27" s="80">
        <f t="shared" si="2"/>
        <v>0</v>
      </c>
      <c r="G27" s="111">
        <f t="shared" si="0"/>
        <v>0</v>
      </c>
      <c r="H27" s="80">
        <f t="shared" si="3"/>
        <v>0</v>
      </c>
      <c r="I27" s="111">
        <f t="shared" si="0"/>
        <v>0</v>
      </c>
      <c r="J27" s="80">
        <f t="shared" si="4"/>
        <v>0</v>
      </c>
      <c r="K27" s="111">
        <f t="shared" si="0"/>
        <v>0</v>
      </c>
      <c r="L27" s="80">
        <f t="shared" si="5"/>
        <v>0</v>
      </c>
      <c r="M27" s="111">
        <f t="shared" si="0"/>
        <v>0</v>
      </c>
      <c r="N27" s="80">
        <f t="shared" si="6"/>
        <v>0</v>
      </c>
      <c r="O27" s="111">
        <f t="shared" si="0"/>
        <v>0</v>
      </c>
      <c r="P27" s="80">
        <f t="shared" si="7"/>
        <v>0</v>
      </c>
      <c r="Q27" s="111">
        <f t="shared" si="0"/>
        <v>0</v>
      </c>
      <c r="R27" s="80">
        <f t="shared" si="8"/>
        <v>0</v>
      </c>
      <c r="S27" s="111">
        <f t="shared" si="0"/>
        <v>0</v>
      </c>
      <c r="T27" s="80">
        <f t="shared" si="9"/>
        <v>0</v>
      </c>
      <c r="U27" s="111">
        <f t="shared" si="0"/>
        <v>0</v>
      </c>
      <c r="V27" s="80">
        <f t="shared" si="10"/>
        <v>0</v>
      </c>
    </row>
    <row r="28" spans="1:24" ht="12.75" customHeight="1">
      <c r="A28" s="1" t="s">
        <v>365</v>
      </c>
      <c r="B28" s="53"/>
      <c r="C28" s="82">
        <f>SUM(C19:C27)</f>
        <v>5340601</v>
      </c>
      <c r="D28" s="83">
        <f t="shared" si="1"/>
        <v>1</v>
      </c>
      <c r="E28" s="82">
        <f>SUM(E19:E27)</f>
        <v>5291340</v>
      </c>
      <c r="F28" s="83">
        <f t="shared" si="2"/>
        <v>1</v>
      </c>
      <c r="G28" s="82">
        <f>SUM(G19:G27)</f>
        <v>5625860.54</v>
      </c>
      <c r="H28" s="83">
        <f t="shared" si="3"/>
        <v>1</v>
      </c>
      <c r="I28" s="82">
        <f>SUM(I19:I27)</f>
        <v>5985537.7507999996</v>
      </c>
      <c r="J28" s="83">
        <f t="shared" si="4"/>
        <v>1</v>
      </c>
      <c r="K28" s="82">
        <f>SUM(K19:K27)</f>
        <v>6365508.5058160005</v>
      </c>
      <c r="L28" s="83">
        <f t="shared" si="5"/>
        <v>1</v>
      </c>
      <c r="M28" s="82">
        <f>SUM(M19:M27)</f>
        <v>6493778.6759323198</v>
      </c>
      <c r="N28" s="83">
        <f t="shared" si="6"/>
        <v>1</v>
      </c>
      <c r="O28" s="82">
        <f>SUM(O19:O27)</f>
        <v>6623354.2494509667</v>
      </c>
      <c r="P28" s="83">
        <f t="shared" si="7"/>
        <v>1</v>
      </c>
      <c r="Q28" s="82">
        <f>SUM(Q19:Q27)</f>
        <v>6755241.3344399855</v>
      </c>
      <c r="R28" s="83">
        <f t="shared" si="8"/>
        <v>1</v>
      </c>
      <c r="S28" s="82">
        <f>SUM(S19:S27)</f>
        <v>6890446.1611287855</v>
      </c>
      <c r="T28" s="83">
        <f t="shared" si="9"/>
        <v>1</v>
      </c>
      <c r="U28" s="82">
        <f>SUM(U19:U27)</f>
        <v>7028975.0843513608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0.188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C28*C30</f>
        <v>1004032.988</v>
      </c>
      <c r="D31" s="80">
        <f>IFERROR(C31/C$28,0)</f>
        <v>0.188</v>
      </c>
      <c r="E31" s="179">
        <f>+E28*0.23</f>
        <v>1217008.2</v>
      </c>
      <c r="F31" s="80">
        <f>IFERROR(E31/E$28,0)</f>
        <v>0.22999999999999998</v>
      </c>
      <c r="G31" s="179">
        <f>+G28*F31</f>
        <v>1293947.9242</v>
      </c>
      <c r="H31" s="80">
        <f>IFERROR(G31/G$28,0)</f>
        <v>0.23</v>
      </c>
      <c r="I31" s="179">
        <f>+I28*0.21</f>
        <v>1256962.9276679999</v>
      </c>
      <c r="J31" s="80">
        <f>IFERROR(I31/I$28,0)</f>
        <v>0.21</v>
      </c>
      <c r="K31" s="179">
        <f>+K28*J31</f>
        <v>1336756.7862213601</v>
      </c>
      <c r="L31" s="80">
        <f>IFERROR(K31/K$28,0)</f>
        <v>0.21</v>
      </c>
      <c r="M31" s="179">
        <f>+M28*L31</f>
        <v>1363693.5219457871</v>
      </c>
      <c r="N31" s="80">
        <f>IFERROR(M31/M$28,0)</f>
        <v>0.21</v>
      </c>
      <c r="O31" s="179">
        <f>+O28*0.225</f>
        <v>1490254.7061264676</v>
      </c>
      <c r="P31" s="80">
        <f>IFERROR(O31/O$28,0)</f>
        <v>0.22500000000000001</v>
      </c>
      <c r="Q31" s="179">
        <f>+Q28*P31</f>
        <v>1519929.3002489968</v>
      </c>
      <c r="R31" s="80">
        <f>IFERROR(Q31/Q$28,0)</f>
        <v>0.22500000000000001</v>
      </c>
      <c r="S31" s="179">
        <f>+S28*R31</f>
        <v>1550350.3862539767</v>
      </c>
      <c r="T31" s="80">
        <f>IFERROR(S31/S$28,0)</f>
        <v>0.22500000000000001</v>
      </c>
      <c r="U31" s="179">
        <f>+U28*0.23</f>
        <v>1616664.2694008132</v>
      </c>
      <c r="V31" s="80">
        <f>IFERROR(U31/U$28,0)</f>
        <v>0.23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1004032.988</v>
      </c>
      <c r="D33" s="83">
        <f>IFERROR(C33/C$28,0)</f>
        <v>0.188</v>
      </c>
      <c r="E33" s="82">
        <f>SUM(E31:E32)</f>
        <v>1217008.2</v>
      </c>
      <c r="F33" s="83">
        <f>IFERROR(E33/E$28,0)</f>
        <v>0.22999999999999998</v>
      </c>
      <c r="G33" s="82">
        <f>SUM(G31:G32)</f>
        <v>1293947.9242</v>
      </c>
      <c r="H33" s="83">
        <f>IFERROR(G33/G$28,0)</f>
        <v>0.23</v>
      </c>
      <c r="I33" s="82">
        <f>SUM(I31:I32)</f>
        <v>1256962.9276679999</v>
      </c>
      <c r="J33" s="83">
        <f>IFERROR(I33/I$28,0)</f>
        <v>0.21</v>
      </c>
      <c r="K33" s="82">
        <f>SUM(K31:K32)</f>
        <v>1336756.7862213601</v>
      </c>
      <c r="L33" s="83">
        <f>IFERROR(K33/K$28,0)</f>
        <v>0.21</v>
      </c>
      <c r="M33" s="82">
        <f>SUM(M31:M32)</f>
        <v>1363693.5219457871</v>
      </c>
      <c r="N33" s="83">
        <f>IFERROR(M33/M$28,0)</f>
        <v>0.21</v>
      </c>
      <c r="O33" s="82">
        <f>SUM(O31:O32)</f>
        <v>1490254.7061264676</v>
      </c>
      <c r="P33" s="83">
        <f>IFERROR(O33/O$28,0)</f>
        <v>0.22500000000000001</v>
      </c>
      <c r="Q33" s="82">
        <f>SUM(Q31:Q32)</f>
        <v>1519929.3002489968</v>
      </c>
      <c r="R33" s="83">
        <f>IFERROR(Q33/Q$28,0)</f>
        <v>0.22500000000000001</v>
      </c>
      <c r="S33" s="82">
        <f>SUM(S31:S32)</f>
        <v>1550350.3862539767</v>
      </c>
      <c r="T33" s="83">
        <f>IFERROR(S33/S$28,0)</f>
        <v>0.22500000000000001</v>
      </c>
      <c r="U33" s="82">
        <f>SUM(U31:U32)</f>
        <v>1616664.2694008132</v>
      </c>
      <c r="V33" s="83">
        <f>IFERROR(U33/U$28,0)</f>
        <v>0.23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>
        <v>259534</v>
      </c>
      <c r="D36" s="80">
        <f t="shared" ref="D36:D46" si="11">IFERROR(C36/C$28,0)</f>
        <v>4.8596403288693538E-2</v>
      </c>
      <c r="E36" s="204">
        <f>C36/1.3</f>
        <v>199641.53846153847</v>
      </c>
      <c r="F36" s="80">
        <f t="shared" ref="F36:F46" si="12">IFERROR(E36/E$28,0)</f>
        <v>3.7729863978035523E-2</v>
      </c>
      <c r="G36" s="201">
        <f>+E36*1.025-50000</f>
        <v>154632.57692307691</v>
      </c>
      <c r="H36" s="80">
        <f t="shared" ref="H36:H46" si="13">IFERROR(G36/G$28,0)</f>
        <v>2.7486030950045006E-2</v>
      </c>
      <c r="I36" s="201">
        <f>+G36*1.025</f>
        <v>158498.3913461538</v>
      </c>
      <c r="J36" s="80">
        <f t="shared" ref="J36:J46" si="14">IFERROR(I36/I$28,0)</f>
        <v>2.6480225828492958E-2</v>
      </c>
      <c r="K36" s="201">
        <f>+I36*1.025</f>
        <v>162460.85112980765</v>
      </c>
      <c r="L36" s="80">
        <f t="shared" ref="L36:L46" si="15">IFERROR(K36/K$28,0)</f>
        <v>2.5522053891118262E-2</v>
      </c>
      <c r="M36" s="201">
        <f>+K36*1.025</f>
        <v>166522.37240805282</v>
      </c>
      <c r="N36" s="80">
        <f t="shared" ref="N36:N46" si="16">IFERROR(M36/M$28,0)</f>
        <v>2.5643370480923421E-2</v>
      </c>
      <c r="O36" s="201">
        <f>+M36*1.025</f>
        <v>170685.43171825411</v>
      </c>
      <c r="P36" s="80">
        <f t="shared" ref="P36:P46" si="17">IFERROR(O36/O$28,0)</f>
        <v>2.5770240468778013E-2</v>
      </c>
      <c r="Q36" s="201">
        <f>+O36*1.025</f>
        <v>174952.56751121045</v>
      </c>
      <c r="R36" s="80">
        <f t="shared" ref="R36:R46" si="18">IFERROR(Q36/Q$28,0)</f>
        <v>2.5898788636796222E-2</v>
      </c>
      <c r="S36" s="201">
        <f>+Q36*1.025</f>
        <v>179326.38169899071</v>
      </c>
      <c r="T36" s="80">
        <f t="shared" ref="T36:T46" si="19">IFERROR(S36/S$28,0)</f>
        <v>2.6025365775387416E-2</v>
      </c>
      <c r="U36" s="201">
        <f>+S36*1.025</f>
        <v>183809.54124146546</v>
      </c>
      <c r="V36" s="80">
        <f t="shared" ref="V36:V46" si="20">IFERROR(U36/U$28,0)</f>
        <v>2.6150262169897496E-2</v>
      </c>
    </row>
    <row r="37" spans="1:22" ht="12.75" customHeight="1">
      <c r="A37" s="2" t="s">
        <v>372</v>
      </c>
      <c r="B37" s="35"/>
      <c r="C37" s="179">
        <f>510672-150000</f>
        <v>360672</v>
      </c>
      <c r="D37" s="80">
        <f t="shared" si="11"/>
        <v>6.7533972300121273E-2</v>
      </c>
      <c r="E37" s="204">
        <f>+C37/1.3</f>
        <v>277440</v>
      </c>
      <c r="F37" s="80">
        <f t="shared" si="12"/>
        <v>5.2432843098345595E-2</v>
      </c>
      <c r="G37" s="201">
        <f>+E37*1.025-50000</f>
        <v>234376</v>
      </c>
      <c r="H37" s="80">
        <f t="shared" si="13"/>
        <v>4.16604710219141E-2</v>
      </c>
      <c r="I37" s="201">
        <f t="shared" ref="G37:U39" si="21">+G37*1.025</f>
        <v>240235.39999999997</v>
      </c>
      <c r="J37" s="80">
        <f t="shared" si="14"/>
        <v>4.0135976081328899E-2</v>
      </c>
      <c r="K37" s="201">
        <f t="shared" si="21"/>
        <v>246241.28499999995</v>
      </c>
      <c r="L37" s="80">
        <f t="shared" si="15"/>
        <v>3.8683678574149366E-2</v>
      </c>
      <c r="M37" s="201">
        <f t="shared" si="21"/>
        <v>252397.31712499991</v>
      </c>
      <c r="N37" s="80">
        <f t="shared" si="16"/>
        <v>3.8867557661065949E-2</v>
      </c>
      <c r="O37" s="201">
        <f t="shared" si="21"/>
        <v>258707.25005312488</v>
      </c>
      <c r="P37" s="80">
        <f t="shared" si="17"/>
        <v>3.9059854011971359E-2</v>
      </c>
      <c r="Q37" s="201">
        <f t="shared" si="21"/>
        <v>265174.931304453</v>
      </c>
      <c r="R37" s="80">
        <f t="shared" si="18"/>
        <v>3.9254693974073419E-2</v>
      </c>
      <c r="S37" s="201">
        <f t="shared" si="21"/>
        <v>271804.30458706431</v>
      </c>
      <c r="T37" s="80">
        <f t="shared" si="19"/>
        <v>3.9446546454480626E-2</v>
      </c>
      <c r="U37" s="201">
        <f t="shared" si="21"/>
        <v>278599.4122017409</v>
      </c>
      <c r="V37" s="80">
        <f t="shared" si="20"/>
        <v>3.9635851437571326E-2</v>
      </c>
    </row>
    <row r="38" spans="1:22" ht="12.75" customHeight="1">
      <c r="A38" s="2" t="s">
        <v>373</v>
      </c>
      <c r="B38" s="35"/>
      <c r="C38" s="179">
        <f>341603-130000</f>
        <v>211603</v>
      </c>
      <c r="D38" s="80">
        <f t="shared" si="11"/>
        <v>3.9621570680902767E-2</v>
      </c>
      <c r="E38" s="204">
        <f>+C38/1.3</f>
        <v>162771.53846153847</v>
      </c>
      <c r="F38" s="80">
        <f t="shared" si="12"/>
        <v>3.0761874773032629E-2</v>
      </c>
      <c r="G38" s="201">
        <f t="shared" si="21"/>
        <v>166840.82692307691</v>
      </c>
      <c r="H38" s="80">
        <f t="shared" si="13"/>
        <v>2.9656054524785092E-2</v>
      </c>
      <c r="I38" s="201">
        <f t="shared" si="21"/>
        <v>171011.84759615382</v>
      </c>
      <c r="J38" s="80">
        <f t="shared" si="14"/>
        <v>2.857084103651291E-2</v>
      </c>
      <c r="K38" s="201">
        <f t="shared" si="21"/>
        <v>175287.14378605766</v>
      </c>
      <c r="L38" s="80">
        <f t="shared" si="15"/>
        <v>2.7537021374789198E-2</v>
      </c>
      <c r="M38" s="201">
        <f t="shared" si="21"/>
        <v>179669.32238070908</v>
      </c>
      <c r="N38" s="80">
        <f t="shared" si="16"/>
        <v>2.7667915915676591E-2</v>
      </c>
      <c r="O38" s="201">
        <f t="shared" si="21"/>
        <v>184161.0554402268</v>
      </c>
      <c r="P38" s="80">
        <f t="shared" si="17"/>
        <v>2.7804802295678593E-2</v>
      </c>
      <c r="Q38" s="201">
        <f t="shared" si="21"/>
        <v>188765.08182623246</v>
      </c>
      <c r="R38" s="80">
        <f t="shared" si="18"/>
        <v>2.7943499348255518E-2</v>
      </c>
      <c r="S38" s="201">
        <f t="shared" si="21"/>
        <v>193484.20887188826</v>
      </c>
      <c r="T38" s="80">
        <f t="shared" si="19"/>
        <v>2.8080069758529523E-2</v>
      </c>
      <c r="U38" s="201">
        <f t="shared" si="21"/>
        <v>198321.31409368545</v>
      </c>
      <c r="V38" s="80">
        <f t="shared" si="20"/>
        <v>2.8214826729889696E-2</v>
      </c>
    </row>
    <row r="39" spans="1:22" ht="12.75" customHeight="1">
      <c r="A39" s="2" t="s">
        <v>374</v>
      </c>
      <c r="B39" s="35"/>
      <c r="C39" s="179">
        <v>0</v>
      </c>
      <c r="D39" s="80">
        <f t="shared" si="11"/>
        <v>0</v>
      </c>
      <c r="E39" s="204">
        <f t="shared" ref="E39" si="22">C39*1.025</f>
        <v>0</v>
      </c>
      <c r="F39" s="80">
        <f t="shared" si="12"/>
        <v>0</v>
      </c>
      <c r="G39" s="201">
        <f t="shared" si="21"/>
        <v>0</v>
      </c>
      <c r="H39" s="80">
        <f t="shared" si="13"/>
        <v>0</v>
      </c>
      <c r="I39" s="201">
        <f t="shared" si="21"/>
        <v>0</v>
      </c>
      <c r="J39" s="80">
        <f t="shared" si="14"/>
        <v>0</v>
      </c>
      <c r="K39" s="201">
        <f t="shared" si="21"/>
        <v>0</v>
      </c>
      <c r="L39" s="80">
        <f t="shared" si="15"/>
        <v>0</v>
      </c>
      <c r="M39" s="201">
        <f t="shared" si="21"/>
        <v>0</v>
      </c>
      <c r="N39" s="80">
        <f t="shared" si="16"/>
        <v>0</v>
      </c>
      <c r="O39" s="201">
        <f t="shared" si="21"/>
        <v>0</v>
      </c>
      <c r="P39" s="80">
        <f t="shared" si="17"/>
        <v>0</v>
      </c>
      <c r="Q39" s="201">
        <f t="shared" si="21"/>
        <v>0</v>
      </c>
      <c r="R39" s="80">
        <f t="shared" si="18"/>
        <v>0</v>
      </c>
      <c r="S39" s="201">
        <f t="shared" si="21"/>
        <v>0</v>
      </c>
      <c r="T39" s="80">
        <f t="shared" si="19"/>
        <v>0</v>
      </c>
      <c r="U39" s="201">
        <f t="shared" si="21"/>
        <v>0</v>
      </c>
      <c r="V39" s="80">
        <f t="shared" si="20"/>
        <v>0</v>
      </c>
    </row>
    <row r="40" spans="1:22" ht="12.75" customHeight="1">
      <c r="A40" s="2" t="s">
        <v>375</v>
      </c>
      <c r="B40" s="35"/>
      <c r="C40" s="179">
        <f>C36*0.124</f>
        <v>32182.216</v>
      </c>
      <c r="D40" s="80">
        <f t="shared" si="11"/>
        <v>6.0259540077979993E-3</v>
      </c>
      <c r="E40" s="179">
        <f>E36*0.124</f>
        <v>24755.550769230769</v>
      </c>
      <c r="F40" s="80">
        <f t="shared" si="12"/>
        <v>4.6785031332764043E-3</v>
      </c>
      <c r="G40" s="179">
        <f>G36*0.124</f>
        <v>19174.439538461538</v>
      </c>
      <c r="H40" s="80">
        <f t="shared" si="13"/>
        <v>3.408267837805581E-3</v>
      </c>
      <c r="I40" s="179">
        <f>I36*0.124</f>
        <v>19653.800526923071</v>
      </c>
      <c r="J40" s="80">
        <f t="shared" si="14"/>
        <v>3.2835480027331269E-3</v>
      </c>
      <c r="K40" s="179">
        <f>K36*0.124</f>
        <v>20145.145540096149</v>
      </c>
      <c r="L40" s="80">
        <f t="shared" si="15"/>
        <v>3.1647346824986646E-3</v>
      </c>
      <c r="M40" s="179">
        <f>M36*0.124</f>
        <v>20648.774178598549</v>
      </c>
      <c r="N40" s="80">
        <f t="shared" si="16"/>
        <v>3.1797779396345038E-3</v>
      </c>
      <c r="O40" s="179">
        <f>O36*0.124</f>
        <v>21164.993533063509</v>
      </c>
      <c r="P40" s="80">
        <f t="shared" si="17"/>
        <v>3.1955098181284734E-3</v>
      </c>
      <c r="Q40" s="179">
        <f>Q36*0.124</f>
        <v>21694.118371390097</v>
      </c>
      <c r="R40" s="80">
        <f t="shared" si="18"/>
        <v>3.2114497909627318E-3</v>
      </c>
      <c r="S40" s="179">
        <f>S36*0.124</f>
        <v>22236.471330674849</v>
      </c>
      <c r="T40" s="80">
        <f t="shared" si="19"/>
        <v>3.2271453561480402E-3</v>
      </c>
      <c r="U40" s="179">
        <f>U36*0.124</f>
        <v>22792.383113941716</v>
      </c>
      <c r="V40" s="80">
        <f t="shared" si="20"/>
        <v>3.2426325090672897E-3</v>
      </c>
    </row>
    <row r="41" spans="1:22" ht="12.75" customHeight="1">
      <c r="A41" s="2" t="s">
        <v>376</v>
      </c>
      <c r="B41" s="35"/>
      <c r="C41" s="179">
        <f>C37*0.124</f>
        <v>44723.328000000001</v>
      </c>
      <c r="D41" s="80">
        <f t="shared" si="11"/>
        <v>8.3742125652150386E-3</v>
      </c>
      <c r="E41" s="179">
        <f>E37*0.124</f>
        <v>34402.559999999998</v>
      </c>
      <c r="F41" s="80">
        <f t="shared" si="12"/>
        <v>6.5016725441948541E-3</v>
      </c>
      <c r="G41" s="179">
        <f>G37*0.124</f>
        <v>29062.624</v>
      </c>
      <c r="H41" s="80">
        <f t="shared" si="13"/>
        <v>5.1658984067173477E-3</v>
      </c>
      <c r="I41" s="179">
        <f>I37*0.124</f>
        <v>29789.189599999994</v>
      </c>
      <c r="J41" s="80">
        <f t="shared" si="14"/>
        <v>4.9768610340847836E-3</v>
      </c>
      <c r="K41" s="179">
        <f>K37*0.124</f>
        <v>30533.919339999993</v>
      </c>
      <c r="L41" s="80">
        <f t="shared" si="15"/>
        <v>4.7967761431945213E-3</v>
      </c>
      <c r="M41" s="179">
        <f>M37*0.124</f>
        <v>31297.267323499989</v>
      </c>
      <c r="N41" s="80">
        <f t="shared" si="16"/>
        <v>4.8195771499721773E-3</v>
      </c>
      <c r="O41" s="179">
        <f>O37*0.124</f>
        <v>32079.699006587485</v>
      </c>
      <c r="P41" s="80">
        <f t="shared" si="17"/>
        <v>4.8434218974844484E-3</v>
      </c>
      <c r="Q41" s="179">
        <f>Q37*0.124</f>
        <v>32881.691481752168</v>
      </c>
      <c r="R41" s="80">
        <f t="shared" si="18"/>
        <v>4.8675820527851041E-3</v>
      </c>
      <c r="S41" s="179">
        <f>S37*0.124</f>
        <v>33703.733768795973</v>
      </c>
      <c r="T41" s="80">
        <f t="shared" si="19"/>
        <v>4.8913717603555973E-3</v>
      </c>
      <c r="U41" s="179">
        <f>U37*0.124</f>
        <v>34546.327113015868</v>
      </c>
      <c r="V41" s="80">
        <f t="shared" si="20"/>
        <v>4.9148455782588437E-3</v>
      </c>
    </row>
    <row r="42" spans="1:22" ht="12.75" customHeight="1">
      <c r="A42" s="2" t="s">
        <v>377</v>
      </c>
      <c r="B42" s="35"/>
      <c r="C42" s="179">
        <v>0</v>
      </c>
      <c r="D42" s="80">
        <f t="shared" si="11"/>
        <v>0</v>
      </c>
      <c r="E42" s="179">
        <v>0</v>
      </c>
      <c r="F42" s="80">
        <f t="shared" si="12"/>
        <v>0</v>
      </c>
      <c r="G42" s="179">
        <v>0</v>
      </c>
      <c r="H42" s="80">
        <f t="shared" si="13"/>
        <v>0</v>
      </c>
      <c r="I42" s="179">
        <v>0</v>
      </c>
      <c r="J42" s="80">
        <f t="shared" si="14"/>
        <v>0</v>
      </c>
      <c r="K42" s="179">
        <v>0</v>
      </c>
      <c r="L42" s="80">
        <f t="shared" si="15"/>
        <v>0</v>
      </c>
      <c r="M42" s="179">
        <v>0</v>
      </c>
      <c r="N42" s="80">
        <f t="shared" si="16"/>
        <v>0</v>
      </c>
      <c r="O42" s="179">
        <v>0</v>
      </c>
      <c r="P42" s="80">
        <f t="shared" si="17"/>
        <v>0</v>
      </c>
      <c r="Q42" s="179">
        <v>0</v>
      </c>
      <c r="R42" s="80">
        <f t="shared" si="18"/>
        <v>0</v>
      </c>
      <c r="S42" s="179">
        <v>0</v>
      </c>
      <c r="T42" s="80">
        <f t="shared" si="19"/>
        <v>0</v>
      </c>
      <c r="U42" s="179">
        <v>0</v>
      </c>
      <c r="V42" s="80">
        <f t="shared" si="20"/>
        <v>0</v>
      </c>
    </row>
    <row r="43" spans="1:22" ht="12.75" customHeight="1">
      <c r="A43" s="2" t="s">
        <v>378</v>
      </c>
      <c r="B43" s="35"/>
      <c r="C43" s="179">
        <v>0</v>
      </c>
      <c r="D43" s="80">
        <f t="shared" si="11"/>
        <v>0</v>
      </c>
      <c r="E43" s="179">
        <v>0</v>
      </c>
      <c r="F43" s="80">
        <f t="shared" si="12"/>
        <v>0</v>
      </c>
      <c r="G43" s="179">
        <v>0</v>
      </c>
      <c r="H43" s="80">
        <f t="shared" si="13"/>
        <v>0</v>
      </c>
      <c r="I43" s="179">
        <v>0</v>
      </c>
      <c r="J43" s="80">
        <f t="shared" si="14"/>
        <v>0</v>
      </c>
      <c r="K43" s="179">
        <v>0</v>
      </c>
      <c r="L43" s="80">
        <f t="shared" si="15"/>
        <v>0</v>
      </c>
      <c r="M43" s="179">
        <v>0</v>
      </c>
      <c r="N43" s="80">
        <f t="shared" si="16"/>
        <v>0</v>
      </c>
      <c r="O43" s="179">
        <v>0</v>
      </c>
      <c r="P43" s="80">
        <f t="shared" si="17"/>
        <v>0</v>
      </c>
      <c r="Q43" s="179">
        <v>0</v>
      </c>
      <c r="R43" s="80">
        <f t="shared" si="18"/>
        <v>0</v>
      </c>
      <c r="S43" s="179">
        <v>0</v>
      </c>
      <c r="T43" s="80">
        <f t="shared" si="19"/>
        <v>0</v>
      </c>
      <c r="U43" s="179">
        <v>0</v>
      </c>
      <c r="V43" s="80">
        <f t="shared" si="20"/>
        <v>0</v>
      </c>
    </row>
    <row r="44" spans="1:22" ht="12.75" customHeight="1">
      <c r="A44" s="2" t="s">
        <v>379</v>
      </c>
      <c r="B44" s="35"/>
      <c r="C44" s="179">
        <v>0</v>
      </c>
      <c r="D44" s="80">
        <f t="shared" si="11"/>
        <v>0</v>
      </c>
      <c r="E44" s="179">
        <v>0</v>
      </c>
      <c r="F44" s="80">
        <f t="shared" si="12"/>
        <v>0</v>
      </c>
      <c r="G44" s="179">
        <v>0</v>
      </c>
      <c r="H44" s="80">
        <f t="shared" si="13"/>
        <v>0</v>
      </c>
      <c r="I44" s="179">
        <v>0</v>
      </c>
      <c r="J44" s="80">
        <f t="shared" si="14"/>
        <v>0</v>
      </c>
      <c r="K44" s="179">
        <v>0</v>
      </c>
      <c r="L44" s="80">
        <f t="shared" si="15"/>
        <v>0</v>
      </c>
      <c r="M44" s="179">
        <v>0</v>
      </c>
      <c r="N44" s="80">
        <f t="shared" si="16"/>
        <v>0</v>
      </c>
      <c r="O44" s="179">
        <v>0</v>
      </c>
      <c r="P44" s="80">
        <f t="shared" si="17"/>
        <v>0</v>
      </c>
      <c r="Q44" s="179">
        <v>0</v>
      </c>
      <c r="R44" s="80">
        <f t="shared" si="18"/>
        <v>0</v>
      </c>
      <c r="S44" s="179">
        <v>0</v>
      </c>
      <c r="T44" s="80">
        <f t="shared" si="19"/>
        <v>0</v>
      </c>
      <c r="U44" s="179">
        <v>0</v>
      </c>
      <c r="V44" s="80">
        <f t="shared" si="20"/>
        <v>0</v>
      </c>
    </row>
    <row r="45" spans="1:22" ht="12.75" customHeight="1">
      <c r="A45" s="2" t="s">
        <v>380</v>
      </c>
      <c r="B45" s="35"/>
      <c r="C45" s="182">
        <f>SUM(C36:C39)*0.095</f>
        <v>79021.854999999996</v>
      </c>
      <c r="D45" s="80">
        <f t="shared" si="11"/>
        <v>1.479643489562317E-2</v>
      </c>
      <c r="E45" s="182">
        <f>SUM(E36:E39)*0.095</f>
        <v>60786.042307692318</v>
      </c>
      <c r="F45" s="80">
        <f t="shared" si="12"/>
        <v>1.1487835275694308E-2</v>
      </c>
      <c r="G45" s="182">
        <f>SUM(G36:G39)*0.095</f>
        <v>52805.693365384606</v>
      </c>
      <c r="H45" s="80">
        <f t="shared" si="13"/>
        <v>9.3862428671906972E-3</v>
      </c>
      <c r="I45" s="182">
        <f>SUM(I36:I39)*0.095</f>
        <v>54125.835699519215</v>
      </c>
      <c r="J45" s="80">
        <f t="shared" si="14"/>
        <v>9.042769079901803E-3</v>
      </c>
      <c r="K45" s="182">
        <f>SUM(K36:K39)*0.095</f>
        <v>55478.9815920072</v>
      </c>
      <c r="L45" s="80">
        <f t="shared" si="15"/>
        <v>8.7155616148053977E-3</v>
      </c>
      <c r="M45" s="182">
        <f>SUM(M36:M39)*0.095</f>
        <v>56865.956131807376</v>
      </c>
      <c r="N45" s="80">
        <f t="shared" si="16"/>
        <v>8.7569901854782656E-3</v>
      </c>
      <c r="O45" s="182">
        <f>SUM(O36:O39)*0.095</f>
        <v>58287.605035102548</v>
      </c>
      <c r="P45" s="80">
        <f t="shared" si="17"/>
        <v>8.8003151937606564E-3</v>
      </c>
      <c r="Q45" s="182">
        <f>SUM(Q36:Q39)*0.095</f>
        <v>59744.795160980109</v>
      </c>
      <c r="R45" s="80">
        <f t="shared" si="18"/>
        <v>8.8442132861168907E-3</v>
      </c>
      <c r="S45" s="182">
        <f>SUM(S36:S39)*0.095</f>
        <v>61238.415040004606</v>
      </c>
      <c r="T45" s="80">
        <f t="shared" si="19"/>
        <v>8.8874382888977678E-3</v>
      </c>
      <c r="U45" s="182">
        <f>SUM(U36:U39)*0.095</f>
        <v>62769.375416004725</v>
      </c>
      <c r="V45" s="80">
        <f t="shared" si="20"/>
        <v>8.9300893320490588E-3</v>
      </c>
    </row>
    <row r="46" spans="1:22" ht="12.75" customHeight="1">
      <c r="A46" s="1" t="s">
        <v>381</v>
      </c>
      <c r="B46" s="53"/>
      <c r="C46" s="82">
        <f>SUM(C36:C45)</f>
        <v>987736.39899999998</v>
      </c>
      <c r="D46" s="83">
        <f t="shared" si="11"/>
        <v>0.18494854773835379</v>
      </c>
      <c r="E46" s="82">
        <f>SUM(E36:E45)</f>
        <v>759797.23000000021</v>
      </c>
      <c r="F46" s="83">
        <f t="shared" si="12"/>
        <v>0.14359259280257936</v>
      </c>
      <c r="G46" s="82">
        <f>SUM(G36:G45)</f>
        <v>656892.16074999981</v>
      </c>
      <c r="H46" s="83">
        <f t="shared" si="13"/>
        <v>0.11676296560845779</v>
      </c>
      <c r="I46" s="82">
        <f>SUM(I36:I45)</f>
        <v>673314.46476874989</v>
      </c>
      <c r="J46" s="83">
        <f t="shared" si="14"/>
        <v>0.11249022106305449</v>
      </c>
      <c r="K46" s="82">
        <f>SUM(K36:K45)</f>
        <v>690147.32638796861</v>
      </c>
      <c r="L46" s="83">
        <f t="shared" si="15"/>
        <v>0.10841982628055541</v>
      </c>
      <c r="M46" s="82">
        <f>SUM(M36:M45)</f>
        <v>707401.00954766781</v>
      </c>
      <c r="N46" s="83">
        <f t="shared" si="16"/>
        <v>0.10893518933275091</v>
      </c>
      <c r="O46" s="82">
        <f>SUM(O36:O45)</f>
        <v>725086.03478635941</v>
      </c>
      <c r="P46" s="83">
        <f t="shared" si="17"/>
        <v>0.10947414368580155</v>
      </c>
      <c r="Q46" s="82">
        <f>SUM(Q36:Q45)</f>
        <v>743213.18565601832</v>
      </c>
      <c r="R46" s="83">
        <f t="shared" si="18"/>
        <v>0.1100202270889899</v>
      </c>
      <c r="S46" s="82">
        <f>SUM(S36:S45)</f>
        <v>761793.51529741869</v>
      </c>
      <c r="T46" s="83">
        <f t="shared" si="19"/>
        <v>0.11055793739379896</v>
      </c>
      <c r="U46" s="82">
        <f>SUM(U36:U45)</f>
        <v>780838.35317985422</v>
      </c>
      <c r="V46" s="83">
        <f t="shared" si="20"/>
        <v>0.11108850775673372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83" si="23">IFERROR(C52/C$28,0)</f>
        <v>0</v>
      </c>
      <c r="E52" s="179">
        <v>0</v>
      </c>
      <c r="F52" s="80">
        <f t="shared" ref="F52:F83" si="24">IFERROR(E52/E$28,0)</f>
        <v>0</v>
      </c>
      <c r="G52" s="179">
        <v>0</v>
      </c>
      <c r="H52" s="80">
        <f t="shared" ref="H52:H83" si="25">IFERROR(G52/G$28,0)</f>
        <v>0</v>
      </c>
      <c r="I52" s="179">
        <v>0</v>
      </c>
      <c r="J52" s="80">
        <f t="shared" ref="J52:J83" si="26">IFERROR(I52/I$28,0)</f>
        <v>0</v>
      </c>
      <c r="K52" s="179">
        <v>0</v>
      </c>
      <c r="L52" s="80">
        <f t="shared" ref="L52:L83" si="27">IFERROR(K52/K$28,0)</f>
        <v>0</v>
      </c>
      <c r="M52" s="179">
        <v>0</v>
      </c>
      <c r="N52" s="80">
        <f t="shared" ref="N52:N83" si="28">IFERROR(M52/M$28,0)</f>
        <v>0</v>
      </c>
      <c r="O52" s="179">
        <v>0</v>
      </c>
      <c r="P52" s="80">
        <f t="shared" ref="P52:P83" si="29">IFERROR(O52/O$28,0)</f>
        <v>0</v>
      </c>
      <c r="Q52" s="179">
        <v>0</v>
      </c>
      <c r="R52" s="80">
        <f t="shared" ref="R52:R83" si="30">IFERROR(Q52/Q$28,0)</f>
        <v>0</v>
      </c>
      <c r="S52" s="179">
        <v>0</v>
      </c>
      <c r="T52" s="80">
        <f t="shared" ref="T52:T83" si="31">IFERROR(S52/S$28,0)</f>
        <v>0</v>
      </c>
      <c r="U52" s="179">
        <v>0</v>
      </c>
      <c r="V52" s="80">
        <f t="shared" ref="V52:V83" si="32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3"/>
        <v>0</v>
      </c>
      <c r="E53" s="179">
        <v>0</v>
      </c>
      <c r="F53" s="80">
        <f t="shared" si="24"/>
        <v>0</v>
      </c>
      <c r="G53" s="179">
        <v>0</v>
      </c>
      <c r="H53" s="80">
        <f t="shared" si="25"/>
        <v>0</v>
      </c>
      <c r="I53" s="179">
        <v>0</v>
      </c>
      <c r="J53" s="80">
        <f t="shared" si="26"/>
        <v>0</v>
      </c>
      <c r="K53" s="179">
        <v>0</v>
      </c>
      <c r="L53" s="80">
        <f t="shared" si="27"/>
        <v>0</v>
      </c>
      <c r="M53" s="179">
        <v>0</v>
      </c>
      <c r="N53" s="80">
        <f t="shared" si="28"/>
        <v>0</v>
      </c>
      <c r="O53" s="179">
        <v>0</v>
      </c>
      <c r="P53" s="80">
        <f t="shared" si="29"/>
        <v>0</v>
      </c>
      <c r="Q53" s="179">
        <v>0</v>
      </c>
      <c r="R53" s="80">
        <f t="shared" si="30"/>
        <v>0</v>
      </c>
      <c r="S53" s="179">
        <v>0</v>
      </c>
      <c r="T53" s="80">
        <f t="shared" si="31"/>
        <v>0</v>
      </c>
      <c r="U53" s="179">
        <v>0</v>
      </c>
      <c r="V53" s="80">
        <f t="shared" si="32"/>
        <v>0</v>
      </c>
      <c r="X53" s="200"/>
    </row>
    <row r="54" spans="1:24" ht="12.75" customHeight="1">
      <c r="A54" s="2" t="s">
        <v>385</v>
      </c>
      <c r="B54" s="35"/>
      <c r="C54" s="179">
        <v>3738.4207000000001</v>
      </c>
      <c r="D54" s="80">
        <f t="shared" si="23"/>
        <v>6.9999999999999999E-4</v>
      </c>
      <c r="E54" s="179">
        <v>3703.9379999999996</v>
      </c>
      <c r="F54" s="80">
        <f t="shared" si="24"/>
        <v>6.9999999999999988E-4</v>
      </c>
      <c r="G54" s="179">
        <v>3938.1023780000005</v>
      </c>
      <c r="H54" s="80">
        <f t="shared" si="25"/>
        <v>7.000000000000001E-4</v>
      </c>
      <c r="I54" s="179">
        <v>4189.876425559999</v>
      </c>
      <c r="J54" s="80">
        <f t="shared" si="26"/>
        <v>6.9999999999999988E-4</v>
      </c>
      <c r="K54" s="179">
        <v>4455.8559540712004</v>
      </c>
      <c r="L54" s="80">
        <f t="shared" si="27"/>
        <v>6.9999999999999999E-4</v>
      </c>
      <c r="M54" s="179">
        <v>4545.6450731526238</v>
      </c>
      <c r="N54" s="80">
        <f t="shared" si="28"/>
        <v>6.9999999999999999E-4</v>
      </c>
      <c r="O54" s="179">
        <v>4636.3479746156763</v>
      </c>
      <c r="P54" s="80">
        <f t="shared" si="29"/>
        <v>6.9999999999999999E-4</v>
      </c>
      <c r="Q54" s="179">
        <v>4728.66893410799</v>
      </c>
      <c r="R54" s="80">
        <f t="shared" si="30"/>
        <v>6.9999999999999999E-4</v>
      </c>
      <c r="S54" s="179">
        <v>4823.312312790149</v>
      </c>
      <c r="T54" s="80">
        <f t="shared" si="31"/>
        <v>6.9999999999999988E-4</v>
      </c>
      <c r="U54" s="179">
        <v>4920.2825590459524</v>
      </c>
      <c r="V54" s="80">
        <f t="shared" si="32"/>
        <v>6.9999999999999999E-4</v>
      </c>
      <c r="X54" s="200"/>
    </row>
    <row r="55" spans="1:24" ht="12.75" customHeight="1">
      <c r="A55" s="2" t="s">
        <v>386</v>
      </c>
      <c r="B55" s="35"/>
      <c r="C55" s="179">
        <v>0</v>
      </c>
      <c r="D55" s="80">
        <f t="shared" si="23"/>
        <v>0</v>
      </c>
      <c r="E55" s="179">
        <v>0</v>
      </c>
      <c r="F55" s="80">
        <f t="shared" si="24"/>
        <v>0</v>
      </c>
      <c r="G55" s="179">
        <v>0</v>
      </c>
      <c r="H55" s="80">
        <f t="shared" si="25"/>
        <v>0</v>
      </c>
      <c r="I55" s="179">
        <v>0</v>
      </c>
      <c r="J55" s="80">
        <f t="shared" si="26"/>
        <v>0</v>
      </c>
      <c r="K55" s="179">
        <v>0</v>
      </c>
      <c r="L55" s="80">
        <f t="shared" si="27"/>
        <v>0</v>
      </c>
      <c r="M55" s="179">
        <v>0</v>
      </c>
      <c r="N55" s="80">
        <f t="shared" si="28"/>
        <v>0</v>
      </c>
      <c r="O55" s="179">
        <v>0</v>
      </c>
      <c r="P55" s="80">
        <f t="shared" si="29"/>
        <v>0</v>
      </c>
      <c r="Q55" s="179">
        <v>0</v>
      </c>
      <c r="R55" s="80">
        <f t="shared" si="30"/>
        <v>0</v>
      </c>
      <c r="S55" s="179">
        <v>0</v>
      </c>
      <c r="T55" s="80">
        <f t="shared" si="31"/>
        <v>0</v>
      </c>
      <c r="U55" s="179">
        <v>0</v>
      </c>
      <c r="V55" s="80">
        <f t="shared" si="32"/>
        <v>0</v>
      </c>
      <c r="X55" s="200"/>
    </row>
    <row r="56" spans="1:24" ht="12.75" customHeight="1">
      <c r="A56" s="2" t="s">
        <v>387</v>
      </c>
      <c r="B56" s="35"/>
      <c r="C56" s="179">
        <v>2723.7065100000004</v>
      </c>
      <c r="D56" s="80">
        <f t="shared" si="23"/>
        <v>5.1000000000000004E-4</v>
      </c>
      <c r="E56" s="179">
        <v>2698.5834000000004</v>
      </c>
      <c r="F56" s="80">
        <f t="shared" si="24"/>
        <v>5.1000000000000004E-4</v>
      </c>
      <c r="G56" s="179">
        <v>2869.1888754000006</v>
      </c>
      <c r="H56" s="80">
        <f t="shared" si="25"/>
        <v>5.1000000000000015E-4</v>
      </c>
      <c r="I56" s="179">
        <v>3052.624252908</v>
      </c>
      <c r="J56" s="80">
        <f t="shared" si="26"/>
        <v>5.1000000000000004E-4</v>
      </c>
      <c r="K56" s="179">
        <v>3246.4093379661604</v>
      </c>
      <c r="L56" s="80">
        <f t="shared" si="27"/>
        <v>5.1000000000000004E-4</v>
      </c>
      <c r="M56" s="179">
        <v>3311.8271247254829</v>
      </c>
      <c r="N56" s="80">
        <f t="shared" si="28"/>
        <v>5.0999999999999993E-4</v>
      </c>
      <c r="O56" s="179">
        <v>3377.9106672199937</v>
      </c>
      <c r="P56" s="80">
        <f t="shared" si="29"/>
        <v>5.1000000000000015E-4</v>
      </c>
      <c r="Q56" s="179">
        <v>3445.1730805643933</v>
      </c>
      <c r="R56" s="80">
        <f t="shared" si="30"/>
        <v>5.1000000000000015E-4</v>
      </c>
      <c r="S56" s="179">
        <v>3514.1275421756809</v>
      </c>
      <c r="T56" s="80">
        <f t="shared" si="31"/>
        <v>5.1000000000000004E-4</v>
      </c>
      <c r="U56" s="179">
        <v>3584.7772930191941</v>
      </c>
      <c r="V56" s="80">
        <f t="shared" si="32"/>
        <v>5.1000000000000004E-4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3"/>
        <v>0</v>
      </c>
      <c r="E57" s="179">
        <v>0</v>
      </c>
      <c r="F57" s="80">
        <f t="shared" si="24"/>
        <v>0</v>
      </c>
      <c r="G57" s="179">
        <v>0</v>
      </c>
      <c r="H57" s="80">
        <f t="shared" si="25"/>
        <v>0</v>
      </c>
      <c r="I57" s="179">
        <v>0</v>
      </c>
      <c r="J57" s="80">
        <f t="shared" si="26"/>
        <v>0</v>
      </c>
      <c r="K57" s="179">
        <v>0</v>
      </c>
      <c r="L57" s="80">
        <f t="shared" si="27"/>
        <v>0</v>
      </c>
      <c r="M57" s="179">
        <v>0</v>
      </c>
      <c r="N57" s="80">
        <f t="shared" si="28"/>
        <v>0</v>
      </c>
      <c r="O57" s="179">
        <v>0</v>
      </c>
      <c r="P57" s="80">
        <f t="shared" si="29"/>
        <v>0</v>
      </c>
      <c r="Q57" s="179">
        <v>0</v>
      </c>
      <c r="R57" s="80">
        <f t="shared" si="30"/>
        <v>0</v>
      </c>
      <c r="S57" s="179">
        <v>0</v>
      </c>
      <c r="T57" s="80">
        <f t="shared" si="31"/>
        <v>0</v>
      </c>
      <c r="U57" s="179">
        <v>0</v>
      </c>
      <c r="V57" s="80">
        <f t="shared" si="32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3"/>
        <v>0</v>
      </c>
      <c r="E58" s="179">
        <v>0</v>
      </c>
      <c r="F58" s="80">
        <f t="shared" si="24"/>
        <v>0</v>
      </c>
      <c r="G58" s="179">
        <v>0</v>
      </c>
      <c r="H58" s="80">
        <f t="shared" si="25"/>
        <v>0</v>
      </c>
      <c r="I58" s="179">
        <v>0</v>
      </c>
      <c r="J58" s="80">
        <f t="shared" si="26"/>
        <v>0</v>
      </c>
      <c r="K58" s="179">
        <v>0</v>
      </c>
      <c r="L58" s="80">
        <f t="shared" si="27"/>
        <v>0</v>
      </c>
      <c r="M58" s="179">
        <v>0</v>
      </c>
      <c r="N58" s="80">
        <f t="shared" si="28"/>
        <v>0</v>
      </c>
      <c r="O58" s="179">
        <v>0</v>
      </c>
      <c r="P58" s="80">
        <f t="shared" si="29"/>
        <v>0</v>
      </c>
      <c r="Q58" s="179">
        <v>0</v>
      </c>
      <c r="R58" s="80">
        <f t="shared" si="30"/>
        <v>0</v>
      </c>
      <c r="S58" s="179">
        <v>0</v>
      </c>
      <c r="T58" s="80">
        <f t="shared" si="31"/>
        <v>0</v>
      </c>
      <c r="U58" s="179">
        <v>0</v>
      </c>
      <c r="V58" s="80">
        <f t="shared" si="32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>IFERROR(C59/C$28,0)</f>
        <v>0</v>
      </c>
      <c r="E59" s="179">
        <v>0</v>
      </c>
      <c r="F59" s="80">
        <f t="shared" si="24"/>
        <v>0</v>
      </c>
      <c r="G59" s="179">
        <v>0</v>
      </c>
      <c r="H59" s="80">
        <f t="shared" si="25"/>
        <v>0</v>
      </c>
      <c r="I59" s="179">
        <v>0</v>
      </c>
      <c r="J59" s="80">
        <f t="shared" si="26"/>
        <v>0</v>
      </c>
      <c r="K59" s="179">
        <v>0</v>
      </c>
      <c r="L59" s="80">
        <f t="shared" si="27"/>
        <v>0</v>
      </c>
      <c r="M59" s="179">
        <v>0</v>
      </c>
      <c r="N59" s="80">
        <f t="shared" si="28"/>
        <v>0</v>
      </c>
      <c r="O59" s="179">
        <v>0</v>
      </c>
      <c r="P59" s="80">
        <f t="shared" si="29"/>
        <v>0</v>
      </c>
      <c r="Q59" s="179">
        <v>0</v>
      </c>
      <c r="R59" s="80">
        <f t="shared" si="30"/>
        <v>0</v>
      </c>
      <c r="S59" s="179">
        <v>0</v>
      </c>
      <c r="T59" s="80">
        <f t="shared" si="31"/>
        <v>0</v>
      </c>
      <c r="U59" s="179">
        <v>0</v>
      </c>
      <c r="V59" s="80">
        <f t="shared" si="32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3"/>
        <v>0</v>
      </c>
      <c r="E60" s="179">
        <v>0</v>
      </c>
      <c r="F60" s="80">
        <f t="shared" si="24"/>
        <v>0</v>
      </c>
      <c r="G60" s="179">
        <v>0</v>
      </c>
      <c r="H60" s="80">
        <f t="shared" si="25"/>
        <v>0</v>
      </c>
      <c r="I60" s="179">
        <v>0</v>
      </c>
      <c r="J60" s="80">
        <f t="shared" si="26"/>
        <v>0</v>
      </c>
      <c r="K60" s="179">
        <v>0</v>
      </c>
      <c r="L60" s="80">
        <f t="shared" si="27"/>
        <v>0</v>
      </c>
      <c r="M60" s="179">
        <v>0</v>
      </c>
      <c r="N60" s="80">
        <f t="shared" si="28"/>
        <v>0</v>
      </c>
      <c r="O60" s="179">
        <v>0</v>
      </c>
      <c r="P60" s="80">
        <f t="shared" si="29"/>
        <v>0</v>
      </c>
      <c r="Q60" s="179">
        <v>0</v>
      </c>
      <c r="R60" s="80">
        <f t="shared" si="30"/>
        <v>0</v>
      </c>
      <c r="S60" s="179">
        <v>0</v>
      </c>
      <c r="T60" s="80">
        <f t="shared" si="31"/>
        <v>0</v>
      </c>
      <c r="U60" s="179">
        <v>0</v>
      </c>
      <c r="V60" s="80">
        <f t="shared" si="32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3"/>
        <v>0</v>
      </c>
      <c r="E61" s="179">
        <v>0</v>
      </c>
      <c r="F61" s="80">
        <f t="shared" si="24"/>
        <v>0</v>
      </c>
      <c r="G61" s="179">
        <v>0</v>
      </c>
      <c r="H61" s="80">
        <f t="shared" si="25"/>
        <v>0</v>
      </c>
      <c r="I61" s="179">
        <v>0</v>
      </c>
      <c r="J61" s="80">
        <f t="shared" si="26"/>
        <v>0</v>
      </c>
      <c r="K61" s="179">
        <v>0</v>
      </c>
      <c r="L61" s="80">
        <f t="shared" si="27"/>
        <v>0</v>
      </c>
      <c r="M61" s="179">
        <v>0</v>
      </c>
      <c r="N61" s="80">
        <f t="shared" si="28"/>
        <v>0</v>
      </c>
      <c r="O61" s="179">
        <v>0</v>
      </c>
      <c r="P61" s="80">
        <f t="shared" si="29"/>
        <v>0</v>
      </c>
      <c r="Q61" s="179">
        <v>0</v>
      </c>
      <c r="R61" s="80">
        <f t="shared" si="30"/>
        <v>0</v>
      </c>
      <c r="S61" s="179">
        <v>0</v>
      </c>
      <c r="T61" s="80">
        <f t="shared" si="31"/>
        <v>0</v>
      </c>
      <c r="U61" s="179">
        <v>0</v>
      </c>
      <c r="V61" s="80">
        <f t="shared" si="32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3"/>
        <v>0</v>
      </c>
      <c r="E62" s="179">
        <v>0</v>
      </c>
      <c r="F62" s="80">
        <f t="shared" si="24"/>
        <v>0</v>
      </c>
      <c r="G62" s="179">
        <v>0</v>
      </c>
      <c r="H62" s="80">
        <f t="shared" si="25"/>
        <v>0</v>
      </c>
      <c r="I62" s="179">
        <v>0</v>
      </c>
      <c r="J62" s="80">
        <f t="shared" si="26"/>
        <v>0</v>
      </c>
      <c r="K62" s="179">
        <v>0</v>
      </c>
      <c r="L62" s="80">
        <f t="shared" si="27"/>
        <v>0</v>
      </c>
      <c r="M62" s="179">
        <v>0</v>
      </c>
      <c r="N62" s="80">
        <f t="shared" si="28"/>
        <v>0</v>
      </c>
      <c r="O62" s="179">
        <v>0</v>
      </c>
      <c r="P62" s="80">
        <f t="shared" si="29"/>
        <v>0</v>
      </c>
      <c r="Q62" s="179">
        <v>0</v>
      </c>
      <c r="R62" s="80">
        <f t="shared" si="30"/>
        <v>0</v>
      </c>
      <c r="S62" s="179">
        <v>0</v>
      </c>
      <c r="T62" s="80">
        <f t="shared" si="31"/>
        <v>0</v>
      </c>
      <c r="U62" s="179">
        <v>0</v>
      </c>
      <c r="V62" s="80">
        <f t="shared" si="32"/>
        <v>0</v>
      </c>
      <c r="X62" s="200"/>
    </row>
    <row r="63" spans="1:24" ht="12.75" customHeight="1">
      <c r="A63" s="2" t="s">
        <v>394</v>
      </c>
      <c r="B63" s="35"/>
      <c r="C63" s="179">
        <v>73286.053016338978</v>
      </c>
      <c r="D63" s="80">
        <f t="shared" si="23"/>
        <v>1.3722435549171148E-2</v>
      </c>
      <c r="E63" s="179">
        <v>41046.620010161583</v>
      </c>
      <c r="F63" s="80">
        <f t="shared" si="24"/>
        <v>7.7573204538286299E-3</v>
      </c>
      <c r="G63" s="179">
        <v>50084.478987993825</v>
      </c>
      <c r="H63" s="80">
        <f t="shared" si="25"/>
        <v>8.9025454207213289E-3</v>
      </c>
      <c r="I63" s="179">
        <v>52820.336466139219</v>
      </c>
      <c r="J63" s="80">
        <f t="shared" si="26"/>
        <v>8.8246601500557732E-3</v>
      </c>
      <c r="K63" s="179">
        <v>55526.538668138826</v>
      </c>
      <c r="L63" s="80">
        <f t="shared" si="27"/>
        <v>8.723032671687685E-3</v>
      </c>
      <c r="M63" s="179">
        <v>56526.374881416181</v>
      </c>
      <c r="N63" s="80">
        <f t="shared" si="28"/>
        <v>8.7046968648497435E-3</v>
      </c>
      <c r="O63" s="179">
        <v>57536.281415246522</v>
      </c>
      <c r="P63" s="80">
        <f t="shared" si="29"/>
        <v>8.6868796758101698E-3</v>
      </c>
      <c r="Q63" s="179">
        <v>58563.025313382175</v>
      </c>
      <c r="R63" s="80">
        <f t="shared" si="30"/>
        <v>8.6692721124281037E-3</v>
      </c>
      <c r="S63" s="179">
        <v>59613.311875492924</v>
      </c>
      <c r="T63" s="80">
        <f t="shared" si="31"/>
        <v>8.6515895315735451E-3</v>
      </c>
      <c r="U63" s="179">
        <v>63008.813178508615</v>
      </c>
      <c r="V63" s="80">
        <f t="shared" si="32"/>
        <v>8.9641537240308933E-3</v>
      </c>
      <c r="X63" s="200"/>
    </row>
    <row r="64" spans="1:24" ht="12.75" customHeight="1">
      <c r="A64" s="2" t="s">
        <v>395</v>
      </c>
      <c r="B64" s="35"/>
      <c r="C64" s="179">
        <v>25634.884799999996</v>
      </c>
      <c r="D64" s="80">
        <f t="shared" si="23"/>
        <v>4.7999999999999996E-3</v>
      </c>
      <c r="E64" s="179">
        <v>25398.431999999997</v>
      </c>
      <c r="F64" s="80">
        <f t="shared" si="24"/>
        <v>4.7999999999999996E-3</v>
      </c>
      <c r="G64" s="179">
        <v>27004.130591999998</v>
      </c>
      <c r="H64" s="80">
        <f t="shared" si="25"/>
        <v>4.7999999999999996E-3</v>
      </c>
      <c r="I64" s="179">
        <v>28730.581203839993</v>
      </c>
      <c r="J64" s="80">
        <f t="shared" si="26"/>
        <v>4.7999999999999987E-3</v>
      </c>
      <c r="K64" s="179">
        <v>30554.440827916795</v>
      </c>
      <c r="L64" s="80">
        <f t="shared" si="27"/>
        <v>4.7999999999999987E-3</v>
      </c>
      <c r="M64" s="179">
        <v>31170.137644475129</v>
      </c>
      <c r="N64" s="80">
        <f t="shared" si="28"/>
        <v>4.7999999999999987E-3</v>
      </c>
      <c r="O64" s="179">
        <v>31792.10039736464</v>
      </c>
      <c r="P64" s="80">
        <f t="shared" si="29"/>
        <v>4.7999999999999996E-3</v>
      </c>
      <c r="Q64" s="179">
        <v>32425.158405311926</v>
      </c>
      <c r="R64" s="80">
        <f t="shared" si="30"/>
        <v>4.7999999999999996E-3</v>
      </c>
      <c r="S64" s="179">
        <v>33074.141573418172</v>
      </c>
      <c r="T64" s="80">
        <f t="shared" si="31"/>
        <v>4.8000000000000004E-3</v>
      </c>
      <c r="U64" s="179">
        <v>33739.080404886532</v>
      </c>
      <c r="V64" s="80">
        <f t="shared" si="32"/>
        <v>4.8000000000000004E-3</v>
      </c>
      <c r="X64" s="200"/>
    </row>
    <row r="65" spans="1:24" ht="12.75" customHeight="1">
      <c r="A65" s="2" t="s">
        <v>396</v>
      </c>
      <c r="B65" s="35"/>
      <c r="C65" s="179">
        <v>2670.3004999999998</v>
      </c>
      <c r="D65" s="80">
        <f t="shared" si="23"/>
        <v>5.0000000000000001E-4</v>
      </c>
      <c r="E65" s="179">
        <v>2645.67</v>
      </c>
      <c r="F65" s="80">
        <f t="shared" si="24"/>
        <v>5.0000000000000001E-4</v>
      </c>
      <c r="G65" s="179">
        <v>2812.9302700000003</v>
      </c>
      <c r="H65" s="80">
        <f t="shared" si="25"/>
        <v>5.0000000000000001E-4</v>
      </c>
      <c r="I65" s="179">
        <v>2992.7688754000001</v>
      </c>
      <c r="J65" s="80">
        <f t="shared" si="26"/>
        <v>5.0000000000000001E-4</v>
      </c>
      <c r="K65" s="179">
        <v>3182.7542529080001</v>
      </c>
      <c r="L65" s="80">
        <f t="shared" si="27"/>
        <v>5.0000000000000001E-4</v>
      </c>
      <c r="M65" s="179">
        <v>3246.8893379661599</v>
      </c>
      <c r="N65" s="80">
        <f t="shared" si="28"/>
        <v>5.0000000000000001E-4</v>
      </c>
      <c r="O65" s="179">
        <v>3311.6771247254833</v>
      </c>
      <c r="P65" s="80">
        <f t="shared" si="29"/>
        <v>5.0000000000000001E-4</v>
      </c>
      <c r="Q65" s="179">
        <v>3377.6206672199928</v>
      </c>
      <c r="R65" s="80">
        <f t="shared" si="30"/>
        <v>5.0000000000000001E-4</v>
      </c>
      <c r="S65" s="179">
        <v>3445.2230805643926</v>
      </c>
      <c r="T65" s="80">
        <f t="shared" si="31"/>
        <v>5.0000000000000001E-4</v>
      </c>
      <c r="U65" s="179">
        <v>3514.4875421756806</v>
      </c>
      <c r="V65" s="80">
        <f t="shared" si="32"/>
        <v>5.0000000000000001E-4</v>
      </c>
      <c r="X65" s="200"/>
    </row>
    <row r="66" spans="1:24" ht="12.75" customHeight="1">
      <c r="A66" s="2" t="s">
        <v>397</v>
      </c>
      <c r="B66" s="35"/>
      <c r="C66" s="179">
        <v>14953.6828</v>
      </c>
      <c r="D66" s="80">
        <f t="shared" si="23"/>
        <v>2.8E-3</v>
      </c>
      <c r="E66" s="179">
        <v>14815.751999999999</v>
      </c>
      <c r="F66" s="80">
        <f t="shared" si="24"/>
        <v>2.7999999999999995E-3</v>
      </c>
      <c r="G66" s="179">
        <v>15752.409512000002</v>
      </c>
      <c r="H66" s="80">
        <f t="shared" si="25"/>
        <v>2.8000000000000004E-3</v>
      </c>
      <c r="I66" s="179">
        <v>16759.505702239996</v>
      </c>
      <c r="J66" s="80">
        <f t="shared" si="26"/>
        <v>2.7999999999999995E-3</v>
      </c>
      <c r="K66" s="179">
        <v>17823.423816284801</v>
      </c>
      <c r="L66" s="80">
        <f t="shared" si="27"/>
        <v>2.8E-3</v>
      </c>
      <c r="M66" s="179">
        <v>18182.580292610495</v>
      </c>
      <c r="N66" s="80">
        <f t="shared" si="28"/>
        <v>2.8E-3</v>
      </c>
      <c r="O66" s="179">
        <v>18545.391898462705</v>
      </c>
      <c r="P66" s="80">
        <f t="shared" si="29"/>
        <v>2.8E-3</v>
      </c>
      <c r="Q66" s="179">
        <v>18914.67573643196</v>
      </c>
      <c r="R66" s="80">
        <f t="shared" si="30"/>
        <v>2.8E-3</v>
      </c>
      <c r="S66" s="179">
        <v>19293.249251160596</v>
      </c>
      <c r="T66" s="80">
        <f t="shared" si="31"/>
        <v>2.7999999999999995E-3</v>
      </c>
      <c r="U66" s="179">
        <v>19681.13023618381</v>
      </c>
      <c r="V66" s="80">
        <f t="shared" si="32"/>
        <v>2.8E-3</v>
      </c>
      <c r="X66" s="200"/>
    </row>
    <row r="67" spans="1:24" ht="12.75" customHeight="1">
      <c r="A67" s="2" t="s">
        <v>398</v>
      </c>
      <c r="B67" s="35"/>
      <c r="C67" s="179">
        <v>80109.014999999999</v>
      </c>
      <c r="D67" s="80">
        <f t="shared" si="23"/>
        <v>1.4999999999999999E-2</v>
      </c>
      <c r="E67" s="179">
        <v>79370.099999999991</v>
      </c>
      <c r="F67" s="80">
        <f t="shared" si="24"/>
        <v>1.4999999999999998E-2</v>
      </c>
      <c r="G67" s="179">
        <v>84387.908100000001</v>
      </c>
      <c r="H67" s="80">
        <f t="shared" si="25"/>
        <v>1.4999999999999999E-2</v>
      </c>
      <c r="I67" s="179">
        <v>89783.066261999978</v>
      </c>
      <c r="J67" s="80">
        <f t="shared" si="26"/>
        <v>1.4999999999999998E-2</v>
      </c>
      <c r="K67" s="179">
        <v>95482.62758724</v>
      </c>
      <c r="L67" s="80">
        <f t="shared" si="27"/>
        <v>1.4999999999999999E-2</v>
      </c>
      <c r="M67" s="179">
        <v>97406.680138984797</v>
      </c>
      <c r="N67" s="80">
        <f t="shared" si="28"/>
        <v>1.4999999999999999E-2</v>
      </c>
      <c r="O67" s="179">
        <v>99350.313741764505</v>
      </c>
      <c r="P67" s="80">
        <f t="shared" si="29"/>
        <v>1.5000000000000001E-2</v>
      </c>
      <c r="Q67" s="179">
        <v>101328.62001659979</v>
      </c>
      <c r="R67" s="80">
        <f t="shared" si="30"/>
        <v>1.5000000000000001E-2</v>
      </c>
      <c r="S67" s="179">
        <v>103356.69241693178</v>
      </c>
      <c r="T67" s="80">
        <f t="shared" si="31"/>
        <v>1.4999999999999999E-2</v>
      </c>
      <c r="U67" s="179">
        <v>105434.6262652704</v>
      </c>
      <c r="V67" s="80">
        <f t="shared" si="32"/>
        <v>1.4999999999999999E-2</v>
      </c>
      <c r="X67" s="200"/>
    </row>
    <row r="68" spans="1:24" ht="12.75" customHeight="1">
      <c r="A68" s="2" t="s">
        <v>399</v>
      </c>
      <c r="B68" s="35"/>
      <c r="C68" s="179">
        <v>9079.0216999999993</v>
      </c>
      <c r="D68" s="80">
        <f t="shared" si="23"/>
        <v>1.6999999999999999E-3</v>
      </c>
      <c r="E68" s="179">
        <v>8995.2779999999984</v>
      </c>
      <c r="F68" s="80">
        <f t="shared" si="24"/>
        <v>1.6999999999999997E-3</v>
      </c>
      <c r="G68" s="179">
        <v>9563.9629180000011</v>
      </c>
      <c r="H68" s="80">
        <f t="shared" si="25"/>
        <v>1.7000000000000001E-3</v>
      </c>
      <c r="I68" s="179">
        <v>10175.414176359998</v>
      </c>
      <c r="J68" s="80">
        <f t="shared" si="26"/>
        <v>1.6999999999999999E-3</v>
      </c>
      <c r="K68" s="179">
        <v>10821.3644598872</v>
      </c>
      <c r="L68" s="80">
        <f t="shared" si="27"/>
        <v>1.6999999999999999E-3</v>
      </c>
      <c r="M68" s="179">
        <v>11039.423749084943</v>
      </c>
      <c r="N68" s="80">
        <f t="shared" si="28"/>
        <v>1.6999999999999999E-3</v>
      </c>
      <c r="O68" s="179">
        <v>11259.702224066643</v>
      </c>
      <c r="P68" s="80">
        <f t="shared" si="29"/>
        <v>1.6999999999999999E-3</v>
      </c>
      <c r="Q68" s="179">
        <v>11483.910268547976</v>
      </c>
      <c r="R68" s="80">
        <f t="shared" si="30"/>
        <v>1.7000000000000001E-3</v>
      </c>
      <c r="S68" s="179">
        <v>11713.758473918933</v>
      </c>
      <c r="T68" s="80">
        <f t="shared" si="31"/>
        <v>1.6999999999999997E-3</v>
      </c>
      <c r="U68" s="179">
        <v>11949.257643397312</v>
      </c>
      <c r="V68" s="80">
        <f t="shared" si="32"/>
        <v>1.6999999999999997E-3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3"/>
        <v>0</v>
      </c>
      <c r="E69" s="179">
        <v>0</v>
      </c>
      <c r="F69" s="80">
        <f t="shared" si="24"/>
        <v>0</v>
      </c>
      <c r="G69" s="179">
        <v>0</v>
      </c>
      <c r="H69" s="80">
        <f t="shared" si="25"/>
        <v>0</v>
      </c>
      <c r="I69" s="179">
        <v>0</v>
      </c>
      <c r="J69" s="80">
        <f t="shared" si="26"/>
        <v>0</v>
      </c>
      <c r="K69" s="179">
        <v>0</v>
      </c>
      <c r="L69" s="80">
        <f t="shared" si="27"/>
        <v>0</v>
      </c>
      <c r="M69" s="179">
        <v>0</v>
      </c>
      <c r="N69" s="80">
        <f t="shared" si="28"/>
        <v>0</v>
      </c>
      <c r="O69" s="179">
        <v>0</v>
      </c>
      <c r="P69" s="80">
        <f t="shared" si="29"/>
        <v>0</v>
      </c>
      <c r="Q69" s="179">
        <v>0</v>
      </c>
      <c r="R69" s="80">
        <f t="shared" si="30"/>
        <v>0</v>
      </c>
      <c r="S69" s="179">
        <v>0</v>
      </c>
      <c r="T69" s="80">
        <f t="shared" si="31"/>
        <v>0</v>
      </c>
      <c r="U69" s="179">
        <v>0</v>
      </c>
      <c r="V69" s="80">
        <f t="shared" si="32"/>
        <v>0</v>
      </c>
      <c r="X69" s="200"/>
    </row>
    <row r="70" spans="1:24" ht="12.75" customHeight="1">
      <c r="A70" s="2" t="s">
        <v>401</v>
      </c>
      <c r="B70" s="35"/>
      <c r="C70" s="179">
        <v>534.06010000000003</v>
      </c>
      <c r="D70" s="80">
        <f t="shared" si="23"/>
        <v>1E-4</v>
      </c>
      <c r="E70" s="179">
        <v>529.13400000000001</v>
      </c>
      <c r="F70" s="80">
        <f t="shared" si="24"/>
        <v>1E-4</v>
      </c>
      <c r="G70" s="179">
        <v>562.58605399999999</v>
      </c>
      <c r="H70" s="80">
        <f t="shared" si="25"/>
        <v>9.9999999999999991E-5</v>
      </c>
      <c r="I70" s="179">
        <v>598.55377507999992</v>
      </c>
      <c r="J70" s="80">
        <f t="shared" si="26"/>
        <v>9.9999999999999991E-5</v>
      </c>
      <c r="K70" s="179">
        <v>636.5508505816</v>
      </c>
      <c r="L70" s="80">
        <f t="shared" si="27"/>
        <v>9.9999999999999991E-5</v>
      </c>
      <c r="M70" s="179">
        <v>649.37786759323194</v>
      </c>
      <c r="N70" s="80">
        <f t="shared" si="28"/>
        <v>9.9999999999999991E-5</v>
      </c>
      <c r="O70" s="179">
        <v>662.33542494509675</v>
      </c>
      <c r="P70" s="80">
        <f t="shared" si="29"/>
        <v>1E-4</v>
      </c>
      <c r="Q70" s="179">
        <v>675.52413344399861</v>
      </c>
      <c r="R70" s="80">
        <f t="shared" si="30"/>
        <v>1E-4</v>
      </c>
      <c r="S70" s="179">
        <v>689.04461611287854</v>
      </c>
      <c r="T70" s="80">
        <f t="shared" si="31"/>
        <v>1E-4</v>
      </c>
      <c r="U70" s="179">
        <v>702.89750843513616</v>
      </c>
      <c r="V70" s="80">
        <f t="shared" si="32"/>
        <v>1E-4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3"/>
        <v>0</v>
      </c>
      <c r="E71" s="179">
        <v>0</v>
      </c>
      <c r="F71" s="80">
        <f t="shared" si="24"/>
        <v>0</v>
      </c>
      <c r="G71" s="179">
        <v>0</v>
      </c>
      <c r="H71" s="80">
        <f t="shared" si="25"/>
        <v>0</v>
      </c>
      <c r="I71" s="179">
        <v>0</v>
      </c>
      <c r="J71" s="80">
        <f t="shared" si="26"/>
        <v>0</v>
      </c>
      <c r="K71" s="179">
        <v>0</v>
      </c>
      <c r="L71" s="80">
        <f t="shared" si="27"/>
        <v>0</v>
      </c>
      <c r="M71" s="179">
        <v>0</v>
      </c>
      <c r="N71" s="80">
        <f t="shared" si="28"/>
        <v>0</v>
      </c>
      <c r="O71" s="179">
        <v>0</v>
      </c>
      <c r="P71" s="80">
        <f t="shared" si="29"/>
        <v>0</v>
      </c>
      <c r="Q71" s="179">
        <v>0</v>
      </c>
      <c r="R71" s="80">
        <f t="shared" si="30"/>
        <v>0</v>
      </c>
      <c r="S71" s="179">
        <v>0</v>
      </c>
      <c r="T71" s="80">
        <f t="shared" si="31"/>
        <v>0</v>
      </c>
      <c r="U71" s="179">
        <v>0</v>
      </c>
      <c r="V71" s="80">
        <f t="shared" si="32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3"/>
        <v>0</v>
      </c>
      <c r="E72" s="179">
        <v>0</v>
      </c>
      <c r="F72" s="80">
        <f t="shared" si="24"/>
        <v>0</v>
      </c>
      <c r="G72" s="179">
        <v>0</v>
      </c>
      <c r="H72" s="80">
        <f t="shared" si="25"/>
        <v>0</v>
      </c>
      <c r="I72" s="179">
        <v>0</v>
      </c>
      <c r="J72" s="80">
        <f t="shared" si="26"/>
        <v>0</v>
      </c>
      <c r="K72" s="179">
        <v>0</v>
      </c>
      <c r="L72" s="80">
        <f t="shared" si="27"/>
        <v>0</v>
      </c>
      <c r="M72" s="179">
        <v>0</v>
      </c>
      <c r="N72" s="80">
        <f t="shared" si="28"/>
        <v>0</v>
      </c>
      <c r="O72" s="179">
        <v>0</v>
      </c>
      <c r="P72" s="80">
        <f t="shared" si="29"/>
        <v>0</v>
      </c>
      <c r="Q72" s="179">
        <v>0</v>
      </c>
      <c r="R72" s="80">
        <f t="shared" si="30"/>
        <v>0</v>
      </c>
      <c r="S72" s="179">
        <v>0</v>
      </c>
      <c r="T72" s="80">
        <f t="shared" si="31"/>
        <v>0</v>
      </c>
      <c r="U72" s="179">
        <v>0</v>
      </c>
      <c r="V72" s="80">
        <f t="shared" si="32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3"/>
        <v>0</v>
      </c>
      <c r="E73" s="179">
        <v>0</v>
      </c>
      <c r="F73" s="80">
        <f t="shared" si="24"/>
        <v>0</v>
      </c>
      <c r="G73" s="179">
        <v>0</v>
      </c>
      <c r="H73" s="80">
        <f t="shared" si="25"/>
        <v>0</v>
      </c>
      <c r="I73" s="179">
        <v>0</v>
      </c>
      <c r="J73" s="80">
        <f t="shared" si="26"/>
        <v>0</v>
      </c>
      <c r="K73" s="179">
        <v>0</v>
      </c>
      <c r="L73" s="80">
        <f t="shared" si="27"/>
        <v>0</v>
      </c>
      <c r="M73" s="179">
        <v>0</v>
      </c>
      <c r="N73" s="80">
        <f t="shared" si="28"/>
        <v>0</v>
      </c>
      <c r="O73" s="179">
        <v>0</v>
      </c>
      <c r="P73" s="80">
        <f t="shared" si="29"/>
        <v>0</v>
      </c>
      <c r="Q73" s="179">
        <v>0</v>
      </c>
      <c r="R73" s="80">
        <f t="shared" si="30"/>
        <v>0</v>
      </c>
      <c r="S73" s="179">
        <v>0</v>
      </c>
      <c r="T73" s="80">
        <f t="shared" si="31"/>
        <v>0</v>
      </c>
      <c r="U73" s="179">
        <v>0</v>
      </c>
      <c r="V73" s="80">
        <f t="shared" si="32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3"/>
        <v>0</v>
      </c>
      <c r="E74" s="179">
        <v>0</v>
      </c>
      <c r="F74" s="80">
        <f t="shared" si="24"/>
        <v>0</v>
      </c>
      <c r="G74" s="179">
        <v>0</v>
      </c>
      <c r="H74" s="80">
        <f t="shared" si="25"/>
        <v>0</v>
      </c>
      <c r="I74" s="179">
        <v>0</v>
      </c>
      <c r="J74" s="80">
        <f t="shared" si="26"/>
        <v>0</v>
      </c>
      <c r="K74" s="179">
        <v>0</v>
      </c>
      <c r="L74" s="80">
        <f t="shared" si="27"/>
        <v>0</v>
      </c>
      <c r="M74" s="179">
        <v>0</v>
      </c>
      <c r="N74" s="80">
        <f t="shared" si="28"/>
        <v>0</v>
      </c>
      <c r="O74" s="179">
        <v>0</v>
      </c>
      <c r="P74" s="80">
        <f t="shared" si="29"/>
        <v>0</v>
      </c>
      <c r="Q74" s="179">
        <v>0</v>
      </c>
      <c r="R74" s="80">
        <f t="shared" si="30"/>
        <v>0</v>
      </c>
      <c r="S74" s="179">
        <v>0</v>
      </c>
      <c r="T74" s="80">
        <f t="shared" si="31"/>
        <v>0</v>
      </c>
      <c r="U74" s="179">
        <v>0</v>
      </c>
      <c r="V74" s="80">
        <f t="shared" si="32"/>
        <v>0</v>
      </c>
      <c r="X74" s="200"/>
    </row>
    <row r="75" spans="1:24" ht="12.75" customHeight="1">
      <c r="A75" s="2" t="s">
        <v>406</v>
      </c>
      <c r="B75" s="35"/>
      <c r="C75" s="179">
        <v>26703.005000000001</v>
      </c>
      <c r="D75" s="80">
        <f t="shared" si="23"/>
        <v>5.0000000000000001E-3</v>
      </c>
      <c r="E75" s="179">
        <v>26456.699999999997</v>
      </c>
      <c r="F75" s="80">
        <f t="shared" si="24"/>
        <v>4.9999999999999992E-3</v>
      </c>
      <c r="G75" s="179">
        <v>28129.3027</v>
      </c>
      <c r="H75" s="80">
        <f t="shared" si="25"/>
        <v>5.0000000000000001E-3</v>
      </c>
      <c r="I75" s="179">
        <v>29927.688753999999</v>
      </c>
      <c r="J75" s="80">
        <f t="shared" si="26"/>
        <v>5.0000000000000001E-3</v>
      </c>
      <c r="K75" s="179">
        <v>31827.542529080005</v>
      </c>
      <c r="L75" s="80">
        <f t="shared" si="27"/>
        <v>5.0000000000000001E-3</v>
      </c>
      <c r="M75" s="179">
        <v>32468.893379661597</v>
      </c>
      <c r="N75" s="80">
        <f t="shared" si="28"/>
        <v>4.9999999999999992E-3</v>
      </c>
      <c r="O75" s="179">
        <v>33116.771247254837</v>
      </c>
      <c r="P75" s="80">
        <f t="shared" si="29"/>
        <v>5.000000000000001E-3</v>
      </c>
      <c r="Q75" s="179">
        <v>33776.206672199929</v>
      </c>
      <c r="R75" s="80">
        <f t="shared" si="30"/>
        <v>5.0000000000000001E-3</v>
      </c>
      <c r="S75" s="179">
        <v>34452.230805643929</v>
      </c>
      <c r="T75" s="80">
        <f t="shared" si="31"/>
        <v>5.0000000000000001E-3</v>
      </c>
      <c r="U75" s="179">
        <v>35144.875421756806</v>
      </c>
      <c r="V75" s="80">
        <f t="shared" si="32"/>
        <v>5.0000000000000001E-3</v>
      </c>
      <c r="X75" s="200"/>
    </row>
    <row r="76" spans="1:24" ht="12.75" customHeight="1">
      <c r="A76" s="2" t="s">
        <v>407</v>
      </c>
      <c r="B76" s="35"/>
      <c r="C76" s="179">
        <v>2136.2404000000001</v>
      </c>
      <c r="D76" s="80">
        <f t="shared" si="23"/>
        <v>4.0000000000000002E-4</v>
      </c>
      <c r="E76" s="179">
        <v>2116.5360000000001</v>
      </c>
      <c r="F76" s="80">
        <f t="shared" si="24"/>
        <v>4.0000000000000002E-4</v>
      </c>
      <c r="G76" s="179">
        <v>2250.344216</v>
      </c>
      <c r="H76" s="80">
        <f t="shared" si="25"/>
        <v>3.9999999999999996E-4</v>
      </c>
      <c r="I76" s="179">
        <v>2394.2151003199997</v>
      </c>
      <c r="J76" s="80">
        <f t="shared" si="26"/>
        <v>3.9999999999999996E-4</v>
      </c>
      <c r="K76" s="179">
        <v>2546.2034023264</v>
      </c>
      <c r="L76" s="80">
        <f t="shared" si="27"/>
        <v>3.9999999999999996E-4</v>
      </c>
      <c r="M76" s="179">
        <v>2597.5114703729278</v>
      </c>
      <c r="N76" s="80">
        <f t="shared" si="28"/>
        <v>3.9999999999999996E-4</v>
      </c>
      <c r="O76" s="179">
        <v>2649.341699780387</v>
      </c>
      <c r="P76" s="80">
        <f t="shared" si="29"/>
        <v>4.0000000000000002E-4</v>
      </c>
      <c r="Q76" s="179">
        <v>2702.0965337759944</v>
      </c>
      <c r="R76" s="80">
        <f t="shared" si="30"/>
        <v>4.0000000000000002E-4</v>
      </c>
      <c r="S76" s="179">
        <v>2756.1784644515142</v>
      </c>
      <c r="T76" s="80">
        <f t="shared" si="31"/>
        <v>4.0000000000000002E-4</v>
      </c>
      <c r="U76" s="179">
        <v>2811.5900337405446</v>
      </c>
      <c r="V76" s="80">
        <f t="shared" si="32"/>
        <v>4.0000000000000002E-4</v>
      </c>
      <c r="X76" s="200"/>
    </row>
    <row r="77" spans="1:24" ht="12.75" customHeight="1">
      <c r="A77" s="2" t="s">
        <v>408</v>
      </c>
      <c r="B77" s="35"/>
      <c r="C77" s="179">
        <v>6942.7812999999996</v>
      </c>
      <c r="D77" s="80">
        <f t="shared" si="23"/>
        <v>1.2999999999999999E-3</v>
      </c>
      <c r="E77" s="179">
        <v>6878.7419999999993</v>
      </c>
      <c r="F77" s="80">
        <f t="shared" si="24"/>
        <v>1.2999999999999999E-3</v>
      </c>
      <c r="G77" s="179">
        <v>7313.6187019999998</v>
      </c>
      <c r="H77" s="80">
        <f t="shared" si="25"/>
        <v>1.2999999999999999E-3</v>
      </c>
      <c r="I77" s="179">
        <v>7781.1990760399985</v>
      </c>
      <c r="J77" s="80">
        <f t="shared" si="26"/>
        <v>1.2999999999999999E-3</v>
      </c>
      <c r="K77" s="179">
        <v>8275.1610575607992</v>
      </c>
      <c r="L77" s="80">
        <f t="shared" si="27"/>
        <v>1.2999999999999997E-3</v>
      </c>
      <c r="M77" s="179">
        <v>8441.9122787120141</v>
      </c>
      <c r="N77" s="80">
        <f t="shared" si="28"/>
        <v>1.2999999999999997E-3</v>
      </c>
      <c r="O77" s="179">
        <v>8610.3605242862559</v>
      </c>
      <c r="P77" s="80">
        <f t="shared" si="29"/>
        <v>1.2999999999999999E-3</v>
      </c>
      <c r="Q77" s="179">
        <v>8781.8137347719821</v>
      </c>
      <c r="R77" s="80">
        <f t="shared" si="30"/>
        <v>1.3000000000000002E-3</v>
      </c>
      <c r="S77" s="179">
        <v>8957.5800094674196</v>
      </c>
      <c r="T77" s="80">
        <f t="shared" si="31"/>
        <v>1.2999999999999997E-3</v>
      </c>
      <c r="U77" s="179">
        <v>9137.667609656768</v>
      </c>
      <c r="V77" s="80">
        <f t="shared" si="32"/>
        <v>1.2999999999999999E-3</v>
      </c>
      <c r="X77" s="200"/>
    </row>
    <row r="78" spans="1:24" ht="12.75" customHeight="1">
      <c r="A78" s="2" t="s">
        <v>409</v>
      </c>
      <c r="B78" s="35"/>
      <c r="C78" s="179">
        <v>117493.22199999999</v>
      </c>
      <c r="D78" s="80">
        <f t="shared" si="23"/>
        <v>2.1999999999999999E-2</v>
      </c>
      <c r="E78" s="179">
        <v>116409.47999999998</v>
      </c>
      <c r="F78" s="80">
        <f t="shared" si="24"/>
        <v>2.1999999999999995E-2</v>
      </c>
      <c r="G78" s="179">
        <v>123768.93188</v>
      </c>
      <c r="H78" s="80">
        <f t="shared" si="25"/>
        <v>2.2000000000000002E-2</v>
      </c>
      <c r="I78" s="179">
        <v>131681.83051759997</v>
      </c>
      <c r="J78" s="80">
        <f t="shared" si="26"/>
        <v>2.1999999999999995E-2</v>
      </c>
      <c r="K78" s="179">
        <v>140041.187127952</v>
      </c>
      <c r="L78" s="80">
        <f t="shared" si="27"/>
        <v>2.1999999999999999E-2</v>
      </c>
      <c r="M78" s="179">
        <v>142863.13087051103</v>
      </c>
      <c r="N78" s="80">
        <f t="shared" si="28"/>
        <v>2.1999999999999999E-2</v>
      </c>
      <c r="O78" s="179">
        <v>145713.79348792127</v>
      </c>
      <c r="P78" s="80">
        <f t="shared" si="29"/>
        <v>2.1999999999999999E-2</v>
      </c>
      <c r="Q78" s="179">
        <v>148615.30935767968</v>
      </c>
      <c r="R78" s="80">
        <f t="shared" si="30"/>
        <v>2.1999999999999999E-2</v>
      </c>
      <c r="S78" s="179">
        <v>151589.81554483325</v>
      </c>
      <c r="T78" s="80">
        <f t="shared" si="31"/>
        <v>2.1999999999999995E-2</v>
      </c>
      <c r="U78" s="179">
        <v>154637.45185572995</v>
      </c>
      <c r="V78" s="80">
        <f t="shared" si="32"/>
        <v>2.2000000000000002E-2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3"/>
        <v>0</v>
      </c>
      <c r="E79" s="179">
        <v>0</v>
      </c>
      <c r="F79" s="80">
        <f t="shared" si="24"/>
        <v>0</v>
      </c>
      <c r="G79" s="179">
        <v>0</v>
      </c>
      <c r="H79" s="80">
        <f t="shared" si="25"/>
        <v>0</v>
      </c>
      <c r="I79" s="179">
        <v>0</v>
      </c>
      <c r="J79" s="80">
        <f t="shared" si="26"/>
        <v>0</v>
      </c>
      <c r="K79" s="179">
        <v>0</v>
      </c>
      <c r="L79" s="80">
        <f t="shared" si="27"/>
        <v>0</v>
      </c>
      <c r="M79" s="179">
        <v>0</v>
      </c>
      <c r="N79" s="80">
        <f t="shared" si="28"/>
        <v>0</v>
      </c>
      <c r="O79" s="179">
        <v>0</v>
      </c>
      <c r="P79" s="80">
        <f t="shared" si="29"/>
        <v>0</v>
      </c>
      <c r="Q79" s="179">
        <v>0</v>
      </c>
      <c r="R79" s="80">
        <f t="shared" si="30"/>
        <v>0</v>
      </c>
      <c r="S79" s="179">
        <v>0</v>
      </c>
      <c r="T79" s="80">
        <f t="shared" si="31"/>
        <v>0</v>
      </c>
      <c r="U79" s="179">
        <v>0</v>
      </c>
      <c r="V79" s="80">
        <f t="shared" si="32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3"/>
        <v>0</v>
      </c>
      <c r="E80" s="179">
        <v>0</v>
      </c>
      <c r="F80" s="80">
        <f t="shared" si="24"/>
        <v>0</v>
      </c>
      <c r="G80" s="179">
        <v>0</v>
      </c>
      <c r="H80" s="80">
        <f t="shared" si="25"/>
        <v>0</v>
      </c>
      <c r="I80" s="179">
        <v>0</v>
      </c>
      <c r="J80" s="80">
        <f t="shared" si="26"/>
        <v>0</v>
      </c>
      <c r="K80" s="179">
        <v>0</v>
      </c>
      <c r="L80" s="80">
        <f t="shared" si="27"/>
        <v>0</v>
      </c>
      <c r="M80" s="179">
        <v>0</v>
      </c>
      <c r="N80" s="80">
        <f t="shared" si="28"/>
        <v>0</v>
      </c>
      <c r="O80" s="179">
        <v>0</v>
      </c>
      <c r="P80" s="80">
        <f t="shared" si="29"/>
        <v>0</v>
      </c>
      <c r="Q80" s="179">
        <v>0</v>
      </c>
      <c r="R80" s="80">
        <f t="shared" si="30"/>
        <v>0</v>
      </c>
      <c r="S80" s="179">
        <v>0</v>
      </c>
      <c r="T80" s="80">
        <f t="shared" si="31"/>
        <v>0</v>
      </c>
      <c r="U80" s="179">
        <v>0</v>
      </c>
      <c r="V80" s="80">
        <f t="shared" si="32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3"/>
        <v>0</v>
      </c>
      <c r="E81" s="179">
        <v>0</v>
      </c>
      <c r="F81" s="80">
        <f t="shared" si="24"/>
        <v>0</v>
      </c>
      <c r="G81" s="179">
        <v>0</v>
      </c>
      <c r="H81" s="80">
        <f t="shared" si="25"/>
        <v>0</v>
      </c>
      <c r="I81" s="179">
        <v>0</v>
      </c>
      <c r="J81" s="80">
        <f t="shared" si="26"/>
        <v>0</v>
      </c>
      <c r="K81" s="179">
        <v>0</v>
      </c>
      <c r="L81" s="80">
        <f t="shared" si="27"/>
        <v>0</v>
      </c>
      <c r="M81" s="179">
        <v>0</v>
      </c>
      <c r="N81" s="80">
        <f t="shared" si="28"/>
        <v>0</v>
      </c>
      <c r="O81" s="179">
        <v>0</v>
      </c>
      <c r="P81" s="80">
        <f t="shared" si="29"/>
        <v>0</v>
      </c>
      <c r="Q81" s="179">
        <v>0</v>
      </c>
      <c r="R81" s="80">
        <f t="shared" si="30"/>
        <v>0</v>
      </c>
      <c r="S81" s="179">
        <v>0</v>
      </c>
      <c r="T81" s="80">
        <f t="shared" si="31"/>
        <v>0</v>
      </c>
      <c r="U81" s="179">
        <v>0</v>
      </c>
      <c r="V81" s="80">
        <f t="shared" si="32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3"/>
        <v>0</v>
      </c>
      <c r="E82" s="179">
        <v>0</v>
      </c>
      <c r="F82" s="80">
        <f t="shared" si="24"/>
        <v>0</v>
      </c>
      <c r="G82" s="179">
        <v>0</v>
      </c>
      <c r="H82" s="80">
        <f t="shared" si="25"/>
        <v>0</v>
      </c>
      <c r="I82" s="179">
        <v>0</v>
      </c>
      <c r="J82" s="80">
        <f t="shared" si="26"/>
        <v>0</v>
      </c>
      <c r="K82" s="179">
        <v>0</v>
      </c>
      <c r="L82" s="80">
        <f t="shared" si="27"/>
        <v>0</v>
      </c>
      <c r="M82" s="179">
        <v>0</v>
      </c>
      <c r="N82" s="80">
        <f t="shared" si="28"/>
        <v>0</v>
      </c>
      <c r="O82" s="179">
        <v>0</v>
      </c>
      <c r="P82" s="80">
        <f t="shared" si="29"/>
        <v>0</v>
      </c>
      <c r="Q82" s="179">
        <v>0</v>
      </c>
      <c r="R82" s="80">
        <f t="shared" si="30"/>
        <v>0</v>
      </c>
      <c r="S82" s="179">
        <v>0</v>
      </c>
      <c r="T82" s="80">
        <f t="shared" si="31"/>
        <v>0</v>
      </c>
      <c r="U82" s="179">
        <v>0</v>
      </c>
      <c r="V82" s="80">
        <f t="shared" si="32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3"/>
        <v>0</v>
      </c>
      <c r="E83" s="179">
        <v>0</v>
      </c>
      <c r="F83" s="80">
        <f t="shared" si="24"/>
        <v>0</v>
      </c>
      <c r="G83" s="179">
        <v>0</v>
      </c>
      <c r="H83" s="80">
        <f t="shared" si="25"/>
        <v>0</v>
      </c>
      <c r="I83" s="179">
        <v>0</v>
      </c>
      <c r="J83" s="80">
        <f t="shared" si="26"/>
        <v>0</v>
      </c>
      <c r="K83" s="179">
        <v>0</v>
      </c>
      <c r="L83" s="80">
        <f t="shared" si="27"/>
        <v>0</v>
      </c>
      <c r="M83" s="179">
        <v>0</v>
      </c>
      <c r="N83" s="80">
        <f t="shared" si="28"/>
        <v>0</v>
      </c>
      <c r="O83" s="179">
        <v>0</v>
      </c>
      <c r="P83" s="80">
        <f t="shared" si="29"/>
        <v>0</v>
      </c>
      <c r="Q83" s="179">
        <v>0</v>
      </c>
      <c r="R83" s="80">
        <f t="shared" si="30"/>
        <v>0</v>
      </c>
      <c r="S83" s="179">
        <v>0</v>
      </c>
      <c r="T83" s="80">
        <f t="shared" si="31"/>
        <v>0</v>
      </c>
      <c r="U83" s="179">
        <v>0</v>
      </c>
      <c r="V83" s="80">
        <f t="shared" si="32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ref="D84:D105" si="33">IFERROR(C84/C$28,0)</f>
        <v>0</v>
      </c>
      <c r="E84" s="179">
        <v>0</v>
      </c>
      <c r="F84" s="80">
        <f t="shared" ref="F84:F105" si="34">IFERROR(E84/E$28,0)</f>
        <v>0</v>
      </c>
      <c r="G84" s="179">
        <v>0</v>
      </c>
      <c r="H84" s="80">
        <f t="shared" ref="H84:H105" si="35">IFERROR(G84/G$28,0)</f>
        <v>0</v>
      </c>
      <c r="I84" s="179">
        <v>0</v>
      </c>
      <c r="J84" s="80">
        <f t="shared" ref="J84:J105" si="36">IFERROR(I84/I$28,0)</f>
        <v>0</v>
      </c>
      <c r="K84" s="179">
        <v>0</v>
      </c>
      <c r="L84" s="80">
        <f t="shared" ref="L84:L105" si="37">IFERROR(K84/K$28,0)</f>
        <v>0</v>
      </c>
      <c r="M84" s="179">
        <v>0</v>
      </c>
      <c r="N84" s="80">
        <f t="shared" ref="N84:N105" si="38">IFERROR(M84/M$28,0)</f>
        <v>0</v>
      </c>
      <c r="O84" s="179">
        <v>0</v>
      </c>
      <c r="P84" s="80">
        <f t="shared" ref="P84:P105" si="39">IFERROR(O84/O$28,0)</f>
        <v>0</v>
      </c>
      <c r="Q84" s="179">
        <v>0</v>
      </c>
      <c r="R84" s="80">
        <f t="shared" ref="R84:R105" si="40">IFERROR(Q84/Q$28,0)</f>
        <v>0</v>
      </c>
      <c r="S84" s="179">
        <v>0</v>
      </c>
      <c r="T84" s="80">
        <f t="shared" ref="T84:T105" si="41">IFERROR(S84/S$28,0)</f>
        <v>0</v>
      </c>
      <c r="U84" s="179">
        <v>0</v>
      </c>
      <c r="V84" s="80">
        <f t="shared" ref="V84:V105" si="42">IFERROR(U84/U$28,0)</f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33"/>
        <v>0</v>
      </c>
      <c r="E85" s="179">
        <v>0</v>
      </c>
      <c r="F85" s="80">
        <f t="shared" si="34"/>
        <v>0</v>
      </c>
      <c r="G85" s="179">
        <v>0</v>
      </c>
      <c r="H85" s="80">
        <f t="shared" si="35"/>
        <v>0</v>
      </c>
      <c r="I85" s="179">
        <v>0</v>
      </c>
      <c r="J85" s="80">
        <f t="shared" si="36"/>
        <v>0</v>
      </c>
      <c r="K85" s="179">
        <v>0</v>
      </c>
      <c r="L85" s="80">
        <f t="shared" si="37"/>
        <v>0</v>
      </c>
      <c r="M85" s="179">
        <v>0</v>
      </c>
      <c r="N85" s="80">
        <f t="shared" si="38"/>
        <v>0</v>
      </c>
      <c r="O85" s="179">
        <v>0</v>
      </c>
      <c r="P85" s="80">
        <f t="shared" si="39"/>
        <v>0</v>
      </c>
      <c r="Q85" s="179">
        <v>0</v>
      </c>
      <c r="R85" s="80">
        <f t="shared" si="40"/>
        <v>0</v>
      </c>
      <c r="S85" s="179">
        <v>0</v>
      </c>
      <c r="T85" s="80">
        <f t="shared" si="41"/>
        <v>0</v>
      </c>
      <c r="U85" s="179">
        <v>0</v>
      </c>
      <c r="V85" s="80">
        <f t="shared" si="42"/>
        <v>0</v>
      </c>
      <c r="X85" s="200"/>
    </row>
    <row r="86" spans="1:24" ht="12.75" customHeight="1">
      <c r="A86" s="2" t="s">
        <v>417</v>
      </c>
      <c r="B86" s="35"/>
      <c r="C86" s="179">
        <v>21362.403999999999</v>
      </c>
      <c r="D86" s="80">
        <f t="shared" si="33"/>
        <v>4.0000000000000001E-3</v>
      </c>
      <c r="E86" s="179">
        <v>21165.360000000001</v>
      </c>
      <c r="F86" s="80">
        <f t="shared" si="34"/>
        <v>4.0000000000000001E-3</v>
      </c>
      <c r="G86" s="179">
        <v>22503.442160000002</v>
      </c>
      <c r="H86" s="80">
        <f t="shared" si="35"/>
        <v>4.0000000000000001E-3</v>
      </c>
      <c r="I86" s="179">
        <v>23942.151003200001</v>
      </c>
      <c r="J86" s="80">
        <f t="shared" si="36"/>
        <v>4.0000000000000001E-3</v>
      </c>
      <c r="K86" s="179">
        <v>25462.034023264001</v>
      </c>
      <c r="L86" s="80">
        <f t="shared" si="37"/>
        <v>4.0000000000000001E-3</v>
      </c>
      <c r="M86" s="179">
        <v>25975.114703729279</v>
      </c>
      <c r="N86" s="80">
        <f t="shared" si="38"/>
        <v>4.0000000000000001E-3</v>
      </c>
      <c r="O86" s="179">
        <v>26493.416997803866</v>
      </c>
      <c r="P86" s="80">
        <f t="shared" si="39"/>
        <v>4.0000000000000001E-3</v>
      </c>
      <c r="Q86" s="179">
        <v>27020.965337759942</v>
      </c>
      <c r="R86" s="80">
        <f t="shared" si="40"/>
        <v>4.0000000000000001E-3</v>
      </c>
      <c r="S86" s="179">
        <v>27561.784644515141</v>
      </c>
      <c r="T86" s="80">
        <f t="shared" si="41"/>
        <v>4.0000000000000001E-3</v>
      </c>
      <c r="U86" s="179">
        <v>28115.900337405445</v>
      </c>
      <c r="V86" s="80">
        <f t="shared" si="42"/>
        <v>4.0000000000000001E-3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33"/>
        <v>0</v>
      </c>
      <c r="E87" s="179">
        <v>0</v>
      </c>
      <c r="F87" s="80">
        <f t="shared" si="34"/>
        <v>0</v>
      </c>
      <c r="G87" s="179">
        <v>0</v>
      </c>
      <c r="H87" s="80">
        <f t="shared" si="35"/>
        <v>0</v>
      </c>
      <c r="I87" s="179">
        <v>0</v>
      </c>
      <c r="J87" s="80">
        <f t="shared" si="36"/>
        <v>0</v>
      </c>
      <c r="K87" s="179">
        <v>0</v>
      </c>
      <c r="L87" s="80">
        <f t="shared" si="37"/>
        <v>0</v>
      </c>
      <c r="M87" s="179">
        <v>0</v>
      </c>
      <c r="N87" s="80">
        <f t="shared" si="38"/>
        <v>0</v>
      </c>
      <c r="O87" s="179">
        <v>0</v>
      </c>
      <c r="P87" s="80">
        <f t="shared" si="39"/>
        <v>0</v>
      </c>
      <c r="Q87" s="179">
        <v>0</v>
      </c>
      <c r="R87" s="80">
        <f t="shared" si="40"/>
        <v>0</v>
      </c>
      <c r="S87" s="179">
        <v>0</v>
      </c>
      <c r="T87" s="80">
        <f t="shared" si="41"/>
        <v>0</v>
      </c>
      <c r="U87" s="179">
        <v>0</v>
      </c>
      <c r="V87" s="80">
        <f t="shared" si="42"/>
        <v>0</v>
      </c>
      <c r="X87" s="200"/>
    </row>
    <row r="88" spans="1:24" ht="12.75" customHeight="1">
      <c r="A88" s="2" t="s">
        <v>419</v>
      </c>
      <c r="B88" s="35"/>
      <c r="C88" s="179">
        <v>27237.065100000003</v>
      </c>
      <c r="D88" s="80">
        <f t="shared" si="33"/>
        <v>5.1000000000000004E-3</v>
      </c>
      <c r="E88" s="179">
        <v>26985.833999999999</v>
      </c>
      <c r="F88" s="80">
        <f t="shared" si="34"/>
        <v>5.0999999999999995E-3</v>
      </c>
      <c r="G88" s="179">
        <v>28691.888754000007</v>
      </c>
      <c r="H88" s="80">
        <f t="shared" si="35"/>
        <v>5.1000000000000012E-3</v>
      </c>
      <c r="I88" s="179">
        <v>30526.242529080002</v>
      </c>
      <c r="J88" s="80">
        <f t="shared" si="36"/>
        <v>5.1000000000000004E-3</v>
      </c>
      <c r="K88" s="179">
        <v>32464.093379661605</v>
      </c>
      <c r="L88" s="80">
        <f t="shared" si="37"/>
        <v>5.1000000000000004E-3</v>
      </c>
      <c r="M88" s="179">
        <v>33118.271247254837</v>
      </c>
      <c r="N88" s="80">
        <f t="shared" si="38"/>
        <v>5.1000000000000012E-3</v>
      </c>
      <c r="O88" s="179">
        <v>33779.106672199938</v>
      </c>
      <c r="P88" s="80">
        <f t="shared" si="39"/>
        <v>5.1000000000000012E-3</v>
      </c>
      <c r="Q88" s="179">
        <v>34451.730805643929</v>
      </c>
      <c r="R88" s="80">
        <f t="shared" si="40"/>
        <v>5.1000000000000004E-3</v>
      </c>
      <c r="S88" s="179">
        <v>35141.275421756807</v>
      </c>
      <c r="T88" s="80">
        <f t="shared" si="41"/>
        <v>5.1000000000000004E-3</v>
      </c>
      <c r="U88" s="179">
        <v>35847.772930191946</v>
      </c>
      <c r="V88" s="80">
        <f t="shared" si="42"/>
        <v>5.1000000000000012E-3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33"/>
        <v>0</v>
      </c>
      <c r="E89" s="179">
        <v>0</v>
      </c>
      <c r="F89" s="80">
        <f t="shared" si="34"/>
        <v>0</v>
      </c>
      <c r="G89" s="179">
        <v>0</v>
      </c>
      <c r="H89" s="80">
        <f t="shared" si="35"/>
        <v>0</v>
      </c>
      <c r="I89" s="179">
        <v>0</v>
      </c>
      <c r="J89" s="80">
        <f t="shared" si="36"/>
        <v>0</v>
      </c>
      <c r="K89" s="179">
        <v>0</v>
      </c>
      <c r="L89" s="80">
        <f t="shared" si="37"/>
        <v>0</v>
      </c>
      <c r="M89" s="179">
        <v>0</v>
      </c>
      <c r="N89" s="80">
        <f t="shared" si="38"/>
        <v>0</v>
      </c>
      <c r="O89" s="179">
        <v>0</v>
      </c>
      <c r="P89" s="80">
        <f t="shared" si="39"/>
        <v>0</v>
      </c>
      <c r="Q89" s="179">
        <v>0</v>
      </c>
      <c r="R89" s="80">
        <f t="shared" si="40"/>
        <v>0</v>
      </c>
      <c r="S89" s="179">
        <v>0</v>
      </c>
      <c r="T89" s="80">
        <f t="shared" si="41"/>
        <v>0</v>
      </c>
      <c r="U89" s="179">
        <v>0</v>
      </c>
      <c r="V89" s="80">
        <f t="shared" si="42"/>
        <v>0</v>
      </c>
      <c r="X89" s="200"/>
    </row>
    <row r="90" spans="1:24" ht="12.75" customHeight="1">
      <c r="A90" s="2" t="s">
        <v>421</v>
      </c>
      <c r="B90" s="35"/>
      <c r="C90" s="179">
        <v>1068.1202000000001</v>
      </c>
      <c r="D90" s="80">
        <f t="shared" si="33"/>
        <v>2.0000000000000001E-4</v>
      </c>
      <c r="E90" s="179">
        <v>1058.268</v>
      </c>
      <c r="F90" s="80">
        <f t="shared" si="34"/>
        <v>2.0000000000000001E-4</v>
      </c>
      <c r="G90" s="179">
        <v>1125.172108</v>
      </c>
      <c r="H90" s="80">
        <f t="shared" si="35"/>
        <v>1.9999999999999998E-4</v>
      </c>
      <c r="I90" s="179">
        <v>1197.1075501599998</v>
      </c>
      <c r="J90" s="80">
        <f t="shared" si="36"/>
        <v>1.9999999999999998E-4</v>
      </c>
      <c r="K90" s="179">
        <v>1273.1017011632</v>
      </c>
      <c r="L90" s="80">
        <f t="shared" si="37"/>
        <v>1.9999999999999998E-4</v>
      </c>
      <c r="M90" s="179">
        <v>1298.7557351864639</v>
      </c>
      <c r="N90" s="80">
        <f t="shared" si="38"/>
        <v>1.9999999999999998E-4</v>
      </c>
      <c r="O90" s="179">
        <v>1324.6708498901935</v>
      </c>
      <c r="P90" s="80">
        <f t="shared" si="39"/>
        <v>2.0000000000000001E-4</v>
      </c>
      <c r="Q90" s="179">
        <v>1351.0482668879972</v>
      </c>
      <c r="R90" s="80">
        <f t="shared" si="40"/>
        <v>2.0000000000000001E-4</v>
      </c>
      <c r="S90" s="179">
        <v>1378.0892322257571</v>
      </c>
      <c r="T90" s="80">
        <f t="shared" si="41"/>
        <v>2.0000000000000001E-4</v>
      </c>
      <c r="U90" s="179">
        <v>1405.7950168702723</v>
      </c>
      <c r="V90" s="80">
        <f t="shared" si="42"/>
        <v>2.0000000000000001E-4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33"/>
        <v>0</v>
      </c>
      <c r="E91" s="179">
        <v>0</v>
      </c>
      <c r="F91" s="80">
        <f t="shared" si="34"/>
        <v>0</v>
      </c>
      <c r="G91" s="179">
        <v>0</v>
      </c>
      <c r="H91" s="80">
        <f t="shared" si="35"/>
        <v>0</v>
      </c>
      <c r="I91" s="179">
        <v>0</v>
      </c>
      <c r="J91" s="80">
        <f t="shared" si="36"/>
        <v>0</v>
      </c>
      <c r="K91" s="179">
        <v>0</v>
      </c>
      <c r="L91" s="80">
        <f t="shared" si="37"/>
        <v>0</v>
      </c>
      <c r="M91" s="179">
        <v>0</v>
      </c>
      <c r="N91" s="80">
        <f t="shared" si="38"/>
        <v>0</v>
      </c>
      <c r="O91" s="179">
        <v>0</v>
      </c>
      <c r="P91" s="80">
        <f t="shared" si="39"/>
        <v>0</v>
      </c>
      <c r="Q91" s="179">
        <v>0</v>
      </c>
      <c r="R91" s="80">
        <f t="shared" si="40"/>
        <v>0</v>
      </c>
      <c r="S91" s="179">
        <v>0</v>
      </c>
      <c r="T91" s="80">
        <f t="shared" si="41"/>
        <v>0</v>
      </c>
      <c r="U91" s="179">
        <v>0</v>
      </c>
      <c r="V91" s="80">
        <f t="shared" si="42"/>
        <v>0</v>
      </c>
      <c r="X91" s="200"/>
    </row>
    <row r="92" spans="1:24" ht="12.75" customHeight="1">
      <c r="A92" s="2" t="s">
        <v>423</v>
      </c>
      <c r="B92" s="35"/>
      <c r="C92" s="179">
        <v>27771.125199999999</v>
      </c>
      <c r="D92" s="80">
        <f t="shared" si="33"/>
        <v>5.1999999999999998E-3</v>
      </c>
      <c r="E92" s="179">
        <v>27514.967999999997</v>
      </c>
      <c r="F92" s="80">
        <f t="shared" si="34"/>
        <v>5.1999999999999998E-3</v>
      </c>
      <c r="G92" s="179">
        <v>29254.474807999999</v>
      </c>
      <c r="H92" s="80">
        <f t="shared" si="35"/>
        <v>5.1999999999999998E-3</v>
      </c>
      <c r="I92" s="179">
        <v>31124.796304159994</v>
      </c>
      <c r="J92" s="80">
        <f t="shared" si="36"/>
        <v>5.1999999999999998E-3</v>
      </c>
      <c r="K92" s="179">
        <v>33100.644230243197</v>
      </c>
      <c r="L92" s="80">
        <f t="shared" si="37"/>
        <v>5.1999999999999989E-3</v>
      </c>
      <c r="M92" s="179">
        <v>33767.649114848056</v>
      </c>
      <c r="N92" s="80">
        <f t="shared" si="38"/>
        <v>5.1999999999999989E-3</v>
      </c>
      <c r="O92" s="179">
        <v>34441.442097145024</v>
      </c>
      <c r="P92" s="80">
        <f t="shared" si="39"/>
        <v>5.1999999999999998E-3</v>
      </c>
      <c r="Q92" s="179">
        <v>35127.254939087929</v>
      </c>
      <c r="R92" s="80">
        <f t="shared" si="40"/>
        <v>5.2000000000000006E-3</v>
      </c>
      <c r="S92" s="179">
        <v>35830.320037869678</v>
      </c>
      <c r="T92" s="80">
        <f t="shared" si="41"/>
        <v>5.1999999999999989E-3</v>
      </c>
      <c r="U92" s="179">
        <v>36550.670438627072</v>
      </c>
      <c r="V92" s="80">
        <f t="shared" si="42"/>
        <v>5.1999999999999998E-3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33"/>
        <v>0</v>
      </c>
      <c r="E93" s="179">
        <v>0</v>
      </c>
      <c r="F93" s="80">
        <f t="shared" si="34"/>
        <v>0</v>
      </c>
      <c r="G93" s="179">
        <v>0</v>
      </c>
      <c r="H93" s="80">
        <f t="shared" si="35"/>
        <v>0</v>
      </c>
      <c r="I93" s="179">
        <v>0</v>
      </c>
      <c r="J93" s="80">
        <f t="shared" si="36"/>
        <v>0</v>
      </c>
      <c r="K93" s="179">
        <v>0</v>
      </c>
      <c r="L93" s="80">
        <f t="shared" si="37"/>
        <v>0</v>
      </c>
      <c r="M93" s="179">
        <v>0</v>
      </c>
      <c r="N93" s="80">
        <f t="shared" si="38"/>
        <v>0</v>
      </c>
      <c r="O93" s="179">
        <v>0</v>
      </c>
      <c r="P93" s="80">
        <f t="shared" si="39"/>
        <v>0</v>
      </c>
      <c r="Q93" s="179">
        <v>0</v>
      </c>
      <c r="R93" s="80">
        <f t="shared" si="40"/>
        <v>0</v>
      </c>
      <c r="S93" s="179">
        <v>0</v>
      </c>
      <c r="T93" s="80">
        <f t="shared" si="41"/>
        <v>0</v>
      </c>
      <c r="U93" s="179">
        <v>0</v>
      </c>
      <c r="V93" s="80">
        <f t="shared" si="42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33"/>
        <v>0</v>
      </c>
      <c r="E94" s="179">
        <v>0</v>
      </c>
      <c r="F94" s="80">
        <f t="shared" si="34"/>
        <v>0</v>
      </c>
      <c r="G94" s="179">
        <v>0</v>
      </c>
      <c r="H94" s="80">
        <f t="shared" si="35"/>
        <v>0</v>
      </c>
      <c r="I94" s="179">
        <v>0</v>
      </c>
      <c r="J94" s="80">
        <f t="shared" si="36"/>
        <v>0</v>
      </c>
      <c r="K94" s="179">
        <v>0</v>
      </c>
      <c r="L94" s="80">
        <f t="shared" si="37"/>
        <v>0</v>
      </c>
      <c r="M94" s="179">
        <v>0</v>
      </c>
      <c r="N94" s="80">
        <f t="shared" si="38"/>
        <v>0</v>
      </c>
      <c r="O94" s="179">
        <v>0</v>
      </c>
      <c r="P94" s="80">
        <f t="shared" si="39"/>
        <v>0</v>
      </c>
      <c r="Q94" s="179">
        <v>0</v>
      </c>
      <c r="R94" s="80">
        <f t="shared" si="40"/>
        <v>0</v>
      </c>
      <c r="S94" s="179">
        <v>0</v>
      </c>
      <c r="T94" s="80">
        <f t="shared" si="41"/>
        <v>0</v>
      </c>
      <c r="U94" s="179">
        <v>0</v>
      </c>
      <c r="V94" s="80">
        <f t="shared" si="42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33"/>
        <v>0</v>
      </c>
      <c r="E95" s="179">
        <v>0</v>
      </c>
      <c r="F95" s="80">
        <f t="shared" si="34"/>
        <v>0</v>
      </c>
      <c r="G95" s="179">
        <v>0</v>
      </c>
      <c r="H95" s="80">
        <f t="shared" si="35"/>
        <v>0</v>
      </c>
      <c r="I95" s="179">
        <v>0</v>
      </c>
      <c r="J95" s="80">
        <f t="shared" si="36"/>
        <v>0</v>
      </c>
      <c r="K95" s="179">
        <v>0</v>
      </c>
      <c r="L95" s="80">
        <f t="shared" si="37"/>
        <v>0</v>
      </c>
      <c r="M95" s="179">
        <v>0</v>
      </c>
      <c r="N95" s="80">
        <f t="shared" si="38"/>
        <v>0</v>
      </c>
      <c r="O95" s="179">
        <v>0</v>
      </c>
      <c r="P95" s="80">
        <f t="shared" si="39"/>
        <v>0</v>
      </c>
      <c r="Q95" s="179">
        <v>0</v>
      </c>
      <c r="R95" s="80">
        <f t="shared" si="40"/>
        <v>0</v>
      </c>
      <c r="S95" s="179">
        <v>0</v>
      </c>
      <c r="T95" s="80">
        <f t="shared" si="41"/>
        <v>0</v>
      </c>
      <c r="U95" s="179">
        <v>0</v>
      </c>
      <c r="V95" s="80">
        <f t="shared" si="42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33"/>
        <v>0</v>
      </c>
      <c r="E96" s="179">
        <v>0</v>
      </c>
      <c r="F96" s="80">
        <f t="shared" si="34"/>
        <v>0</v>
      </c>
      <c r="G96" s="179">
        <v>0</v>
      </c>
      <c r="H96" s="80">
        <f t="shared" si="35"/>
        <v>0</v>
      </c>
      <c r="I96" s="179">
        <v>0</v>
      </c>
      <c r="J96" s="80">
        <f t="shared" si="36"/>
        <v>0</v>
      </c>
      <c r="K96" s="179">
        <v>0</v>
      </c>
      <c r="L96" s="80">
        <f t="shared" si="37"/>
        <v>0</v>
      </c>
      <c r="M96" s="179">
        <v>0</v>
      </c>
      <c r="N96" s="80">
        <f t="shared" si="38"/>
        <v>0</v>
      </c>
      <c r="O96" s="179">
        <v>0</v>
      </c>
      <c r="P96" s="80">
        <f t="shared" si="39"/>
        <v>0</v>
      </c>
      <c r="Q96" s="179">
        <v>0</v>
      </c>
      <c r="R96" s="80">
        <f t="shared" si="40"/>
        <v>0</v>
      </c>
      <c r="S96" s="179">
        <v>0</v>
      </c>
      <c r="T96" s="80">
        <f t="shared" si="41"/>
        <v>0</v>
      </c>
      <c r="U96" s="179">
        <v>0</v>
      </c>
      <c r="V96" s="80">
        <f t="shared" si="42"/>
        <v>0</v>
      </c>
      <c r="X96" s="200"/>
    </row>
    <row r="97" spans="1:24" ht="12.75" customHeight="1">
      <c r="A97" s="2" t="s">
        <v>428</v>
      </c>
      <c r="B97" s="35"/>
      <c r="C97" s="179">
        <v>36849.138699999996</v>
      </c>
      <c r="D97" s="80">
        <f t="shared" si="33"/>
        <v>6.8998112197484881E-3</v>
      </c>
      <c r="E97" s="179">
        <v>28345.491307692311</v>
      </c>
      <c r="F97" s="80">
        <f t="shared" si="34"/>
        <v>5.3569589759290296E-3</v>
      </c>
      <c r="G97" s="179">
        <v>24624.128590384611</v>
      </c>
      <c r="H97" s="80">
        <f t="shared" si="35"/>
        <v>4.376953252805767E-3</v>
      </c>
      <c r="I97" s="179">
        <v>25239.731805144223</v>
      </c>
      <c r="J97" s="80">
        <f t="shared" si="36"/>
        <v>4.2167860025226298E-3</v>
      </c>
      <c r="K97" s="179">
        <v>25870.72510027283</v>
      </c>
      <c r="L97" s="80">
        <f t="shared" si="37"/>
        <v>4.0642039951145174E-3</v>
      </c>
      <c r="M97" s="179">
        <v>26517.493227779651</v>
      </c>
      <c r="N97" s="80">
        <f t="shared" si="38"/>
        <v>4.083522791754602E-3</v>
      </c>
      <c r="O97" s="179">
        <v>27180.430558474134</v>
      </c>
      <c r="P97" s="80">
        <f t="shared" si="39"/>
        <v>4.1037259271957584E-3</v>
      </c>
      <c r="Q97" s="179">
        <v>27859.941322435989</v>
      </c>
      <c r="R97" s="80">
        <f t="shared" si="40"/>
        <v>4.1241963007892443E-3</v>
      </c>
      <c r="S97" s="179">
        <v>28556.439855496887</v>
      </c>
      <c r="T97" s="80">
        <f t="shared" si="41"/>
        <v>4.1443528020860118E-3</v>
      </c>
      <c r="U97" s="179">
        <v>29270.350851884308</v>
      </c>
      <c r="V97" s="80">
        <f t="shared" si="42"/>
        <v>4.1642416569449827E-3</v>
      </c>
      <c r="X97" s="200"/>
    </row>
    <row r="98" spans="1:24" ht="12.75" customHeight="1">
      <c r="A98" s="117" t="s">
        <v>429</v>
      </c>
      <c r="B98" s="35"/>
      <c r="C98" s="179">
        <v>6408.721199999999</v>
      </c>
      <c r="D98" s="80">
        <f t="shared" si="33"/>
        <v>1.1999999999999999E-3</v>
      </c>
      <c r="E98" s="179">
        <v>6349.6079999999993</v>
      </c>
      <c r="F98" s="80">
        <f t="shared" si="34"/>
        <v>1.1999999999999999E-3</v>
      </c>
      <c r="G98" s="179">
        <v>6751.0326479999994</v>
      </c>
      <c r="H98" s="80">
        <f t="shared" si="35"/>
        <v>1.1999999999999999E-3</v>
      </c>
      <c r="I98" s="179">
        <v>7182.6453009599982</v>
      </c>
      <c r="J98" s="80">
        <f t="shared" si="36"/>
        <v>1.1999999999999997E-3</v>
      </c>
      <c r="K98" s="179">
        <v>7638.6102069791987</v>
      </c>
      <c r="L98" s="80">
        <f t="shared" si="37"/>
        <v>1.1999999999999997E-3</v>
      </c>
      <c r="M98" s="179">
        <v>7792.5344111187824</v>
      </c>
      <c r="N98" s="80">
        <f t="shared" si="38"/>
        <v>1.1999999999999997E-3</v>
      </c>
      <c r="O98" s="179">
        <v>7948.0250993411601</v>
      </c>
      <c r="P98" s="80">
        <f t="shared" si="39"/>
        <v>1.1999999999999999E-3</v>
      </c>
      <c r="Q98" s="179">
        <v>8106.2896013279815</v>
      </c>
      <c r="R98" s="80">
        <f t="shared" si="40"/>
        <v>1.1999999999999999E-3</v>
      </c>
      <c r="S98" s="179">
        <v>8268.535393354543</v>
      </c>
      <c r="T98" s="80">
        <f t="shared" si="41"/>
        <v>1.2000000000000001E-3</v>
      </c>
      <c r="U98" s="179">
        <v>8434.770101221633</v>
      </c>
      <c r="V98" s="80">
        <f t="shared" si="42"/>
        <v>1.2000000000000001E-3</v>
      </c>
      <c r="X98" s="200"/>
    </row>
    <row r="99" spans="1:24" ht="12.75" customHeight="1">
      <c r="A99" s="117" t="s">
        <v>430</v>
      </c>
      <c r="B99" s="35"/>
      <c r="C99" s="179">
        <v>0</v>
      </c>
      <c r="D99" s="80">
        <f t="shared" si="33"/>
        <v>0</v>
      </c>
      <c r="E99" s="179">
        <v>0</v>
      </c>
      <c r="F99" s="80">
        <f t="shared" si="34"/>
        <v>0</v>
      </c>
      <c r="G99" s="179">
        <v>0</v>
      </c>
      <c r="H99" s="80">
        <f t="shared" si="35"/>
        <v>0</v>
      </c>
      <c r="I99" s="179">
        <v>0</v>
      </c>
      <c r="J99" s="80">
        <f t="shared" si="36"/>
        <v>0</v>
      </c>
      <c r="K99" s="179">
        <v>0</v>
      </c>
      <c r="L99" s="80">
        <f t="shared" si="37"/>
        <v>0</v>
      </c>
      <c r="M99" s="179">
        <v>0</v>
      </c>
      <c r="N99" s="80">
        <f t="shared" si="38"/>
        <v>0</v>
      </c>
      <c r="O99" s="179">
        <v>0</v>
      </c>
      <c r="P99" s="80">
        <f t="shared" si="39"/>
        <v>0</v>
      </c>
      <c r="Q99" s="179">
        <v>0</v>
      </c>
      <c r="R99" s="80">
        <f t="shared" si="40"/>
        <v>0</v>
      </c>
      <c r="S99" s="179">
        <v>0</v>
      </c>
      <c r="T99" s="80">
        <f t="shared" si="41"/>
        <v>0</v>
      </c>
      <c r="U99" s="179">
        <v>0</v>
      </c>
      <c r="V99" s="80">
        <f t="shared" si="42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33"/>
        <v>0</v>
      </c>
      <c r="E100" s="179">
        <v>0</v>
      </c>
      <c r="F100" s="80">
        <f t="shared" si="34"/>
        <v>0</v>
      </c>
      <c r="G100" s="179">
        <v>0</v>
      </c>
      <c r="H100" s="80">
        <f t="shared" si="35"/>
        <v>0</v>
      </c>
      <c r="I100" s="179">
        <v>0</v>
      </c>
      <c r="J100" s="80">
        <f t="shared" si="36"/>
        <v>0</v>
      </c>
      <c r="K100" s="179">
        <v>0</v>
      </c>
      <c r="L100" s="80">
        <f t="shared" si="37"/>
        <v>0</v>
      </c>
      <c r="M100" s="179">
        <v>0</v>
      </c>
      <c r="N100" s="80">
        <f t="shared" si="38"/>
        <v>0</v>
      </c>
      <c r="O100" s="179">
        <v>0</v>
      </c>
      <c r="P100" s="80">
        <f t="shared" si="39"/>
        <v>0</v>
      </c>
      <c r="Q100" s="179">
        <v>0</v>
      </c>
      <c r="R100" s="80">
        <f t="shared" si="40"/>
        <v>0</v>
      </c>
      <c r="S100" s="179">
        <v>0</v>
      </c>
      <c r="T100" s="80">
        <f t="shared" si="41"/>
        <v>0</v>
      </c>
      <c r="U100" s="179">
        <v>0</v>
      </c>
      <c r="V100" s="80">
        <f t="shared" si="42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33"/>
        <v>0</v>
      </c>
      <c r="E101" s="179"/>
      <c r="F101" s="80">
        <f t="shared" si="34"/>
        <v>0</v>
      </c>
      <c r="G101" s="179"/>
      <c r="H101" s="80">
        <f t="shared" si="35"/>
        <v>0</v>
      </c>
      <c r="I101" s="179">
        <v>0</v>
      </c>
      <c r="J101" s="80">
        <f t="shared" si="36"/>
        <v>0</v>
      </c>
      <c r="K101" s="179">
        <v>0</v>
      </c>
      <c r="L101" s="80">
        <f t="shared" si="37"/>
        <v>0</v>
      </c>
      <c r="M101" s="179">
        <v>0</v>
      </c>
      <c r="N101" s="80">
        <f t="shared" si="38"/>
        <v>0</v>
      </c>
      <c r="O101" s="179">
        <v>0</v>
      </c>
      <c r="P101" s="80">
        <f t="shared" si="39"/>
        <v>0</v>
      </c>
      <c r="Q101" s="179">
        <v>0</v>
      </c>
      <c r="R101" s="80">
        <f t="shared" si="40"/>
        <v>0</v>
      </c>
      <c r="S101" s="179">
        <v>0</v>
      </c>
      <c r="T101" s="80">
        <f t="shared" si="41"/>
        <v>0</v>
      </c>
      <c r="U101" s="179">
        <v>0</v>
      </c>
      <c r="V101" s="80">
        <f t="shared" si="42"/>
        <v>0</v>
      </c>
      <c r="X101" s="200"/>
    </row>
    <row r="102" spans="1:24" ht="12.75" customHeight="1">
      <c r="A102" s="117" t="s">
        <v>433</v>
      </c>
      <c r="B102" s="35"/>
      <c r="C102" s="179">
        <v>0</v>
      </c>
      <c r="D102" s="80">
        <f t="shared" si="33"/>
        <v>0</v>
      </c>
      <c r="E102" s="179">
        <v>0</v>
      </c>
      <c r="F102" s="80">
        <f t="shared" si="34"/>
        <v>0</v>
      </c>
      <c r="G102" s="179">
        <v>0</v>
      </c>
      <c r="H102" s="80">
        <f t="shared" si="35"/>
        <v>0</v>
      </c>
      <c r="I102" s="179">
        <v>0</v>
      </c>
      <c r="J102" s="80">
        <f t="shared" si="36"/>
        <v>0</v>
      </c>
      <c r="K102" s="179">
        <v>0</v>
      </c>
      <c r="L102" s="80">
        <f t="shared" si="37"/>
        <v>0</v>
      </c>
      <c r="M102" s="179">
        <v>0</v>
      </c>
      <c r="N102" s="80">
        <f t="shared" si="38"/>
        <v>0</v>
      </c>
      <c r="O102" s="179">
        <v>0</v>
      </c>
      <c r="P102" s="80">
        <f t="shared" si="39"/>
        <v>0</v>
      </c>
      <c r="Q102" s="179">
        <v>0</v>
      </c>
      <c r="R102" s="80">
        <f t="shared" si="40"/>
        <v>0</v>
      </c>
      <c r="S102" s="179">
        <v>0</v>
      </c>
      <c r="T102" s="80">
        <f t="shared" si="41"/>
        <v>0</v>
      </c>
      <c r="U102" s="179">
        <v>0</v>
      </c>
      <c r="V102" s="80">
        <f t="shared" si="42"/>
        <v>0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33"/>
        <v>0</v>
      </c>
      <c r="E103" s="179">
        <v>0</v>
      </c>
      <c r="F103" s="80">
        <f t="shared" si="34"/>
        <v>0</v>
      </c>
      <c r="G103" s="179">
        <v>0</v>
      </c>
      <c r="H103" s="80">
        <f t="shared" si="35"/>
        <v>0</v>
      </c>
      <c r="I103" s="179">
        <v>0</v>
      </c>
      <c r="J103" s="80">
        <f t="shared" si="36"/>
        <v>0</v>
      </c>
      <c r="K103" s="179">
        <v>0</v>
      </c>
      <c r="L103" s="80">
        <f t="shared" si="37"/>
        <v>0</v>
      </c>
      <c r="M103" s="179">
        <v>0</v>
      </c>
      <c r="N103" s="80">
        <f t="shared" si="38"/>
        <v>0</v>
      </c>
      <c r="O103" s="179">
        <v>0</v>
      </c>
      <c r="P103" s="80">
        <f t="shared" si="39"/>
        <v>0</v>
      </c>
      <c r="Q103" s="179">
        <v>0</v>
      </c>
      <c r="R103" s="80">
        <f t="shared" si="40"/>
        <v>0</v>
      </c>
      <c r="S103" s="179">
        <v>0</v>
      </c>
      <c r="T103" s="80">
        <f t="shared" si="41"/>
        <v>0</v>
      </c>
      <c r="U103" s="179">
        <v>0</v>
      </c>
      <c r="V103" s="80">
        <f t="shared" si="42"/>
        <v>0</v>
      </c>
      <c r="X103" s="200"/>
    </row>
    <row r="104" spans="1:24" ht="12.75" customHeight="1">
      <c r="A104" s="117" t="s">
        <v>433</v>
      </c>
      <c r="B104" s="35"/>
      <c r="C104" s="179">
        <v>0</v>
      </c>
      <c r="D104" s="80">
        <f t="shared" si="33"/>
        <v>0</v>
      </c>
      <c r="E104" s="179">
        <v>0</v>
      </c>
      <c r="F104" s="80">
        <f t="shared" si="34"/>
        <v>0</v>
      </c>
      <c r="G104" s="179">
        <v>0</v>
      </c>
      <c r="H104" s="80">
        <f t="shared" si="35"/>
        <v>0</v>
      </c>
      <c r="I104" s="179">
        <v>0</v>
      </c>
      <c r="J104" s="80">
        <f t="shared" si="36"/>
        <v>0</v>
      </c>
      <c r="K104" s="179">
        <v>0</v>
      </c>
      <c r="L104" s="80">
        <f t="shared" si="37"/>
        <v>0</v>
      </c>
      <c r="M104" s="179">
        <v>0</v>
      </c>
      <c r="N104" s="80">
        <f t="shared" si="38"/>
        <v>0</v>
      </c>
      <c r="O104" s="179">
        <v>0</v>
      </c>
      <c r="P104" s="80">
        <f t="shared" si="39"/>
        <v>0</v>
      </c>
      <c r="Q104" s="179">
        <v>0</v>
      </c>
      <c r="R104" s="80">
        <f t="shared" si="40"/>
        <v>0</v>
      </c>
      <c r="S104" s="179">
        <v>0</v>
      </c>
      <c r="T104" s="80">
        <f t="shared" si="41"/>
        <v>0</v>
      </c>
      <c r="U104" s="179">
        <v>0</v>
      </c>
      <c r="V104" s="80">
        <f t="shared" si="42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486700.96822633897</v>
      </c>
      <c r="D105" s="83">
        <f t="shared" si="33"/>
        <v>9.1132246768919636E-2</v>
      </c>
      <c r="E105" s="82">
        <f>SUM(E52:E104)</f>
        <v>442484.49471785378</v>
      </c>
      <c r="F105" s="83">
        <f t="shared" si="34"/>
        <v>8.3624279429757642E-2</v>
      </c>
      <c r="G105" s="82">
        <f>SUM(G52:G104)</f>
        <v>471388.03425377846</v>
      </c>
      <c r="H105" s="83">
        <f t="shared" si="35"/>
        <v>8.3789498673527099E-2</v>
      </c>
      <c r="I105" s="82">
        <f>SUM(I52:I104)</f>
        <v>500100.33508019138</v>
      </c>
      <c r="J105" s="83">
        <f t="shared" si="36"/>
        <v>8.3551446152578396E-2</v>
      </c>
      <c r="K105" s="82">
        <f>SUM(K52:K104)</f>
        <v>530229.2685134979</v>
      </c>
      <c r="L105" s="83">
        <f t="shared" si="37"/>
        <v>8.3297236666802207E-2</v>
      </c>
      <c r="M105" s="82">
        <f>SUM(M52:M104)</f>
        <v>540920.20254918374</v>
      </c>
      <c r="N105" s="83">
        <f t="shared" si="38"/>
        <v>8.3298219656604347E-2</v>
      </c>
      <c r="O105" s="82">
        <f>SUM(O52:O104)</f>
        <v>551729.42010250839</v>
      </c>
      <c r="P105" s="83">
        <f t="shared" si="39"/>
        <v>8.3300605603005937E-2</v>
      </c>
      <c r="Q105" s="82">
        <f>SUM(Q52:Q104)</f>
        <v>562735.03312718158</v>
      </c>
      <c r="R105" s="83">
        <f t="shared" si="40"/>
        <v>8.3303468413217355E-2</v>
      </c>
      <c r="S105" s="82">
        <f>SUM(S52:S104)</f>
        <v>574015.11055218044</v>
      </c>
      <c r="T105" s="83">
        <f t="shared" si="41"/>
        <v>8.3305942333659552E-2</v>
      </c>
      <c r="U105" s="82">
        <f>SUM(U52:U104)</f>
        <v>587892.19722800737</v>
      </c>
      <c r="V105" s="83">
        <f t="shared" si="42"/>
        <v>8.363839538097588E-2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2862130.6447736612</v>
      </c>
      <c r="D107" s="83">
        <f>IFERROR(C107/C$28,0)</f>
        <v>0.53591920549272665</v>
      </c>
      <c r="E107" s="82">
        <f>E28-E33-E46-E105</f>
        <v>2872050.0752821458</v>
      </c>
      <c r="F107" s="83">
        <f>IFERROR(E107/E$28,0)</f>
        <v>0.54278312776766302</v>
      </c>
      <c r="G107" s="82">
        <f>G28-G33-G46-G105</f>
        <v>3203632.4207962216</v>
      </c>
      <c r="H107" s="83">
        <f>IFERROR(G107/G$28,0)</f>
        <v>0.5694475357180151</v>
      </c>
      <c r="I107" s="82">
        <f>I28-I33-I46-I105</f>
        <v>3555160.0232830588</v>
      </c>
      <c r="J107" s="83">
        <f>IFERROR(I107/I$28,0)</f>
        <v>0.59395833278436716</v>
      </c>
      <c r="K107" s="82">
        <f>K28-K33-K46-K105</f>
        <v>3808375.1246931739</v>
      </c>
      <c r="L107" s="83">
        <f>IFERROR(K107/K$28,0)</f>
        <v>0.59828293705264235</v>
      </c>
      <c r="M107" s="82">
        <f>M28-M33-M46-M105</f>
        <v>3881763.9418896809</v>
      </c>
      <c r="N107" s="83">
        <f>IFERROR(M107/M$28,0)</f>
        <v>0.59776659101064467</v>
      </c>
      <c r="O107" s="82">
        <f>O28-O33-O46-O105</f>
        <v>3856284.0884356317</v>
      </c>
      <c r="P107" s="83">
        <f>IFERROR(O107/O$28,0)</f>
        <v>0.58222525071119258</v>
      </c>
      <c r="Q107" s="82">
        <f>Q28-Q33-Q46-Q105</f>
        <v>3929363.8154077879</v>
      </c>
      <c r="R107" s="83">
        <f>IFERROR(Q107/Q$28,0)</f>
        <v>0.58167630449779262</v>
      </c>
      <c r="S107" s="82">
        <f>S28-S33-S46-S105</f>
        <v>4004287.1490252092</v>
      </c>
      <c r="T107" s="83">
        <f>IFERROR(S107/S$28,0)</f>
        <v>0.58113612027254147</v>
      </c>
      <c r="U107" s="82">
        <f>U28-U33-U46-U105</f>
        <v>4043580.2645426863</v>
      </c>
      <c r="V107" s="83">
        <f>IFERROR(U107/U$28,0)</f>
        <v>0.57527309686229045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3">IFERROR(C111/C$28,0)</f>
        <v>0</v>
      </c>
      <c r="E111" s="79">
        <f>E59</f>
        <v>0</v>
      </c>
      <c r="F111" s="80">
        <f t="shared" ref="F111:F116" si="44">IFERROR(E111/E$28,0)</f>
        <v>0</v>
      </c>
      <c r="G111" s="79">
        <f>G59</f>
        <v>0</v>
      </c>
      <c r="H111" s="80">
        <f t="shared" ref="H111:H116" si="45">IFERROR(G111/G$28,0)</f>
        <v>0</v>
      </c>
      <c r="I111" s="79">
        <f>I59</f>
        <v>0</v>
      </c>
      <c r="J111" s="80">
        <f t="shared" ref="J111:J116" si="46">IFERROR(I111/I$28,0)</f>
        <v>0</v>
      </c>
      <c r="K111" s="79">
        <f>K59</f>
        <v>0</v>
      </c>
      <c r="L111" s="80">
        <f t="shared" ref="L111:L116" si="47">IFERROR(K111/K$28,0)</f>
        <v>0</v>
      </c>
      <c r="M111" s="79">
        <f>M59</f>
        <v>0</v>
      </c>
      <c r="N111" s="80">
        <f t="shared" ref="N111:N116" si="48">IFERROR(M111/M$28,0)</f>
        <v>0</v>
      </c>
      <c r="O111" s="79">
        <f>O59</f>
        <v>0</v>
      </c>
      <c r="P111" s="80">
        <f t="shared" ref="P111:P116" si="49">IFERROR(O111/O$28,0)</f>
        <v>0</v>
      </c>
      <c r="Q111" s="79">
        <f>Q59</f>
        <v>0</v>
      </c>
      <c r="R111" s="80">
        <f t="shared" ref="R111:R116" si="50">IFERROR(Q111/Q$28,0)</f>
        <v>0</v>
      </c>
      <c r="S111" s="79">
        <f>S59</f>
        <v>0</v>
      </c>
      <c r="T111" s="80">
        <f t="shared" ref="T111:T116" si="51">IFERROR(S111/S$28,0)</f>
        <v>0</v>
      </c>
      <c r="U111" s="79">
        <f>U59</f>
        <v>0</v>
      </c>
      <c r="V111" s="80">
        <f t="shared" ref="V111:V116" si="52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3"/>
        <v>0</v>
      </c>
      <c r="E112" s="79">
        <f>E62</f>
        <v>0</v>
      </c>
      <c r="F112" s="80">
        <f t="shared" si="44"/>
        <v>0</v>
      </c>
      <c r="G112" s="79">
        <f>G62</f>
        <v>0</v>
      </c>
      <c r="H112" s="80">
        <f t="shared" si="45"/>
        <v>0</v>
      </c>
      <c r="I112" s="79">
        <f>I62</f>
        <v>0</v>
      </c>
      <c r="J112" s="80">
        <f t="shared" si="46"/>
        <v>0</v>
      </c>
      <c r="K112" s="79">
        <f>K62</f>
        <v>0</v>
      </c>
      <c r="L112" s="80">
        <f t="shared" si="47"/>
        <v>0</v>
      </c>
      <c r="M112" s="79">
        <f>M62</f>
        <v>0</v>
      </c>
      <c r="N112" s="80">
        <f t="shared" si="48"/>
        <v>0</v>
      </c>
      <c r="O112" s="79">
        <f>O62</f>
        <v>0</v>
      </c>
      <c r="P112" s="80">
        <f t="shared" si="49"/>
        <v>0</v>
      </c>
      <c r="Q112" s="79">
        <f>Q62</f>
        <v>0</v>
      </c>
      <c r="R112" s="80">
        <f t="shared" si="50"/>
        <v>0</v>
      </c>
      <c r="S112" s="79">
        <f>S62</f>
        <v>0</v>
      </c>
      <c r="T112" s="80">
        <f t="shared" si="51"/>
        <v>0</v>
      </c>
      <c r="U112" s="79">
        <f>U62</f>
        <v>0</v>
      </c>
      <c r="V112" s="80">
        <f t="shared" si="52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3"/>
        <v>0</v>
      </c>
      <c r="E113" s="111">
        <v>0</v>
      </c>
      <c r="F113" s="80">
        <f t="shared" si="44"/>
        <v>0</v>
      </c>
      <c r="G113" s="111">
        <v>0</v>
      </c>
      <c r="H113" s="80">
        <f t="shared" si="45"/>
        <v>0</v>
      </c>
      <c r="I113" s="111">
        <v>0</v>
      </c>
      <c r="J113" s="80">
        <f t="shared" si="46"/>
        <v>0</v>
      </c>
      <c r="K113" s="111">
        <v>0</v>
      </c>
      <c r="L113" s="80">
        <f t="shared" si="47"/>
        <v>0</v>
      </c>
      <c r="M113" s="111">
        <v>0</v>
      </c>
      <c r="N113" s="80">
        <f t="shared" si="48"/>
        <v>0</v>
      </c>
      <c r="O113" s="111">
        <v>0</v>
      </c>
      <c r="P113" s="80">
        <f t="shared" si="49"/>
        <v>0</v>
      </c>
      <c r="Q113" s="111">
        <v>0</v>
      </c>
      <c r="R113" s="80">
        <f t="shared" si="50"/>
        <v>0</v>
      </c>
      <c r="S113" s="111">
        <v>0</v>
      </c>
      <c r="T113" s="80">
        <f t="shared" si="51"/>
        <v>0</v>
      </c>
      <c r="U113" s="111">
        <v>0</v>
      </c>
      <c r="V113" s="80">
        <f t="shared" si="52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3"/>
        <v>0</v>
      </c>
      <c r="E114" s="111">
        <v>0</v>
      </c>
      <c r="F114" s="80">
        <f t="shared" si="44"/>
        <v>0</v>
      </c>
      <c r="G114" s="111">
        <v>0</v>
      </c>
      <c r="H114" s="80">
        <f t="shared" si="45"/>
        <v>0</v>
      </c>
      <c r="I114" s="111">
        <v>0</v>
      </c>
      <c r="J114" s="80">
        <f t="shared" si="46"/>
        <v>0</v>
      </c>
      <c r="K114" s="111">
        <v>0</v>
      </c>
      <c r="L114" s="80">
        <f t="shared" si="47"/>
        <v>0</v>
      </c>
      <c r="M114" s="111">
        <v>0</v>
      </c>
      <c r="N114" s="80">
        <f t="shared" si="48"/>
        <v>0</v>
      </c>
      <c r="O114" s="111">
        <v>0</v>
      </c>
      <c r="P114" s="80">
        <f t="shared" si="49"/>
        <v>0</v>
      </c>
      <c r="Q114" s="111">
        <v>0</v>
      </c>
      <c r="R114" s="80">
        <f t="shared" si="50"/>
        <v>0</v>
      </c>
      <c r="S114" s="111">
        <v>0</v>
      </c>
      <c r="T114" s="80">
        <f t="shared" si="51"/>
        <v>0</v>
      </c>
      <c r="U114" s="111">
        <v>0</v>
      </c>
      <c r="V114" s="80">
        <f t="shared" si="52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3"/>
        <v>0</v>
      </c>
      <c r="E115" s="112">
        <v>0</v>
      </c>
      <c r="F115" s="80">
        <f t="shared" si="44"/>
        <v>0</v>
      </c>
      <c r="G115" s="112">
        <v>0</v>
      </c>
      <c r="H115" s="80">
        <f t="shared" si="45"/>
        <v>0</v>
      </c>
      <c r="I115" s="112">
        <v>0</v>
      </c>
      <c r="J115" s="80">
        <f t="shared" si="46"/>
        <v>0</v>
      </c>
      <c r="K115" s="112">
        <v>0</v>
      </c>
      <c r="L115" s="80">
        <f t="shared" si="47"/>
        <v>0</v>
      </c>
      <c r="M115" s="112">
        <v>0</v>
      </c>
      <c r="N115" s="80">
        <f t="shared" si="48"/>
        <v>0</v>
      </c>
      <c r="O115" s="112">
        <v>0</v>
      </c>
      <c r="P115" s="80">
        <f t="shared" si="49"/>
        <v>0</v>
      </c>
      <c r="Q115" s="112">
        <v>0</v>
      </c>
      <c r="R115" s="80">
        <f t="shared" si="50"/>
        <v>0</v>
      </c>
      <c r="S115" s="112">
        <v>0</v>
      </c>
      <c r="T115" s="80">
        <f t="shared" si="51"/>
        <v>0</v>
      </c>
      <c r="U115" s="112">
        <v>0</v>
      </c>
      <c r="V115" s="80">
        <f t="shared" si="52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3"/>
        <v>0</v>
      </c>
      <c r="E116" s="85">
        <f>SUM(E111:E115)</f>
        <v>0</v>
      </c>
      <c r="F116" s="83">
        <f t="shared" si="44"/>
        <v>0</v>
      </c>
      <c r="G116" s="85">
        <f>SUM(G111:G115)</f>
        <v>0</v>
      </c>
      <c r="H116" s="83">
        <f t="shared" si="45"/>
        <v>0</v>
      </c>
      <c r="I116" s="85">
        <f>SUM(I111:I115)</f>
        <v>0</v>
      </c>
      <c r="J116" s="83">
        <f t="shared" si="46"/>
        <v>0</v>
      </c>
      <c r="K116" s="85">
        <f>SUM(K111:K115)</f>
        <v>0</v>
      </c>
      <c r="L116" s="83">
        <f t="shared" si="47"/>
        <v>0</v>
      </c>
      <c r="M116" s="85">
        <f>SUM(M111:M115)</f>
        <v>0</v>
      </c>
      <c r="N116" s="83">
        <f t="shared" si="48"/>
        <v>0</v>
      </c>
      <c r="O116" s="85">
        <f>SUM(O111:O115)</f>
        <v>0</v>
      </c>
      <c r="P116" s="83">
        <f t="shared" si="49"/>
        <v>0</v>
      </c>
      <c r="Q116" s="85">
        <f>SUM(Q111:Q115)</f>
        <v>0</v>
      </c>
      <c r="R116" s="83">
        <f t="shared" si="50"/>
        <v>0</v>
      </c>
      <c r="S116" s="85">
        <f>SUM(S111:S115)</f>
        <v>0</v>
      </c>
      <c r="T116" s="83">
        <f t="shared" si="51"/>
        <v>0</v>
      </c>
      <c r="U116" s="85">
        <f>SUM(U111:U115)</f>
        <v>0</v>
      </c>
      <c r="V116" s="83">
        <f t="shared" si="52"/>
        <v>0</v>
      </c>
    </row>
    <row r="117" spans="1:22" ht="12.75" customHeight="1"/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  <row r="120" spans="1:22" ht="12.75" customHeight="1"/>
    <row r="121" spans="1:22" ht="12.75" customHeight="1">
      <c r="A121" s="2" t="s">
        <v>441</v>
      </c>
      <c r="B121" s="2" t="s">
        <v>442</v>
      </c>
      <c r="C121" s="2" t="s">
        <v>443</v>
      </c>
    </row>
    <row r="122" spans="1:22" ht="12.75" customHeight="1">
      <c r="A122" s="2" t="s">
        <v>444</v>
      </c>
      <c r="B122" s="2" t="s">
        <v>442</v>
      </c>
      <c r="C122" s="2" t="s">
        <v>445</v>
      </c>
    </row>
    <row r="123" spans="1:22" ht="12.75" customHeight="1">
      <c r="A123" s="2" t="s">
        <v>446</v>
      </c>
    </row>
    <row r="124" spans="1:22" ht="12.75" customHeight="1"/>
    <row r="125" spans="1:22" ht="12.75" customHeight="1"/>
    <row r="126" spans="1:22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</sheetData>
  <pageMargins left="0.45" right="0" top="0.5" bottom="0.25" header="0.3" footer="0.3"/>
  <pageSetup scale="49" orientation="landscape" horizontalDpi="4294967295" verticalDpi="4294967295" r:id="rId1"/>
  <rowBreaks count="4" manualBreakCount="4">
    <brk id="47" max="16383" man="1"/>
    <brk id="132" max="16383" man="1"/>
    <brk id="184" max="16383" man="1"/>
    <brk id="24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 tint="0.59999389629810485"/>
  </sheetPr>
  <dimension ref="A1:X119"/>
  <sheetViews>
    <sheetView topLeftCell="A24" zoomScale="70" zoomScaleNormal="70" workbookViewId="0" xr3:uid="{65FA3815-DCC1-5481-872F-D2879ED395ED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38.85546875" style="2" customWidth="1"/>
    <col min="3" max="3" width="14.28515625" style="2" bestFit="1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447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">
        <v>448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30</v>
      </c>
      <c r="H4" s="116"/>
      <c r="I4" s="116"/>
      <c r="V4" s="32"/>
    </row>
    <row r="5" spans="1:22" ht="12.75" customHeight="1">
      <c r="A5" s="1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228</v>
      </c>
      <c r="E8" s="109">
        <f>+C8</f>
        <v>228</v>
      </c>
      <c r="G8" s="109">
        <v>0</v>
      </c>
      <c r="I8" s="109">
        <f>+G8</f>
        <v>0</v>
      </c>
      <c r="K8" s="109">
        <f>+I8</f>
        <v>0</v>
      </c>
      <c r="M8" s="109">
        <f>+K8</f>
        <v>0</v>
      </c>
      <c r="O8" s="109">
        <f>+M8</f>
        <v>0</v>
      </c>
      <c r="Q8" s="109">
        <f>+O8</f>
        <v>0</v>
      </c>
      <c r="S8" s="109">
        <f>+Q8</f>
        <v>0</v>
      </c>
      <c r="U8" s="109">
        <f>+S8</f>
        <v>0</v>
      </c>
    </row>
    <row r="10" spans="1:22" ht="12.75" customHeight="1">
      <c r="A10" s="2" t="s">
        <v>449</v>
      </c>
      <c r="C10" s="209">
        <f>+((C14/C12)/C8)</f>
        <v>1489.9749373433585</v>
      </c>
      <c r="E10" s="209">
        <f>+((E14/E12)/E8)</f>
        <v>1630.3258145363409</v>
      </c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450</v>
      </c>
      <c r="C12" s="110">
        <v>3.5</v>
      </c>
      <c r="E12" s="110">
        <v>3.5</v>
      </c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451</v>
      </c>
      <c r="C14" s="121">
        <v>1189000</v>
      </c>
      <c r="E14" s="121">
        <v>1301000</v>
      </c>
      <c r="G14" s="121">
        <f>G12*G10*G8</f>
        <v>0</v>
      </c>
      <c r="I14" s="121">
        <f>I12*I10*I8</f>
        <v>0</v>
      </c>
      <c r="K14" s="121">
        <f>K12*K10*K8</f>
        <v>0</v>
      </c>
      <c r="M14" s="121">
        <f>M12*M10*M8</f>
        <v>0</v>
      </c>
      <c r="O14" s="121">
        <f>O12*O10*O8</f>
        <v>0</v>
      </c>
      <c r="Q14" s="121">
        <f>Q12*Q10*Q8</f>
        <v>0</v>
      </c>
      <c r="S14" s="121">
        <f>S12*S10*S8</f>
        <v>0</v>
      </c>
      <c r="U14" s="121">
        <f>U12*U10*U8</f>
        <v>0</v>
      </c>
    </row>
    <row r="15" spans="1:22" ht="12.75" customHeight="1">
      <c r="A15" s="39">
        <v>7.0000000000000007E-2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111">
        <f>+C14-C20</f>
        <v>1041801.8</v>
      </c>
      <c r="D19" s="80">
        <f>IFERROR(C19/C$28,0)</f>
        <v>0.87620000000000009</v>
      </c>
      <c r="E19" s="111">
        <f>+E14-E20</f>
        <v>607957.29999999993</v>
      </c>
      <c r="F19" s="80">
        <f>IFERROR(E19/E$28,0)</f>
        <v>0.46729999999999994</v>
      </c>
      <c r="G19" s="111">
        <v>0</v>
      </c>
      <c r="H19" s="80">
        <f>IFERROR(G19/G$28,0)</f>
        <v>0</v>
      </c>
      <c r="I19" s="111">
        <f>G19*1.02</f>
        <v>0</v>
      </c>
      <c r="J19" s="80">
        <f>IFERROR(I19/I$28,0)</f>
        <v>0</v>
      </c>
      <c r="K19" s="111">
        <f>I19*1.02</f>
        <v>0</v>
      </c>
      <c r="L19" s="80">
        <f>IFERROR(K19/K$28,0)</f>
        <v>0</v>
      </c>
      <c r="M19" s="111">
        <f>K19*1.02</f>
        <v>0</v>
      </c>
      <c r="N19" s="80">
        <f>IFERROR(M19/M$28,0)</f>
        <v>0</v>
      </c>
      <c r="O19" s="111">
        <f>M19*1.02</f>
        <v>0</v>
      </c>
      <c r="P19" s="80">
        <f>IFERROR(O19/O$28,0)</f>
        <v>0</v>
      </c>
      <c r="Q19" s="111">
        <f>O19*1.02</f>
        <v>0</v>
      </c>
      <c r="R19" s="80">
        <f>IFERROR(Q19/Q$28,0)</f>
        <v>0</v>
      </c>
      <c r="S19" s="111">
        <f>Q19*1.02</f>
        <v>0</v>
      </c>
      <c r="T19" s="80">
        <f>IFERROR(S19/S$28,0)</f>
        <v>0</v>
      </c>
      <c r="U19" s="111">
        <f>S19*1.02</f>
        <v>0</v>
      </c>
      <c r="V19" s="80">
        <f>IFERROR(U19/U$28,0)</f>
        <v>0</v>
      </c>
    </row>
    <row r="20" spans="1:24" ht="12.75" customHeight="1">
      <c r="A20" s="2" t="s">
        <v>357</v>
      </c>
      <c r="B20" s="35"/>
      <c r="C20" s="111">
        <f>+C14*12.38%</f>
        <v>147198.20000000001</v>
      </c>
      <c r="D20" s="80">
        <f>IFERROR(C20/C$28,0)</f>
        <v>0.12380000000000001</v>
      </c>
      <c r="E20" s="111">
        <f>+E14*53.27%</f>
        <v>693042.70000000007</v>
      </c>
      <c r="F20" s="80">
        <f>IFERROR(E20/E$28,0)</f>
        <v>0.53270000000000006</v>
      </c>
      <c r="G20" s="111">
        <v>0</v>
      </c>
      <c r="H20" s="80">
        <f>IFERROR(G20/G$28,0)</f>
        <v>0</v>
      </c>
      <c r="I20" s="111">
        <f t="shared" ref="G20:U21" si="0">G20*1.02</f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2" t="s">
        <v>358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364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365</v>
      </c>
      <c r="B28" s="53"/>
      <c r="C28" s="82">
        <f>SUM(C19:C27)</f>
        <v>1189000</v>
      </c>
      <c r="D28" s="83">
        <f t="shared" si="1"/>
        <v>1</v>
      </c>
      <c r="E28" s="82">
        <f>SUM(E19:E27)</f>
        <v>1301000</v>
      </c>
      <c r="F28" s="83">
        <f t="shared" si="2"/>
        <v>1</v>
      </c>
      <c r="G28" s="82">
        <f>SUM(G19:G27)</f>
        <v>0</v>
      </c>
      <c r="H28" s="83">
        <f t="shared" si="3"/>
        <v>0</v>
      </c>
      <c r="I28" s="82">
        <f>SUM(I19:I27)</f>
        <v>0</v>
      </c>
      <c r="J28" s="83">
        <f t="shared" si="4"/>
        <v>0</v>
      </c>
      <c r="K28" s="82">
        <f>SUM(K19:K27)</f>
        <v>0</v>
      </c>
      <c r="L28" s="83">
        <f t="shared" si="5"/>
        <v>0</v>
      </c>
      <c r="M28" s="82">
        <f>SUM(M19:M27)</f>
        <v>0</v>
      </c>
      <c r="N28" s="83">
        <f t="shared" si="6"/>
        <v>0</v>
      </c>
      <c r="O28" s="82">
        <f>SUM(O19:O27)</f>
        <v>0</v>
      </c>
      <c r="P28" s="83">
        <f t="shared" si="7"/>
        <v>0</v>
      </c>
      <c r="Q28" s="82">
        <f>SUM(Q19:Q27)</f>
        <v>0</v>
      </c>
      <c r="R28" s="83">
        <f t="shared" si="8"/>
        <v>0</v>
      </c>
      <c r="S28" s="82">
        <f>SUM(S19:S27)</f>
        <v>0</v>
      </c>
      <c r="T28" s="83">
        <f t="shared" si="9"/>
        <v>0</v>
      </c>
      <c r="U28" s="82">
        <f>SUM(U19:U27)</f>
        <v>0</v>
      </c>
      <c r="V28" s="83">
        <f t="shared" si="10"/>
        <v>0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0.252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299628</v>
      </c>
      <c r="D31" s="80">
        <f>IFERROR(C31/C$28,0)</f>
        <v>0.252</v>
      </c>
      <c r="E31" s="179">
        <f>$C$30*E14</f>
        <v>327852</v>
      </c>
      <c r="F31" s="80">
        <f>IFERROR(E31/E$28,0)</f>
        <v>0.252</v>
      </c>
      <c r="G31" s="179">
        <f>$C$30*G14</f>
        <v>0</v>
      </c>
      <c r="H31" s="80">
        <f>IFERROR(G31/G$28,0)</f>
        <v>0</v>
      </c>
      <c r="I31" s="179">
        <f>$C$30*I14</f>
        <v>0</v>
      </c>
      <c r="J31" s="80">
        <f>IFERROR(I31/I$28,0)</f>
        <v>0</v>
      </c>
      <c r="K31" s="179">
        <f>$C$30*K14</f>
        <v>0</v>
      </c>
      <c r="L31" s="80">
        <f>IFERROR(K31/K$28,0)</f>
        <v>0</v>
      </c>
      <c r="M31" s="179">
        <f>$C$30*M14</f>
        <v>0</v>
      </c>
      <c r="N31" s="80">
        <f>IFERROR(M31/M$28,0)</f>
        <v>0</v>
      </c>
      <c r="O31" s="179">
        <f>$C$30*O14</f>
        <v>0</v>
      </c>
      <c r="P31" s="80">
        <f>IFERROR(O31/O$28,0)</f>
        <v>0</v>
      </c>
      <c r="Q31" s="179">
        <f>$C$30*Q14</f>
        <v>0</v>
      </c>
      <c r="R31" s="80">
        <f>IFERROR(Q31/Q$28,0)</f>
        <v>0</v>
      </c>
      <c r="S31" s="179">
        <f>$C$30*S14</f>
        <v>0</v>
      </c>
      <c r="T31" s="80">
        <f>IFERROR(S31/S$28,0)</f>
        <v>0</v>
      </c>
      <c r="U31" s="179">
        <f>$C$30*U14</f>
        <v>0</v>
      </c>
      <c r="V31" s="80">
        <f>IFERROR(U31/U$28,0)</f>
        <v>0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299628</v>
      </c>
      <c r="D33" s="83">
        <f>IFERROR(C33/C$28,0)</f>
        <v>0.252</v>
      </c>
      <c r="E33" s="82">
        <f>SUM(E31:E32)</f>
        <v>327852</v>
      </c>
      <c r="F33" s="83">
        <f>IFERROR(E33/E$28,0)</f>
        <v>0.252</v>
      </c>
      <c r="G33" s="82">
        <f>SUM(G31:G32)</f>
        <v>0</v>
      </c>
      <c r="H33" s="83">
        <f>IFERROR(G33/G$28,0)</f>
        <v>0</v>
      </c>
      <c r="I33" s="82">
        <f>SUM(I31:I32)</f>
        <v>0</v>
      </c>
      <c r="J33" s="83">
        <f>IFERROR(I33/I$28,0)</f>
        <v>0</v>
      </c>
      <c r="K33" s="82">
        <f>SUM(K31:K32)</f>
        <v>0</v>
      </c>
      <c r="L33" s="83">
        <f>IFERROR(K33/K$28,0)</f>
        <v>0</v>
      </c>
      <c r="M33" s="82">
        <f>SUM(M31:M32)</f>
        <v>0</v>
      </c>
      <c r="N33" s="83">
        <f>IFERROR(M33/M$28,0)</f>
        <v>0</v>
      </c>
      <c r="O33" s="82">
        <f>SUM(O31:O32)</f>
        <v>0</v>
      </c>
      <c r="P33" s="83">
        <f>IFERROR(O33/O$28,0)</f>
        <v>0</v>
      </c>
      <c r="Q33" s="82">
        <f>SUM(Q31:Q32)</f>
        <v>0</v>
      </c>
      <c r="R33" s="83">
        <f>IFERROR(Q33/Q$28,0)</f>
        <v>0</v>
      </c>
      <c r="S33" s="82">
        <f>SUM(S31:S32)</f>
        <v>0</v>
      </c>
      <c r="T33" s="83">
        <f>IFERROR(S33/S$28,0)</f>
        <v>0</v>
      </c>
      <c r="U33" s="82">
        <f>SUM(U31:U32)</f>
        <v>0</v>
      </c>
      <c r="V33" s="83">
        <f>IFERROR(U33/U$28,0)</f>
        <v>0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>
        <v>0</v>
      </c>
      <c r="D36" s="80">
        <f t="shared" ref="D36:D46" si="11">IFERROR(C36/C$28,0)</f>
        <v>0</v>
      </c>
      <c r="E36" s="179">
        <v>0</v>
      </c>
      <c r="F36" s="80">
        <f t="shared" ref="F36:F46" si="12">IFERROR(E36/E$28,0)</f>
        <v>0</v>
      </c>
      <c r="G36" s="179"/>
      <c r="H36" s="80">
        <f t="shared" ref="H36:H46" si="13">IFERROR(G36/G$28,0)</f>
        <v>0</v>
      </c>
      <c r="I36" s="179"/>
      <c r="J36" s="80">
        <f t="shared" ref="J36:J46" si="14">IFERROR(I36/I$28,0)</f>
        <v>0</v>
      </c>
      <c r="K36" s="179"/>
      <c r="L36" s="80">
        <f t="shared" ref="L36:L46" si="15">IFERROR(K36/K$28,0)</f>
        <v>0</v>
      </c>
      <c r="M36" s="179"/>
      <c r="N36" s="80">
        <f t="shared" ref="N36:N46" si="16">IFERROR(M36/M$28,0)</f>
        <v>0</v>
      </c>
      <c r="O36" s="179"/>
      <c r="P36" s="80">
        <f t="shared" ref="P36:P46" si="17">IFERROR(O36/O$28,0)</f>
        <v>0</v>
      </c>
      <c r="Q36" s="179"/>
      <c r="R36" s="80">
        <f t="shared" ref="R36:R46" si="18">IFERROR(Q36/Q$28,0)</f>
        <v>0</v>
      </c>
      <c r="S36" s="179"/>
      <c r="T36" s="80">
        <f t="shared" ref="T36:T46" si="19">IFERROR(S36/S$28,0)</f>
        <v>0</v>
      </c>
      <c r="U36" s="179">
        <v>0</v>
      </c>
      <c r="V36" s="80">
        <f t="shared" ref="V36:V46" si="20">IFERROR(U36/U$28,0)</f>
        <v>0</v>
      </c>
    </row>
    <row r="37" spans="1:22" ht="12.75" customHeight="1">
      <c r="A37" s="2" t="s">
        <v>372</v>
      </c>
      <c r="B37" s="35"/>
      <c r="C37" s="179">
        <v>52208</v>
      </c>
      <c r="D37" s="80">
        <f t="shared" si="11"/>
        <v>4.3909167367535744E-2</v>
      </c>
      <c r="E37" s="179">
        <f>+C37*1.112</f>
        <v>58055.296000000002</v>
      </c>
      <c r="F37" s="80">
        <f t="shared" si="12"/>
        <v>4.462359415833974E-2</v>
      </c>
      <c r="G37" s="179"/>
      <c r="H37" s="80">
        <f t="shared" si="13"/>
        <v>0</v>
      </c>
      <c r="I37" s="179">
        <f>+G37*1.032</f>
        <v>0</v>
      </c>
      <c r="J37" s="80">
        <f t="shared" si="14"/>
        <v>0</v>
      </c>
      <c r="K37" s="179">
        <f>+I37*1.025</f>
        <v>0</v>
      </c>
      <c r="L37" s="80">
        <f t="shared" si="15"/>
        <v>0</v>
      </c>
      <c r="M37" s="179">
        <f>+K37*1.025</f>
        <v>0</v>
      </c>
      <c r="N37" s="80">
        <f t="shared" si="16"/>
        <v>0</v>
      </c>
      <c r="O37" s="179">
        <f>+M37*1.025</f>
        <v>0</v>
      </c>
      <c r="P37" s="80">
        <f t="shared" si="17"/>
        <v>0</v>
      </c>
      <c r="Q37" s="179">
        <f>+O37*1.025</f>
        <v>0</v>
      </c>
      <c r="R37" s="80">
        <f t="shared" si="18"/>
        <v>0</v>
      </c>
      <c r="S37" s="179">
        <f>+Q37*1.025</f>
        <v>0</v>
      </c>
      <c r="T37" s="80">
        <f t="shared" si="19"/>
        <v>0</v>
      </c>
      <c r="U37" s="179">
        <f>+S37*1.025</f>
        <v>0</v>
      </c>
      <c r="V37" s="80">
        <f t="shared" si="20"/>
        <v>0</v>
      </c>
    </row>
    <row r="38" spans="1:22" ht="12.75" customHeight="1">
      <c r="A38" s="2" t="s">
        <v>373</v>
      </c>
      <c r="B38" s="35"/>
      <c r="C38" s="179"/>
      <c r="D38" s="80">
        <f t="shared" si="11"/>
        <v>0</v>
      </c>
      <c r="E38" s="179">
        <f t="shared" ref="E38:E39" si="21">+C38*1.112</f>
        <v>0</v>
      </c>
      <c r="F38" s="80">
        <f t="shared" si="12"/>
        <v>0</v>
      </c>
      <c r="G38" s="179"/>
      <c r="H38" s="80">
        <f t="shared" si="13"/>
        <v>0</v>
      </c>
      <c r="I38" s="179">
        <f>+G38*1.032</f>
        <v>0</v>
      </c>
      <c r="J38" s="80">
        <f t="shared" si="14"/>
        <v>0</v>
      </c>
      <c r="K38" s="179">
        <f>+I38*1.025</f>
        <v>0</v>
      </c>
      <c r="L38" s="80">
        <f t="shared" si="15"/>
        <v>0</v>
      </c>
      <c r="M38" s="179">
        <f>+K38*1.025</f>
        <v>0</v>
      </c>
      <c r="N38" s="80">
        <f t="shared" si="16"/>
        <v>0</v>
      </c>
      <c r="O38" s="179">
        <f>+M38*1.025</f>
        <v>0</v>
      </c>
      <c r="P38" s="80">
        <f t="shared" si="17"/>
        <v>0</v>
      </c>
      <c r="Q38" s="179">
        <f>+O38*1.025</f>
        <v>0</v>
      </c>
      <c r="R38" s="80">
        <f t="shared" si="18"/>
        <v>0</v>
      </c>
      <c r="S38" s="179">
        <f>+Q38*1.025</f>
        <v>0</v>
      </c>
      <c r="T38" s="80">
        <f t="shared" si="19"/>
        <v>0</v>
      </c>
      <c r="U38" s="179">
        <f>+S38*1.025</f>
        <v>0</v>
      </c>
      <c r="V38" s="80">
        <f t="shared" si="20"/>
        <v>0</v>
      </c>
    </row>
    <row r="39" spans="1:22" ht="12.75" customHeight="1">
      <c r="A39" s="2" t="s">
        <v>374</v>
      </c>
      <c r="B39" s="35"/>
      <c r="C39" s="179">
        <v>92362</v>
      </c>
      <c r="D39" s="80">
        <f t="shared" si="11"/>
        <v>7.7680403700588735E-2</v>
      </c>
      <c r="E39" s="179">
        <f t="shared" si="21"/>
        <v>102706.54400000001</v>
      </c>
      <c r="F39" s="80">
        <f t="shared" si="12"/>
        <v>7.8944307455803234E-2</v>
      </c>
      <c r="G39" s="179"/>
      <c r="H39" s="80">
        <f t="shared" si="13"/>
        <v>0</v>
      </c>
      <c r="I39" s="179">
        <f>+G39*1.032</f>
        <v>0</v>
      </c>
      <c r="J39" s="80">
        <f t="shared" si="14"/>
        <v>0</v>
      </c>
      <c r="K39" s="179">
        <f>+I39*1.025</f>
        <v>0</v>
      </c>
      <c r="L39" s="80">
        <f t="shared" si="15"/>
        <v>0</v>
      </c>
      <c r="M39" s="179">
        <f>+K39*1.025</f>
        <v>0</v>
      </c>
      <c r="N39" s="80">
        <f t="shared" si="16"/>
        <v>0</v>
      </c>
      <c r="O39" s="179">
        <f>+M39*1.025</f>
        <v>0</v>
      </c>
      <c r="P39" s="80">
        <f t="shared" si="17"/>
        <v>0</v>
      </c>
      <c r="Q39" s="179">
        <f>+O39*1.025</f>
        <v>0</v>
      </c>
      <c r="R39" s="80">
        <f t="shared" si="18"/>
        <v>0</v>
      </c>
      <c r="S39" s="179">
        <f>+Q39*1.025</f>
        <v>0</v>
      </c>
      <c r="T39" s="80">
        <f t="shared" si="19"/>
        <v>0</v>
      </c>
      <c r="U39" s="179">
        <f>+S39*1.025</f>
        <v>0</v>
      </c>
      <c r="V39" s="80">
        <f t="shared" si="20"/>
        <v>0</v>
      </c>
    </row>
    <row r="40" spans="1:22" ht="12.75" customHeight="1">
      <c r="A40" s="2" t="s">
        <v>375</v>
      </c>
      <c r="B40" s="35"/>
      <c r="C40" s="179"/>
      <c r="D40" s="80">
        <f t="shared" si="11"/>
        <v>0</v>
      </c>
      <c r="E40" s="113"/>
      <c r="F40" s="80">
        <f t="shared" si="12"/>
        <v>0</v>
      </c>
      <c r="G40" s="113"/>
      <c r="H40" s="80">
        <f t="shared" si="13"/>
        <v>0</v>
      </c>
      <c r="I40" s="113"/>
      <c r="J40" s="80">
        <f t="shared" si="14"/>
        <v>0</v>
      </c>
      <c r="K40" s="113"/>
      <c r="L40" s="80">
        <f t="shared" si="15"/>
        <v>0</v>
      </c>
      <c r="M40" s="113"/>
      <c r="N40" s="80">
        <f t="shared" si="16"/>
        <v>0</v>
      </c>
      <c r="O40" s="113"/>
      <c r="P40" s="80">
        <f t="shared" si="17"/>
        <v>0</v>
      </c>
      <c r="Q40" s="113"/>
      <c r="R40" s="80">
        <f t="shared" si="18"/>
        <v>0</v>
      </c>
      <c r="S40" s="113"/>
      <c r="T40" s="80">
        <f t="shared" si="19"/>
        <v>0</v>
      </c>
      <c r="U40" s="113"/>
      <c r="V40" s="80">
        <f t="shared" si="20"/>
        <v>0</v>
      </c>
    </row>
    <row r="41" spans="1:22" ht="12.75" customHeight="1">
      <c r="A41" s="2" t="s">
        <v>376</v>
      </c>
      <c r="B41" s="35"/>
      <c r="C41" s="179">
        <f>+C37*12.4%</f>
        <v>6473.7920000000004</v>
      </c>
      <c r="D41" s="80">
        <f t="shared" si="11"/>
        <v>5.4447367535744324E-3</v>
      </c>
      <c r="E41" s="179">
        <f>+E37*12.4%</f>
        <v>7198.8567039999998</v>
      </c>
      <c r="F41" s="80">
        <f t="shared" si="12"/>
        <v>5.5333256756341272E-3</v>
      </c>
      <c r="G41" s="113"/>
      <c r="H41" s="80">
        <f t="shared" si="13"/>
        <v>0</v>
      </c>
      <c r="I41" s="113"/>
      <c r="J41" s="80">
        <f t="shared" si="14"/>
        <v>0</v>
      </c>
      <c r="K41" s="113"/>
      <c r="L41" s="80">
        <f t="shared" si="15"/>
        <v>0</v>
      </c>
      <c r="M41" s="113"/>
      <c r="N41" s="80">
        <f t="shared" si="16"/>
        <v>0</v>
      </c>
      <c r="O41" s="113"/>
      <c r="P41" s="80">
        <f t="shared" si="17"/>
        <v>0</v>
      </c>
      <c r="Q41" s="113"/>
      <c r="R41" s="80">
        <f t="shared" si="18"/>
        <v>0</v>
      </c>
      <c r="S41" s="113"/>
      <c r="T41" s="80">
        <f t="shared" si="19"/>
        <v>0</v>
      </c>
      <c r="U41" s="113"/>
      <c r="V41" s="80">
        <f t="shared" si="20"/>
        <v>0</v>
      </c>
    </row>
    <row r="42" spans="1:22" ht="12.75" customHeight="1">
      <c r="A42" s="2" t="s">
        <v>377</v>
      </c>
      <c r="B42" s="35"/>
      <c r="C42" s="179"/>
      <c r="D42" s="80">
        <f t="shared" si="11"/>
        <v>0</v>
      </c>
      <c r="E42" s="179"/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79"/>
      <c r="D43" s="80">
        <f t="shared" si="11"/>
        <v>0</v>
      </c>
      <c r="E43" s="179"/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79"/>
      <c r="D44" s="80">
        <f t="shared" si="11"/>
        <v>0</v>
      </c>
      <c r="E44" s="179"/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82">
        <f>(+C37+C39)*9.4%</f>
        <v>13589.58</v>
      </c>
      <c r="D45" s="80">
        <f t="shared" si="11"/>
        <v>1.14294196804037E-2</v>
      </c>
      <c r="E45" s="182">
        <f>(+E37+E39)*9.4%</f>
        <v>15111.612960000002</v>
      </c>
      <c r="F45" s="80">
        <f t="shared" si="12"/>
        <v>1.1615382751729441E-2</v>
      </c>
      <c r="G45" s="114"/>
      <c r="H45" s="80">
        <f t="shared" si="13"/>
        <v>0</v>
      </c>
      <c r="I45" s="114"/>
      <c r="J45" s="80">
        <f t="shared" si="14"/>
        <v>0</v>
      </c>
      <c r="K45" s="114"/>
      <c r="L45" s="80">
        <f t="shared" si="15"/>
        <v>0</v>
      </c>
      <c r="M45" s="114"/>
      <c r="N45" s="80">
        <f t="shared" si="16"/>
        <v>0</v>
      </c>
      <c r="O45" s="114"/>
      <c r="P45" s="80">
        <f t="shared" si="17"/>
        <v>0</v>
      </c>
      <c r="Q45" s="114"/>
      <c r="R45" s="80">
        <f t="shared" si="18"/>
        <v>0</v>
      </c>
      <c r="S45" s="114"/>
      <c r="T45" s="80">
        <f t="shared" si="19"/>
        <v>0</v>
      </c>
      <c r="U45" s="114"/>
      <c r="V45" s="80">
        <f t="shared" si="20"/>
        <v>0</v>
      </c>
    </row>
    <row r="46" spans="1:22" ht="12.75" customHeight="1">
      <c r="A46" s="1" t="s">
        <v>381</v>
      </c>
      <c r="B46" s="53"/>
      <c r="C46" s="82">
        <f>SUM(C36:C45)</f>
        <v>164633.37199999997</v>
      </c>
      <c r="D46" s="83">
        <f t="shared" si="11"/>
        <v>0.13846372750210259</v>
      </c>
      <c r="E46" s="82">
        <f>SUM(E36:E45)</f>
        <v>183072.30966400003</v>
      </c>
      <c r="F46" s="83">
        <f t="shared" si="12"/>
        <v>0.14071661004150657</v>
      </c>
      <c r="G46" s="82">
        <f>SUM(G36:G45)</f>
        <v>0</v>
      </c>
      <c r="H46" s="83">
        <f t="shared" si="13"/>
        <v>0</v>
      </c>
      <c r="I46" s="82">
        <f>SUM(I36:I45)</f>
        <v>0</v>
      </c>
      <c r="J46" s="83">
        <f t="shared" si="14"/>
        <v>0</v>
      </c>
      <c r="K46" s="82">
        <f>SUM(K36:K45)</f>
        <v>0</v>
      </c>
      <c r="L46" s="83">
        <f t="shared" si="15"/>
        <v>0</v>
      </c>
      <c r="M46" s="82">
        <f>SUM(M36:M45)</f>
        <v>0</v>
      </c>
      <c r="N46" s="83">
        <f t="shared" si="16"/>
        <v>0</v>
      </c>
      <c r="O46" s="82">
        <f>SUM(O36:O45)</f>
        <v>0</v>
      </c>
      <c r="P46" s="83">
        <f t="shared" si="17"/>
        <v>0</v>
      </c>
      <c r="Q46" s="82">
        <f>SUM(Q36:Q45)</f>
        <v>0</v>
      </c>
      <c r="R46" s="83">
        <f t="shared" si="18"/>
        <v>0</v>
      </c>
      <c r="S46" s="82">
        <f>SUM(S36:S45)</f>
        <v>0</v>
      </c>
      <c r="T46" s="83">
        <f t="shared" si="19"/>
        <v>0</v>
      </c>
      <c r="U46" s="82">
        <f>SUM(U36:U45)</f>
        <v>0</v>
      </c>
      <c r="V46" s="83">
        <f t="shared" si="20"/>
        <v>0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83" si="22">IFERROR(C52/C$28,0)</f>
        <v>0</v>
      </c>
      <c r="E52" s="179">
        <v>0</v>
      </c>
      <c r="F52" s="80">
        <f t="shared" ref="F52:F105" si="23">IFERROR(E52/E$28,0)</f>
        <v>0</v>
      </c>
      <c r="G52" s="179">
        <v>0</v>
      </c>
      <c r="H52" s="80">
        <f t="shared" ref="H52:H105" si="24">IFERROR(G52/G$28,0)</f>
        <v>0</v>
      </c>
      <c r="I52" s="179">
        <v>0</v>
      </c>
      <c r="J52" s="80">
        <f t="shared" ref="J52:J105" si="25">IFERROR(I52/I$28,0)</f>
        <v>0</v>
      </c>
      <c r="K52" s="179">
        <v>0</v>
      </c>
      <c r="L52" s="80">
        <f t="shared" ref="L52:L105" si="26">IFERROR(K52/K$28,0)</f>
        <v>0</v>
      </c>
      <c r="M52" s="179">
        <v>0</v>
      </c>
      <c r="N52" s="80">
        <f t="shared" ref="N52:N105" si="27">IFERROR(M52/M$28,0)</f>
        <v>0</v>
      </c>
      <c r="O52" s="179">
        <v>0</v>
      </c>
      <c r="P52" s="80">
        <f t="shared" ref="P52:P105" si="28">IFERROR(O52/O$28,0)</f>
        <v>0</v>
      </c>
      <c r="Q52" s="179">
        <v>0</v>
      </c>
      <c r="R52" s="80">
        <f t="shared" ref="R52:R105" si="29">IFERROR(Q52/Q$28,0)</f>
        <v>0</v>
      </c>
      <c r="S52" s="179">
        <v>0</v>
      </c>
      <c r="T52" s="80">
        <f t="shared" ref="T52:T105" si="30">IFERROR(S52/S$28,0)</f>
        <v>0</v>
      </c>
      <c r="U52" s="179">
        <v>0</v>
      </c>
      <c r="V52" s="80">
        <f t="shared" ref="V52:V105" si="31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2"/>
        <v>0</v>
      </c>
      <c r="E53" s="179">
        <v>0</v>
      </c>
      <c r="F53" s="80">
        <f t="shared" si="23"/>
        <v>0</v>
      </c>
      <c r="G53" s="179">
        <v>0</v>
      </c>
      <c r="H53" s="80">
        <f t="shared" si="24"/>
        <v>0</v>
      </c>
      <c r="I53" s="179">
        <v>0</v>
      </c>
      <c r="J53" s="80">
        <f t="shared" si="25"/>
        <v>0</v>
      </c>
      <c r="K53" s="179">
        <v>0</v>
      </c>
      <c r="L53" s="80">
        <f t="shared" si="26"/>
        <v>0</v>
      </c>
      <c r="M53" s="179">
        <v>0</v>
      </c>
      <c r="N53" s="80">
        <f t="shared" si="27"/>
        <v>0</v>
      </c>
      <c r="O53" s="179">
        <v>0</v>
      </c>
      <c r="P53" s="80">
        <f t="shared" si="28"/>
        <v>0</v>
      </c>
      <c r="Q53" s="179">
        <v>0</v>
      </c>
      <c r="R53" s="80">
        <f t="shared" si="29"/>
        <v>0</v>
      </c>
      <c r="S53" s="179">
        <v>0</v>
      </c>
      <c r="T53" s="80">
        <f t="shared" si="30"/>
        <v>0</v>
      </c>
      <c r="U53" s="179">
        <v>0</v>
      </c>
      <c r="V53" s="80">
        <f t="shared" si="31"/>
        <v>0</v>
      </c>
      <c r="X53" s="200"/>
    </row>
    <row r="54" spans="1:24" ht="12.75" customHeight="1">
      <c r="A54" s="2" t="s">
        <v>385</v>
      </c>
      <c r="B54" s="35"/>
      <c r="C54" s="179">
        <v>832.3</v>
      </c>
      <c r="D54" s="80">
        <f t="shared" si="22"/>
        <v>6.9999999999999999E-4</v>
      </c>
      <c r="E54" s="179">
        <v>910.7</v>
      </c>
      <c r="F54" s="80">
        <f t="shared" si="23"/>
        <v>6.9999999999999999E-4</v>
      </c>
      <c r="G54" s="179">
        <v>0</v>
      </c>
      <c r="H54" s="80">
        <f t="shared" si="24"/>
        <v>0</v>
      </c>
      <c r="I54" s="179">
        <v>0</v>
      </c>
      <c r="J54" s="80">
        <f t="shared" si="25"/>
        <v>0</v>
      </c>
      <c r="K54" s="179">
        <v>0</v>
      </c>
      <c r="L54" s="80">
        <f t="shared" si="26"/>
        <v>0</v>
      </c>
      <c r="M54" s="179">
        <v>0</v>
      </c>
      <c r="N54" s="80">
        <f t="shared" si="27"/>
        <v>0</v>
      </c>
      <c r="O54" s="179">
        <v>0</v>
      </c>
      <c r="P54" s="80">
        <f t="shared" si="28"/>
        <v>0</v>
      </c>
      <c r="Q54" s="179">
        <v>0</v>
      </c>
      <c r="R54" s="80">
        <f t="shared" si="29"/>
        <v>0</v>
      </c>
      <c r="S54" s="179">
        <v>0</v>
      </c>
      <c r="T54" s="80">
        <f t="shared" si="30"/>
        <v>0</v>
      </c>
      <c r="U54" s="179">
        <v>0</v>
      </c>
      <c r="V54" s="80">
        <f t="shared" si="31"/>
        <v>0</v>
      </c>
      <c r="X54" s="200"/>
    </row>
    <row r="55" spans="1:24" ht="12.75" customHeight="1">
      <c r="A55" s="2" t="s">
        <v>386</v>
      </c>
      <c r="B55" s="35"/>
      <c r="C55" s="179"/>
      <c r="D55" s="80">
        <f t="shared" si="22"/>
        <v>0</v>
      </c>
      <c r="E55" s="179"/>
      <c r="F55" s="80">
        <f t="shared" si="23"/>
        <v>0</v>
      </c>
      <c r="G55" s="179">
        <v>0</v>
      </c>
      <c r="H55" s="80">
        <f t="shared" si="24"/>
        <v>0</v>
      </c>
      <c r="I55" s="179">
        <v>0</v>
      </c>
      <c r="J55" s="80">
        <f t="shared" si="25"/>
        <v>0</v>
      </c>
      <c r="K55" s="179">
        <v>0</v>
      </c>
      <c r="L55" s="80">
        <f t="shared" si="26"/>
        <v>0</v>
      </c>
      <c r="M55" s="179">
        <v>0</v>
      </c>
      <c r="N55" s="80">
        <f t="shared" si="27"/>
        <v>0</v>
      </c>
      <c r="O55" s="179">
        <v>0</v>
      </c>
      <c r="P55" s="80">
        <f t="shared" si="28"/>
        <v>0</v>
      </c>
      <c r="Q55" s="179">
        <v>0</v>
      </c>
      <c r="R55" s="80">
        <f t="shared" si="29"/>
        <v>0</v>
      </c>
      <c r="S55" s="179">
        <v>0</v>
      </c>
      <c r="T55" s="80">
        <f t="shared" si="30"/>
        <v>0</v>
      </c>
      <c r="U55" s="179">
        <v>0</v>
      </c>
      <c r="V55" s="80">
        <f t="shared" si="31"/>
        <v>0</v>
      </c>
      <c r="X55" s="200"/>
    </row>
    <row r="56" spans="1:24" ht="12.75" customHeight="1">
      <c r="A56" s="2" t="s">
        <v>387</v>
      </c>
      <c r="B56" s="35"/>
      <c r="C56" s="179">
        <v>606.3900000000001</v>
      </c>
      <c r="D56" s="80">
        <f t="shared" si="22"/>
        <v>5.1000000000000004E-4</v>
      </c>
      <c r="E56" s="179">
        <v>663.5100000000001</v>
      </c>
      <c r="F56" s="80">
        <f t="shared" si="23"/>
        <v>5.1000000000000004E-4</v>
      </c>
      <c r="G56" s="179">
        <v>0</v>
      </c>
      <c r="H56" s="80">
        <f t="shared" si="24"/>
        <v>0</v>
      </c>
      <c r="I56" s="179">
        <v>0</v>
      </c>
      <c r="J56" s="80">
        <f t="shared" si="25"/>
        <v>0</v>
      </c>
      <c r="K56" s="179">
        <v>0</v>
      </c>
      <c r="L56" s="80">
        <f t="shared" si="26"/>
        <v>0</v>
      </c>
      <c r="M56" s="179">
        <v>0</v>
      </c>
      <c r="N56" s="80">
        <f t="shared" si="27"/>
        <v>0</v>
      </c>
      <c r="O56" s="179">
        <v>0</v>
      </c>
      <c r="P56" s="80">
        <f t="shared" si="28"/>
        <v>0</v>
      </c>
      <c r="Q56" s="179">
        <v>0</v>
      </c>
      <c r="R56" s="80">
        <f t="shared" si="29"/>
        <v>0</v>
      </c>
      <c r="S56" s="179">
        <v>0</v>
      </c>
      <c r="T56" s="80">
        <f t="shared" si="30"/>
        <v>0</v>
      </c>
      <c r="U56" s="179">
        <v>0</v>
      </c>
      <c r="V56" s="80">
        <f t="shared" si="31"/>
        <v>0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2"/>
        <v>0</v>
      </c>
      <c r="E57" s="179">
        <v>0</v>
      </c>
      <c r="F57" s="80">
        <f t="shared" si="23"/>
        <v>0</v>
      </c>
      <c r="G57" s="179">
        <v>0</v>
      </c>
      <c r="H57" s="80">
        <f t="shared" si="24"/>
        <v>0</v>
      </c>
      <c r="I57" s="179">
        <v>0</v>
      </c>
      <c r="J57" s="80">
        <f t="shared" si="25"/>
        <v>0</v>
      </c>
      <c r="K57" s="179">
        <v>0</v>
      </c>
      <c r="L57" s="80">
        <f t="shared" si="26"/>
        <v>0</v>
      </c>
      <c r="M57" s="179">
        <v>0</v>
      </c>
      <c r="N57" s="80">
        <f t="shared" si="27"/>
        <v>0</v>
      </c>
      <c r="O57" s="179">
        <v>0</v>
      </c>
      <c r="P57" s="80">
        <f t="shared" si="28"/>
        <v>0</v>
      </c>
      <c r="Q57" s="179">
        <v>0</v>
      </c>
      <c r="R57" s="80">
        <f t="shared" si="29"/>
        <v>0</v>
      </c>
      <c r="S57" s="179">
        <v>0</v>
      </c>
      <c r="T57" s="80">
        <f t="shared" si="30"/>
        <v>0</v>
      </c>
      <c r="U57" s="179">
        <v>0</v>
      </c>
      <c r="V57" s="80">
        <f t="shared" si="31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2"/>
        <v>0</v>
      </c>
      <c r="E58" s="179">
        <v>0</v>
      </c>
      <c r="F58" s="80">
        <f t="shared" si="23"/>
        <v>0</v>
      </c>
      <c r="G58" s="179">
        <v>0</v>
      </c>
      <c r="H58" s="80">
        <f t="shared" si="24"/>
        <v>0</v>
      </c>
      <c r="I58" s="179">
        <v>0</v>
      </c>
      <c r="J58" s="80">
        <f t="shared" si="25"/>
        <v>0</v>
      </c>
      <c r="K58" s="179">
        <v>0</v>
      </c>
      <c r="L58" s="80">
        <f t="shared" si="26"/>
        <v>0</v>
      </c>
      <c r="M58" s="179">
        <v>0</v>
      </c>
      <c r="N58" s="80">
        <f t="shared" si="27"/>
        <v>0</v>
      </c>
      <c r="O58" s="179">
        <v>0</v>
      </c>
      <c r="P58" s="80">
        <f t="shared" si="28"/>
        <v>0</v>
      </c>
      <c r="Q58" s="179">
        <v>0</v>
      </c>
      <c r="R58" s="80">
        <f t="shared" si="29"/>
        <v>0</v>
      </c>
      <c r="S58" s="179">
        <v>0</v>
      </c>
      <c r="T58" s="80">
        <f t="shared" si="30"/>
        <v>0</v>
      </c>
      <c r="U58" s="179">
        <v>0</v>
      </c>
      <c r="V58" s="80">
        <f t="shared" si="31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2"/>
        <v>0</v>
      </c>
      <c r="E59" s="179">
        <v>0</v>
      </c>
      <c r="F59" s="80">
        <f t="shared" si="23"/>
        <v>0</v>
      </c>
      <c r="G59" s="179">
        <v>0</v>
      </c>
      <c r="H59" s="80">
        <f t="shared" si="24"/>
        <v>0</v>
      </c>
      <c r="I59" s="179">
        <v>0</v>
      </c>
      <c r="J59" s="80">
        <f t="shared" si="25"/>
        <v>0</v>
      </c>
      <c r="K59" s="179">
        <v>0</v>
      </c>
      <c r="L59" s="80">
        <f t="shared" si="26"/>
        <v>0</v>
      </c>
      <c r="M59" s="179">
        <v>0</v>
      </c>
      <c r="N59" s="80">
        <f t="shared" si="27"/>
        <v>0</v>
      </c>
      <c r="O59" s="179">
        <v>0</v>
      </c>
      <c r="P59" s="80">
        <f t="shared" si="28"/>
        <v>0</v>
      </c>
      <c r="Q59" s="179">
        <v>0</v>
      </c>
      <c r="R59" s="80">
        <f t="shared" si="29"/>
        <v>0</v>
      </c>
      <c r="S59" s="179">
        <v>0</v>
      </c>
      <c r="T59" s="80">
        <f t="shared" si="30"/>
        <v>0</v>
      </c>
      <c r="U59" s="179">
        <v>0</v>
      </c>
      <c r="V59" s="80">
        <f t="shared" si="31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2"/>
        <v>0</v>
      </c>
      <c r="E60" s="179">
        <v>0</v>
      </c>
      <c r="F60" s="80">
        <f t="shared" si="23"/>
        <v>0</v>
      </c>
      <c r="G60" s="179">
        <v>0</v>
      </c>
      <c r="H60" s="80">
        <f t="shared" si="24"/>
        <v>0</v>
      </c>
      <c r="I60" s="179">
        <v>0</v>
      </c>
      <c r="J60" s="80">
        <f t="shared" si="25"/>
        <v>0</v>
      </c>
      <c r="K60" s="179">
        <v>0</v>
      </c>
      <c r="L60" s="80">
        <f t="shared" si="26"/>
        <v>0</v>
      </c>
      <c r="M60" s="179">
        <v>0</v>
      </c>
      <c r="N60" s="80">
        <f t="shared" si="27"/>
        <v>0</v>
      </c>
      <c r="O60" s="179">
        <v>0</v>
      </c>
      <c r="P60" s="80">
        <f t="shared" si="28"/>
        <v>0</v>
      </c>
      <c r="Q60" s="179">
        <v>0</v>
      </c>
      <c r="R60" s="80">
        <f t="shared" si="29"/>
        <v>0</v>
      </c>
      <c r="S60" s="179">
        <v>0</v>
      </c>
      <c r="T60" s="80">
        <f t="shared" si="30"/>
        <v>0</v>
      </c>
      <c r="U60" s="179">
        <v>0</v>
      </c>
      <c r="V60" s="80">
        <f t="shared" si="31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2"/>
        <v>0</v>
      </c>
      <c r="E61" s="179">
        <v>0</v>
      </c>
      <c r="F61" s="80">
        <f t="shared" si="23"/>
        <v>0</v>
      </c>
      <c r="G61" s="179">
        <v>0</v>
      </c>
      <c r="H61" s="80">
        <f t="shared" si="24"/>
        <v>0</v>
      </c>
      <c r="I61" s="179">
        <v>0</v>
      </c>
      <c r="J61" s="80">
        <f t="shared" si="25"/>
        <v>0</v>
      </c>
      <c r="K61" s="179">
        <v>0</v>
      </c>
      <c r="L61" s="80">
        <f t="shared" si="26"/>
        <v>0</v>
      </c>
      <c r="M61" s="179">
        <v>0</v>
      </c>
      <c r="N61" s="80">
        <f t="shared" si="27"/>
        <v>0</v>
      </c>
      <c r="O61" s="179">
        <v>0</v>
      </c>
      <c r="P61" s="80">
        <f t="shared" si="28"/>
        <v>0</v>
      </c>
      <c r="Q61" s="179">
        <v>0</v>
      </c>
      <c r="R61" s="80">
        <f t="shared" si="29"/>
        <v>0</v>
      </c>
      <c r="S61" s="179">
        <v>0</v>
      </c>
      <c r="T61" s="80">
        <f t="shared" si="30"/>
        <v>0</v>
      </c>
      <c r="U61" s="179">
        <v>0</v>
      </c>
      <c r="V61" s="80">
        <f t="shared" si="31"/>
        <v>0</v>
      </c>
      <c r="X61" s="200"/>
    </row>
    <row r="62" spans="1:24" ht="12.75" customHeight="1">
      <c r="A62" s="2" t="s">
        <v>452</v>
      </c>
      <c r="B62" s="35"/>
      <c r="C62" s="179">
        <v>0</v>
      </c>
      <c r="D62" s="80">
        <f t="shared" si="22"/>
        <v>0</v>
      </c>
      <c r="E62" s="179">
        <v>0</v>
      </c>
      <c r="F62" s="80">
        <f t="shared" si="23"/>
        <v>0</v>
      </c>
      <c r="G62" s="179">
        <v>0</v>
      </c>
      <c r="H62" s="80">
        <f t="shared" si="24"/>
        <v>0</v>
      </c>
      <c r="I62" s="179">
        <v>0</v>
      </c>
      <c r="J62" s="80">
        <f t="shared" si="25"/>
        <v>0</v>
      </c>
      <c r="K62" s="179">
        <v>0</v>
      </c>
      <c r="L62" s="80">
        <f t="shared" si="26"/>
        <v>0</v>
      </c>
      <c r="M62" s="179">
        <v>0</v>
      </c>
      <c r="N62" s="80">
        <f t="shared" si="27"/>
        <v>0</v>
      </c>
      <c r="O62" s="179">
        <v>0</v>
      </c>
      <c r="P62" s="80">
        <f t="shared" si="28"/>
        <v>0</v>
      </c>
      <c r="Q62" s="179">
        <v>0</v>
      </c>
      <c r="R62" s="80">
        <f t="shared" si="29"/>
        <v>0</v>
      </c>
      <c r="S62" s="179">
        <v>0</v>
      </c>
      <c r="T62" s="80">
        <f t="shared" si="30"/>
        <v>0</v>
      </c>
      <c r="U62" s="179">
        <v>0</v>
      </c>
      <c r="V62" s="80">
        <f t="shared" si="31"/>
        <v>0</v>
      </c>
      <c r="X62" s="200"/>
    </row>
    <row r="63" spans="1:24" ht="12.75" customHeight="1">
      <c r="A63" s="2" t="s">
        <v>394</v>
      </c>
      <c r="B63" s="35"/>
      <c r="C63" s="179">
        <v>16315.975867964495</v>
      </c>
      <c r="D63" s="80">
        <f t="shared" si="22"/>
        <v>1.3722435549171148E-2</v>
      </c>
      <c r="E63" s="179">
        <v>10092.273910431048</v>
      </c>
      <c r="F63" s="80">
        <f t="shared" si="23"/>
        <v>7.7573204538286299E-3</v>
      </c>
      <c r="G63" s="179">
        <v>0</v>
      </c>
      <c r="H63" s="80">
        <f t="shared" si="24"/>
        <v>0</v>
      </c>
      <c r="I63" s="179">
        <v>0</v>
      </c>
      <c r="J63" s="80">
        <f t="shared" si="25"/>
        <v>0</v>
      </c>
      <c r="K63" s="179">
        <v>0</v>
      </c>
      <c r="L63" s="80">
        <f t="shared" si="26"/>
        <v>0</v>
      </c>
      <c r="M63" s="179">
        <v>0</v>
      </c>
      <c r="N63" s="80">
        <f t="shared" si="27"/>
        <v>0</v>
      </c>
      <c r="O63" s="179">
        <v>0</v>
      </c>
      <c r="P63" s="80">
        <f t="shared" si="28"/>
        <v>0</v>
      </c>
      <c r="Q63" s="179">
        <v>0</v>
      </c>
      <c r="R63" s="80">
        <f t="shared" si="29"/>
        <v>0</v>
      </c>
      <c r="S63" s="179">
        <v>0</v>
      </c>
      <c r="T63" s="80">
        <f t="shared" si="30"/>
        <v>0</v>
      </c>
      <c r="U63" s="179">
        <v>0</v>
      </c>
      <c r="V63" s="80">
        <f t="shared" si="31"/>
        <v>0</v>
      </c>
      <c r="X63" s="200"/>
    </row>
    <row r="64" spans="1:24" ht="12.75" customHeight="1">
      <c r="A64" s="2" t="s">
        <v>395</v>
      </c>
      <c r="B64" s="35"/>
      <c r="C64" s="179">
        <v>5707.1999999999989</v>
      </c>
      <c r="D64" s="80">
        <f t="shared" si="22"/>
        <v>4.7999999999999987E-3</v>
      </c>
      <c r="E64" s="179">
        <v>6244.7999999999993</v>
      </c>
      <c r="F64" s="80">
        <f t="shared" si="23"/>
        <v>4.7999999999999996E-3</v>
      </c>
      <c r="G64" s="179">
        <v>0</v>
      </c>
      <c r="H64" s="80">
        <f t="shared" si="24"/>
        <v>0</v>
      </c>
      <c r="I64" s="179">
        <v>0</v>
      </c>
      <c r="J64" s="80">
        <f t="shared" si="25"/>
        <v>0</v>
      </c>
      <c r="K64" s="179">
        <v>0</v>
      </c>
      <c r="L64" s="80">
        <f t="shared" si="26"/>
        <v>0</v>
      </c>
      <c r="M64" s="179">
        <v>0</v>
      </c>
      <c r="N64" s="80">
        <f t="shared" si="27"/>
        <v>0</v>
      </c>
      <c r="O64" s="179">
        <v>0</v>
      </c>
      <c r="P64" s="80">
        <f t="shared" si="28"/>
        <v>0</v>
      </c>
      <c r="Q64" s="179">
        <v>0</v>
      </c>
      <c r="R64" s="80">
        <f t="shared" si="29"/>
        <v>0</v>
      </c>
      <c r="S64" s="179">
        <v>0</v>
      </c>
      <c r="T64" s="80">
        <f t="shared" si="30"/>
        <v>0</v>
      </c>
      <c r="U64" s="179">
        <v>0</v>
      </c>
      <c r="V64" s="80">
        <f t="shared" si="31"/>
        <v>0</v>
      </c>
      <c r="X64" s="200"/>
    </row>
    <row r="65" spans="1:24" ht="12.75" customHeight="1">
      <c r="A65" s="2" t="s">
        <v>396</v>
      </c>
      <c r="B65" s="35"/>
      <c r="C65" s="179">
        <v>594.5</v>
      </c>
      <c r="D65" s="80">
        <f t="shared" si="22"/>
        <v>5.0000000000000001E-4</v>
      </c>
      <c r="E65" s="179">
        <v>650.5</v>
      </c>
      <c r="F65" s="80">
        <f t="shared" si="23"/>
        <v>5.0000000000000001E-4</v>
      </c>
      <c r="G65" s="179">
        <v>0</v>
      </c>
      <c r="H65" s="80">
        <f t="shared" si="24"/>
        <v>0</v>
      </c>
      <c r="I65" s="179">
        <v>0</v>
      </c>
      <c r="J65" s="80">
        <f t="shared" si="25"/>
        <v>0</v>
      </c>
      <c r="K65" s="179">
        <v>0</v>
      </c>
      <c r="L65" s="80">
        <f t="shared" si="26"/>
        <v>0</v>
      </c>
      <c r="M65" s="179">
        <v>0</v>
      </c>
      <c r="N65" s="80">
        <f t="shared" si="27"/>
        <v>0</v>
      </c>
      <c r="O65" s="179">
        <v>0</v>
      </c>
      <c r="P65" s="80">
        <f t="shared" si="28"/>
        <v>0</v>
      </c>
      <c r="Q65" s="179">
        <v>0</v>
      </c>
      <c r="R65" s="80">
        <f t="shared" si="29"/>
        <v>0</v>
      </c>
      <c r="S65" s="179">
        <v>0</v>
      </c>
      <c r="T65" s="80">
        <f t="shared" si="30"/>
        <v>0</v>
      </c>
      <c r="U65" s="179">
        <v>0</v>
      </c>
      <c r="V65" s="80">
        <f t="shared" si="31"/>
        <v>0</v>
      </c>
      <c r="X65" s="200"/>
    </row>
    <row r="66" spans="1:24" ht="12.75" customHeight="1">
      <c r="A66" s="2" t="s">
        <v>397</v>
      </c>
      <c r="B66" s="35"/>
      <c r="C66" s="179">
        <v>3329.2</v>
      </c>
      <c r="D66" s="80">
        <f t="shared" si="22"/>
        <v>2.8E-3</v>
      </c>
      <c r="E66" s="179">
        <v>3642.8</v>
      </c>
      <c r="F66" s="80">
        <f t="shared" si="23"/>
        <v>2.8E-3</v>
      </c>
      <c r="G66" s="179">
        <v>0</v>
      </c>
      <c r="H66" s="80">
        <f t="shared" si="24"/>
        <v>0</v>
      </c>
      <c r="I66" s="179">
        <v>0</v>
      </c>
      <c r="J66" s="80">
        <f t="shared" si="25"/>
        <v>0</v>
      </c>
      <c r="K66" s="179">
        <v>0</v>
      </c>
      <c r="L66" s="80">
        <f t="shared" si="26"/>
        <v>0</v>
      </c>
      <c r="M66" s="179">
        <v>0</v>
      </c>
      <c r="N66" s="80">
        <f t="shared" si="27"/>
        <v>0</v>
      </c>
      <c r="O66" s="179">
        <v>0</v>
      </c>
      <c r="P66" s="80">
        <f t="shared" si="28"/>
        <v>0</v>
      </c>
      <c r="Q66" s="179">
        <v>0</v>
      </c>
      <c r="R66" s="80">
        <f t="shared" si="29"/>
        <v>0</v>
      </c>
      <c r="S66" s="179">
        <v>0</v>
      </c>
      <c r="T66" s="80">
        <f t="shared" si="30"/>
        <v>0</v>
      </c>
      <c r="U66" s="179">
        <v>0</v>
      </c>
      <c r="V66" s="80">
        <f t="shared" si="31"/>
        <v>0</v>
      </c>
      <c r="X66" s="200"/>
    </row>
    <row r="67" spans="1:24" ht="12.75" customHeight="1">
      <c r="A67" s="2" t="s">
        <v>398</v>
      </c>
      <c r="B67" s="35"/>
      <c r="C67" s="179">
        <v>17834.999999999996</v>
      </c>
      <c r="D67" s="80">
        <f t="shared" si="22"/>
        <v>1.4999999999999998E-2</v>
      </c>
      <c r="E67" s="179">
        <v>19515</v>
      </c>
      <c r="F67" s="80">
        <f t="shared" si="23"/>
        <v>1.4999999999999999E-2</v>
      </c>
      <c r="G67" s="179">
        <v>0</v>
      </c>
      <c r="H67" s="80">
        <f t="shared" si="24"/>
        <v>0</v>
      </c>
      <c r="I67" s="179">
        <v>0</v>
      </c>
      <c r="J67" s="80">
        <f t="shared" si="25"/>
        <v>0</v>
      </c>
      <c r="K67" s="179">
        <v>0</v>
      </c>
      <c r="L67" s="80">
        <f t="shared" si="26"/>
        <v>0</v>
      </c>
      <c r="M67" s="179">
        <v>0</v>
      </c>
      <c r="N67" s="80">
        <f t="shared" si="27"/>
        <v>0</v>
      </c>
      <c r="O67" s="179">
        <v>0</v>
      </c>
      <c r="P67" s="80">
        <f t="shared" si="28"/>
        <v>0</v>
      </c>
      <c r="Q67" s="179">
        <v>0</v>
      </c>
      <c r="R67" s="80">
        <f t="shared" si="29"/>
        <v>0</v>
      </c>
      <c r="S67" s="179">
        <v>0</v>
      </c>
      <c r="T67" s="80">
        <f t="shared" si="30"/>
        <v>0</v>
      </c>
      <c r="U67" s="179">
        <v>0</v>
      </c>
      <c r="V67" s="80">
        <f t="shared" si="31"/>
        <v>0</v>
      </c>
      <c r="X67" s="200"/>
    </row>
    <row r="68" spans="1:24" ht="12.75" customHeight="1">
      <c r="A68" s="2" t="s">
        <v>399</v>
      </c>
      <c r="B68" s="35"/>
      <c r="C68" s="179">
        <v>2021.3</v>
      </c>
      <c r="D68" s="80">
        <f t="shared" si="22"/>
        <v>1.6999999999999999E-3</v>
      </c>
      <c r="E68" s="179">
        <v>2211.6999999999998</v>
      </c>
      <c r="F68" s="80">
        <f t="shared" si="23"/>
        <v>1.6999999999999999E-3</v>
      </c>
      <c r="G68" s="179">
        <v>0</v>
      </c>
      <c r="H68" s="80">
        <f t="shared" si="24"/>
        <v>0</v>
      </c>
      <c r="I68" s="179">
        <v>0</v>
      </c>
      <c r="J68" s="80">
        <f t="shared" si="25"/>
        <v>0</v>
      </c>
      <c r="K68" s="179">
        <v>0</v>
      </c>
      <c r="L68" s="80">
        <f t="shared" si="26"/>
        <v>0</v>
      </c>
      <c r="M68" s="179">
        <v>0</v>
      </c>
      <c r="N68" s="80">
        <f t="shared" si="27"/>
        <v>0</v>
      </c>
      <c r="O68" s="179">
        <v>0</v>
      </c>
      <c r="P68" s="80">
        <f t="shared" si="28"/>
        <v>0</v>
      </c>
      <c r="Q68" s="179">
        <v>0</v>
      </c>
      <c r="R68" s="80">
        <f t="shared" si="29"/>
        <v>0</v>
      </c>
      <c r="S68" s="179">
        <v>0</v>
      </c>
      <c r="T68" s="80">
        <f t="shared" si="30"/>
        <v>0</v>
      </c>
      <c r="U68" s="179">
        <v>0</v>
      </c>
      <c r="V68" s="80">
        <f t="shared" si="31"/>
        <v>0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2"/>
        <v>0</v>
      </c>
      <c r="E69" s="179">
        <v>0</v>
      </c>
      <c r="F69" s="80">
        <f t="shared" si="23"/>
        <v>0</v>
      </c>
      <c r="G69" s="179">
        <v>0</v>
      </c>
      <c r="H69" s="80">
        <f t="shared" si="24"/>
        <v>0</v>
      </c>
      <c r="I69" s="179">
        <v>0</v>
      </c>
      <c r="J69" s="80">
        <f t="shared" si="25"/>
        <v>0</v>
      </c>
      <c r="K69" s="179">
        <v>0</v>
      </c>
      <c r="L69" s="80">
        <f t="shared" si="26"/>
        <v>0</v>
      </c>
      <c r="M69" s="179">
        <v>0</v>
      </c>
      <c r="N69" s="80">
        <f t="shared" si="27"/>
        <v>0</v>
      </c>
      <c r="O69" s="179">
        <v>0</v>
      </c>
      <c r="P69" s="80">
        <f t="shared" si="28"/>
        <v>0</v>
      </c>
      <c r="Q69" s="179">
        <v>0</v>
      </c>
      <c r="R69" s="80">
        <f t="shared" si="29"/>
        <v>0</v>
      </c>
      <c r="S69" s="179">
        <v>0</v>
      </c>
      <c r="T69" s="80">
        <f t="shared" si="30"/>
        <v>0</v>
      </c>
      <c r="U69" s="179">
        <v>0</v>
      </c>
      <c r="V69" s="80">
        <f t="shared" si="31"/>
        <v>0</v>
      </c>
      <c r="X69" s="200"/>
    </row>
    <row r="70" spans="1:24" ht="12.75" customHeight="1">
      <c r="A70" s="2" t="s">
        <v>401</v>
      </c>
      <c r="B70" s="35"/>
      <c r="C70" s="179">
        <v>118.9</v>
      </c>
      <c r="D70" s="80">
        <f t="shared" si="22"/>
        <v>1E-4</v>
      </c>
      <c r="E70" s="179">
        <v>130.1</v>
      </c>
      <c r="F70" s="80">
        <f t="shared" si="23"/>
        <v>9.9999999999999991E-5</v>
      </c>
      <c r="G70" s="179">
        <v>0</v>
      </c>
      <c r="H70" s="80">
        <f t="shared" si="24"/>
        <v>0</v>
      </c>
      <c r="I70" s="179">
        <v>0</v>
      </c>
      <c r="J70" s="80">
        <f t="shared" si="25"/>
        <v>0</v>
      </c>
      <c r="K70" s="179">
        <v>0</v>
      </c>
      <c r="L70" s="80">
        <f t="shared" si="26"/>
        <v>0</v>
      </c>
      <c r="M70" s="179">
        <v>0</v>
      </c>
      <c r="N70" s="80">
        <f t="shared" si="27"/>
        <v>0</v>
      </c>
      <c r="O70" s="179">
        <v>0</v>
      </c>
      <c r="P70" s="80">
        <f t="shared" si="28"/>
        <v>0</v>
      </c>
      <c r="Q70" s="179">
        <v>0</v>
      </c>
      <c r="R70" s="80">
        <f t="shared" si="29"/>
        <v>0</v>
      </c>
      <c r="S70" s="179">
        <v>0</v>
      </c>
      <c r="T70" s="80">
        <f t="shared" si="30"/>
        <v>0</v>
      </c>
      <c r="U70" s="179">
        <v>0</v>
      </c>
      <c r="V70" s="80">
        <f t="shared" si="31"/>
        <v>0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2"/>
        <v>0</v>
      </c>
      <c r="E71" s="179">
        <v>0</v>
      </c>
      <c r="F71" s="80">
        <f t="shared" si="23"/>
        <v>0</v>
      </c>
      <c r="G71" s="179">
        <v>0</v>
      </c>
      <c r="H71" s="80">
        <f t="shared" si="24"/>
        <v>0</v>
      </c>
      <c r="I71" s="179">
        <v>0</v>
      </c>
      <c r="J71" s="80">
        <f t="shared" si="25"/>
        <v>0</v>
      </c>
      <c r="K71" s="179">
        <v>0</v>
      </c>
      <c r="L71" s="80">
        <f t="shared" si="26"/>
        <v>0</v>
      </c>
      <c r="M71" s="179">
        <v>0</v>
      </c>
      <c r="N71" s="80">
        <f t="shared" si="27"/>
        <v>0</v>
      </c>
      <c r="O71" s="179">
        <v>0</v>
      </c>
      <c r="P71" s="80">
        <f t="shared" si="28"/>
        <v>0</v>
      </c>
      <c r="Q71" s="179">
        <v>0</v>
      </c>
      <c r="R71" s="80">
        <f t="shared" si="29"/>
        <v>0</v>
      </c>
      <c r="S71" s="179">
        <v>0</v>
      </c>
      <c r="T71" s="80">
        <f t="shared" si="30"/>
        <v>0</v>
      </c>
      <c r="U71" s="179">
        <v>0</v>
      </c>
      <c r="V71" s="80">
        <f t="shared" si="31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2"/>
        <v>0</v>
      </c>
      <c r="E72" s="179">
        <v>0</v>
      </c>
      <c r="F72" s="80">
        <f t="shared" si="23"/>
        <v>0</v>
      </c>
      <c r="G72" s="179">
        <v>0</v>
      </c>
      <c r="H72" s="80">
        <f t="shared" si="24"/>
        <v>0</v>
      </c>
      <c r="I72" s="179">
        <v>0</v>
      </c>
      <c r="J72" s="80">
        <f t="shared" si="25"/>
        <v>0</v>
      </c>
      <c r="K72" s="179">
        <v>0</v>
      </c>
      <c r="L72" s="80">
        <f t="shared" si="26"/>
        <v>0</v>
      </c>
      <c r="M72" s="179">
        <v>0</v>
      </c>
      <c r="N72" s="80">
        <f t="shared" si="27"/>
        <v>0</v>
      </c>
      <c r="O72" s="179">
        <v>0</v>
      </c>
      <c r="P72" s="80">
        <f t="shared" si="28"/>
        <v>0</v>
      </c>
      <c r="Q72" s="179">
        <v>0</v>
      </c>
      <c r="R72" s="80">
        <f t="shared" si="29"/>
        <v>0</v>
      </c>
      <c r="S72" s="179">
        <v>0</v>
      </c>
      <c r="T72" s="80">
        <f t="shared" si="30"/>
        <v>0</v>
      </c>
      <c r="U72" s="179">
        <v>0</v>
      </c>
      <c r="V72" s="80">
        <f t="shared" si="31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2"/>
        <v>0</v>
      </c>
      <c r="E73" s="179">
        <v>0</v>
      </c>
      <c r="F73" s="80">
        <f t="shared" si="23"/>
        <v>0</v>
      </c>
      <c r="G73" s="179">
        <v>0</v>
      </c>
      <c r="H73" s="80">
        <f t="shared" si="24"/>
        <v>0</v>
      </c>
      <c r="I73" s="179">
        <v>0</v>
      </c>
      <c r="J73" s="80">
        <f t="shared" si="25"/>
        <v>0</v>
      </c>
      <c r="K73" s="179">
        <v>0</v>
      </c>
      <c r="L73" s="80">
        <f t="shared" si="26"/>
        <v>0</v>
      </c>
      <c r="M73" s="179">
        <v>0</v>
      </c>
      <c r="N73" s="80">
        <f t="shared" si="27"/>
        <v>0</v>
      </c>
      <c r="O73" s="179">
        <v>0</v>
      </c>
      <c r="P73" s="80">
        <f t="shared" si="28"/>
        <v>0</v>
      </c>
      <c r="Q73" s="179">
        <v>0</v>
      </c>
      <c r="R73" s="80">
        <f t="shared" si="29"/>
        <v>0</v>
      </c>
      <c r="S73" s="179">
        <v>0</v>
      </c>
      <c r="T73" s="80">
        <f t="shared" si="30"/>
        <v>0</v>
      </c>
      <c r="U73" s="179">
        <v>0</v>
      </c>
      <c r="V73" s="80">
        <f t="shared" si="31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2"/>
        <v>0</v>
      </c>
      <c r="E74" s="179">
        <v>0</v>
      </c>
      <c r="F74" s="80">
        <f t="shared" si="23"/>
        <v>0</v>
      </c>
      <c r="G74" s="179">
        <v>0</v>
      </c>
      <c r="H74" s="80">
        <f t="shared" si="24"/>
        <v>0</v>
      </c>
      <c r="I74" s="179">
        <v>0</v>
      </c>
      <c r="J74" s="80">
        <f t="shared" si="25"/>
        <v>0</v>
      </c>
      <c r="K74" s="179">
        <v>0</v>
      </c>
      <c r="L74" s="80">
        <f t="shared" si="26"/>
        <v>0</v>
      </c>
      <c r="M74" s="179">
        <v>0</v>
      </c>
      <c r="N74" s="80">
        <f t="shared" si="27"/>
        <v>0</v>
      </c>
      <c r="O74" s="179">
        <v>0</v>
      </c>
      <c r="P74" s="80">
        <f t="shared" si="28"/>
        <v>0</v>
      </c>
      <c r="Q74" s="179">
        <v>0</v>
      </c>
      <c r="R74" s="80">
        <f t="shared" si="29"/>
        <v>0</v>
      </c>
      <c r="S74" s="179">
        <v>0</v>
      </c>
      <c r="T74" s="80">
        <f t="shared" si="30"/>
        <v>0</v>
      </c>
      <c r="U74" s="179">
        <v>0</v>
      </c>
      <c r="V74" s="80">
        <f t="shared" si="31"/>
        <v>0</v>
      </c>
      <c r="X74" s="200"/>
    </row>
    <row r="75" spans="1:24" ht="12.75" customHeight="1">
      <c r="A75" s="2" t="s">
        <v>406</v>
      </c>
      <c r="B75" s="35"/>
      <c r="C75" s="179">
        <v>5945</v>
      </c>
      <c r="D75" s="80">
        <f t="shared" si="22"/>
        <v>5.0000000000000001E-3</v>
      </c>
      <c r="E75" s="179">
        <v>6505</v>
      </c>
      <c r="F75" s="80">
        <f t="shared" si="23"/>
        <v>5.0000000000000001E-3</v>
      </c>
      <c r="G75" s="179">
        <v>0</v>
      </c>
      <c r="H75" s="80">
        <f t="shared" si="24"/>
        <v>0</v>
      </c>
      <c r="I75" s="179">
        <v>0</v>
      </c>
      <c r="J75" s="80">
        <f t="shared" si="25"/>
        <v>0</v>
      </c>
      <c r="K75" s="179">
        <v>0</v>
      </c>
      <c r="L75" s="80">
        <f t="shared" si="26"/>
        <v>0</v>
      </c>
      <c r="M75" s="179">
        <v>0</v>
      </c>
      <c r="N75" s="80">
        <f t="shared" si="27"/>
        <v>0</v>
      </c>
      <c r="O75" s="179">
        <v>0</v>
      </c>
      <c r="P75" s="80">
        <f t="shared" si="28"/>
        <v>0</v>
      </c>
      <c r="Q75" s="179">
        <v>0</v>
      </c>
      <c r="R75" s="80">
        <f t="shared" si="29"/>
        <v>0</v>
      </c>
      <c r="S75" s="179">
        <v>0</v>
      </c>
      <c r="T75" s="80">
        <f t="shared" si="30"/>
        <v>0</v>
      </c>
      <c r="U75" s="179">
        <v>0</v>
      </c>
      <c r="V75" s="80">
        <f t="shared" si="31"/>
        <v>0</v>
      </c>
      <c r="X75" s="200"/>
    </row>
    <row r="76" spans="1:24" ht="12.75" customHeight="1">
      <c r="A76" s="2" t="s">
        <v>407</v>
      </c>
      <c r="B76" s="35"/>
      <c r="C76" s="179">
        <v>475.6</v>
      </c>
      <c r="D76" s="80">
        <f t="shared" si="22"/>
        <v>4.0000000000000002E-4</v>
      </c>
      <c r="E76" s="179">
        <v>520.4</v>
      </c>
      <c r="F76" s="80">
        <f t="shared" si="23"/>
        <v>3.9999999999999996E-4</v>
      </c>
      <c r="G76" s="179">
        <v>0</v>
      </c>
      <c r="H76" s="80">
        <f t="shared" si="24"/>
        <v>0</v>
      </c>
      <c r="I76" s="179">
        <v>0</v>
      </c>
      <c r="J76" s="80">
        <f t="shared" si="25"/>
        <v>0</v>
      </c>
      <c r="K76" s="179">
        <v>0</v>
      </c>
      <c r="L76" s="80">
        <f t="shared" si="26"/>
        <v>0</v>
      </c>
      <c r="M76" s="179">
        <v>0</v>
      </c>
      <c r="N76" s="80">
        <f t="shared" si="27"/>
        <v>0</v>
      </c>
      <c r="O76" s="179">
        <v>0</v>
      </c>
      <c r="P76" s="80">
        <f t="shared" si="28"/>
        <v>0</v>
      </c>
      <c r="Q76" s="179">
        <v>0</v>
      </c>
      <c r="R76" s="80">
        <f t="shared" si="29"/>
        <v>0</v>
      </c>
      <c r="S76" s="179">
        <v>0</v>
      </c>
      <c r="T76" s="80">
        <f t="shared" si="30"/>
        <v>0</v>
      </c>
      <c r="U76" s="179">
        <v>0</v>
      </c>
      <c r="V76" s="80">
        <f t="shared" si="31"/>
        <v>0</v>
      </c>
      <c r="X76" s="200"/>
    </row>
    <row r="77" spans="1:24" ht="12.75" customHeight="1">
      <c r="A77" s="2" t="s">
        <v>408</v>
      </c>
      <c r="B77" s="35"/>
      <c r="C77" s="179">
        <v>1545.6999999999998</v>
      </c>
      <c r="D77" s="80">
        <f t="shared" si="22"/>
        <v>1.2999999999999999E-3</v>
      </c>
      <c r="E77" s="179">
        <v>1691.2999999999997</v>
      </c>
      <c r="F77" s="80">
        <f t="shared" si="23"/>
        <v>1.2999999999999997E-3</v>
      </c>
      <c r="G77" s="179">
        <v>0</v>
      </c>
      <c r="H77" s="80">
        <f t="shared" si="24"/>
        <v>0</v>
      </c>
      <c r="I77" s="179">
        <v>0</v>
      </c>
      <c r="J77" s="80">
        <f t="shared" si="25"/>
        <v>0</v>
      </c>
      <c r="K77" s="179">
        <v>0</v>
      </c>
      <c r="L77" s="80">
        <f t="shared" si="26"/>
        <v>0</v>
      </c>
      <c r="M77" s="179">
        <v>0</v>
      </c>
      <c r="N77" s="80">
        <f t="shared" si="27"/>
        <v>0</v>
      </c>
      <c r="O77" s="179">
        <v>0</v>
      </c>
      <c r="P77" s="80">
        <f t="shared" si="28"/>
        <v>0</v>
      </c>
      <c r="Q77" s="179">
        <v>0</v>
      </c>
      <c r="R77" s="80">
        <f t="shared" si="29"/>
        <v>0</v>
      </c>
      <c r="S77" s="179">
        <v>0</v>
      </c>
      <c r="T77" s="80">
        <f t="shared" si="30"/>
        <v>0</v>
      </c>
      <c r="U77" s="179">
        <v>0</v>
      </c>
      <c r="V77" s="80">
        <f t="shared" si="31"/>
        <v>0</v>
      </c>
      <c r="X77" s="200"/>
    </row>
    <row r="78" spans="1:24" ht="12.75" customHeight="1">
      <c r="A78" s="2" t="s">
        <v>409</v>
      </c>
      <c r="B78" s="35"/>
      <c r="C78" s="179">
        <v>26157.999999999996</v>
      </c>
      <c r="D78" s="80">
        <f t="shared" si="22"/>
        <v>2.1999999999999995E-2</v>
      </c>
      <c r="E78" s="179">
        <v>28621.999999999996</v>
      </c>
      <c r="F78" s="80">
        <f t="shared" si="23"/>
        <v>2.1999999999999999E-2</v>
      </c>
      <c r="G78" s="179">
        <v>0</v>
      </c>
      <c r="H78" s="80">
        <f t="shared" si="24"/>
        <v>0</v>
      </c>
      <c r="I78" s="179">
        <v>0</v>
      </c>
      <c r="J78" s="80">
        <f t="shared" si="25"/>
        <v>0</v>
      </c>
      <c r="K78" s="179">
        <v>0</v>
      </c>
      <c r="L78" s="80">
        <f t="shared" si="26"/>
        <v>0</v>
      </c>
      <c r="M78" s="179">
        <v>0</v>
      </c>
      <c r="N78" s="80">
        <f t="shared" si="27"/>
        <v>0</v>
      </c>
      <c r="O78" s="179">
        <v>0</v>
      </c>
      <c r="P78" s="80">
        <f t="shared" si="28"/>
        <v>0</v>
      </c>
      <c r="Q78" s="179">
        <v>0</v>
      </c>
      <c r="R78" s="80">
        <f t="shared" si="29"/>
        <v>0</v>
      </c>
      <c r="S78" s="179">
        <v>0</v>
      </c>
      <c r="T78" s="80">
        <f t="shared" si="30"/>
        <v>0</v>
      </c>
      <c r="U78" s="179">
        <v>0</v>
      </c>
      <c r="V78" s="80">
        <f t="shared" si="31"/>
        <v>0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2"/>
        <v>0</v>
      </c>
      <c r="E79" s="179">
        <v>0</v>
      </c>
      <c r="F79" s="80">
        <f t="shared" si="23"/>
        <v>0</v>
      </c>
      <c r="G79" s="179">
        <v>0</v>
      </c>
      <c r="H79" s="80">
        <f t="shared" si="24"/>
        <v>0</v>
      </c>
      <c r="I79" s="179">
        <v>0</v>
      </c>
      <c r="J79" s="80">
        <f t="shared" si="25"/>
        <v>0</v>
      </c>
      <c r="K79" s="179">
        <v>0</v>
      </c>
      <c r="L79" s="80">
        <f t="shared" si="26"/>
        <v>0</v>
      </c>
      <c r="M79" s="179">
        <v>0</v>
      </c>
      <c r="N79" s="80">
        <f t="shared" si="27"/>
        <v>0</v>
      </c>
      <c r="O79" s="179">
        <v>0</v>
      </c>
      <c r="P79" s="80">
        <f t="shared" si="28"/>
        <v>0</v>
      </c>
      <c r="Q79" s="179">
        <v>0</v>
      </c>
      <c r="R79" s="80">
        <f t="shared" si="29"/>
        <v>0</v>
      </c>
      <c r="S79" s="179">
        <v>0</v>
      </c>
      <c r="T79" s="80">
        <f t="shared" si="30"/>
        <v>0</v>
      </c>
      <c r="U79" s="179">
        <v>0</v>
      </c>
      <c r="V79" s="80">
        <f t="shared" si="31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2"/>
        <v>0</v>
      </c>
      <c r="E80" s="179">
        <v>0</v>
      </c>
      <c r="F80" s="80">
        <f t="shared" si="23"/>
        <v>0</v>
      </c>
      <c r="G80" s="179">
        <v>0</v>
      </c>
      <c r="H80" s="80">
        <f t="shared" si="24"/>
        <v>0</v>
      </c>
      <c r="I80" s="179">
        <v>0</v>
      </c>
      <c r="J80" s="80">
        <f t="shared" si="25"/>
        <v>0</v>
      </c>
      <c r="K80" s="179">
        <v>0</v>
      </c>
      <c r="L80" s="80">
        <f t="shared" si="26"/>
        <v>0</v>
      </c>
      <c r="M80" s="179">
        <v>0</v>
      </c>
      <c r="N80" s="80">
        <f t="shared" si="27"/>
        <v>0</v>
      </c>
      <c r="O80" s="179">
        <v>0</v>
      </c>
      <c r="P80" s="80">
        <f t="shared" si="28"/>
        <v>0</v>
      </c>
      <c r="Q80" s="179">
        <v>0</v>
      </c>
      <c r="R80" s="80">
        <f t="shared" si="29"/>
        <v>0</v>
      </c>
      <c r="S80" s="179">
        <v>0</v>
      </c>
      <c r="T80" s="80">
        <f t="shared" si="30"/>
        <v>0</v>
      </c>
      <c r="U80" s="179">
        <v>0</v>
      </c>
      <c r="V80" s="80">
        <f t="shared" si="31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2"/>
        <v>0</v>
      </c>
      <c r="E81" s="179">
        <v>0</v>
      </c>
      <c r="F81" s="80">
        <f t="shared" si="23"/>
        <v>0</v>
      </c>
      <c r="G81" s="179">
        <v>0</v>
      </c>
      <c r="H81" s="80">
        <f t="shared" si="24"/>
        <v>0</v>
      </c>
      <c r="I81" s="179">
        <v>0</v>
      </c>
      <c r="J81" s="80">
        <f t="shared" si="25"/>
        <v>0</v>
      </c>
      <c r="K81" s="179">
        <v>0</v>
      </c>
      <c r="L81" s="80">
        <f t="shared" si="26"/>
        <v>0</v>
      </c>
      <c r="M81" s="179">
        <v>0</v>
      </c>
      <c r="N81" s="80">
        <f t="shared" si="27"/>
        <v>0</v>
      </c>
      <c r="O81" s="179">
        <v>0</v>
      </c>
      <c r="P81" s="80">
        <f t="shared" si="28"/>
        <v>0</v>
      </c>
      <c r="Q81" s="179">
        <v>0</v>
      </c>
      <c r="R81" s="80">
        <f t="shared" si="29"/>
        <v>0</v>
      </c>
      <c r="S81" s="179">
        <v>0</v>
      </c>
      <c r="T81" s="80">
        <f t="shared" si="30"/>
        <v>0</v>
      </c>
      <c r="U81" s="179">
        <v>0</v>
      </c>
      <c r="V81" s="80">
        <f t="shared" si="31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2"/>
        <v>0</v>
      </c>
      <c r="E82" s="179">
        <v>0</v>
      </c>
      <c r="F82" s="80">
        <f t="shared" si="23"/>
        <v>0</v>
      </c>
      <c r="G82" s="179">
        <v>0</v>
      </c>
      <c r="H82" s="80">
        <f t="shared" si="24"/>
        <v>0</v>
      </c>
      <c r="I82" s="179">
        <v>0</v>
      </c>
      <c r="J82" s="80">
        <f t="shared" si="25"/>
        <v>0</v>
      </c>
      <c r="K82" s="179">
        <v>0</v>
      </c>
      <c r="L82" s="80">
        <f t="shared" si="26"/>
        <v>0</v>
      </c>
      <c r="M82" s="179">
        <v>0</v>
      </c>
      <c r="N82" s="80">
        <f t="shared" si="27"/>
        <v>0</v>
      </c>
      <c r="O82" s="179">
        <v>0</v>
      </c>
      <c r="P82" s="80">
        <f t="shared" si="28"/>
        <v>0</v>
      </c>
      <c r="Q82" s="179">
        <v>0</v>
      </c>
      <c r="R82" s="80">
        <f t="shared" si="29"/>
        <v>0</v>
      </c>
      <c r="S82" s="179">
        <v>0</v>
      </c>
      <c r="T82" s="80">
        <f t="shared" si="30"/>
        <v>0</v>
      </c>
      <c r="U82" s="179">
        <v>0</v>
      </c>
      <c r="V82" s="80">
        <f t="shared" si="31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2"/>
        <v>0</v>
      </c>
      <c r="E83" s="179">
        <v>0</v>
      </c>
      <c r="F83" s="80">
        <f t="shared" si="23"/>
        <v>0</v>
      </c>
      <c r="G83" s="179">
        <v>0</v>
      </c>
      <c r="H83" s="80">
        <f t="shared" si="24"/>
        <v>0</v>
      </c>
      <c r="I83" s="179">
        <v>0</v>
      </c>
      <c r="J83" s="80">
        <f t="shared" si="25"/>
        <v>0</v>
      </c>
      <c r="K83" s="179">
        <v>0</v>
      </c>
      <c r="L83" s="80">
        <f t="shared" si="26"/>
        <v>0</v>
      </c>
      <c r="M83" s="179">
        <v>0</v>
      </c>
      <c r="N83" s="80">
        <f t="shared" si="27"/>
        <v>0</v>
      </c>
      <c r="O83" s="179">
        <v>0</v>
      </c>
      <c r="P83" s="80">
        <f t="shared" si="28"/>
        <v>0</v>
      </c>
      <c r="Q83" s="179">
        <v>0</v>
      </c>
      <c r="R83" s="80">
        <f t="shared" si="29"/>
        <v>0</v>
      </c>
      <c r="S83" s="179">
        <v>0</v>
      </c>
      <c r="T83" s="80">
        <f t="shared" si="30"/>
        <v>0</v>
      </c>
      <c r="U83" s="179">
        <v>0</v>
      </c>
      <c r="V83" s="80">
        <f t="shared" si="31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ref="D84:D105" si="32">IFERROR(C84/C$28,0)</f>
        <v>0</v>
      </c>
      <c r="E84" s="179">
        <v>0</v>
      </c>
      <c r="F84" s="80">
        <f t="shared" si="23"/>
        <v>0</v>
      </c>
      <c r="G84" s="179">
        <v>0</v>
      </c>
      <c r="H84" s="80">
        <f t="shared" si="24"/>
        <v>0</v>
      </c>
      <c r="I84" s="179">
        <v>0</v>
      </c>
      <c r="J84" s="80">
        <f t="shared" si="25"/>
        <v>0</v>
      </c>
      <c r="K84" s="179">
        <v>0</v>
      </c>
      <c r="L84" s="80">
        <f t="shared" si="26"/>
        <v>0</v>
      </c>
      <c r="M84" s="179">
        <v>0</v>
      </c>
      <c r="N84" s="80">
        <f t="shared" si="27"/>
        <v>0</v>
      </c>
      <c r="O84" s="179">
        <v>0</v>
      </c>
      <c r="P84" s="80">
        <f t="shared" si="28"/>
        <v>0</v>
      </c>
      <c r="Q84" s="179">
        <v>0</v>
      </c>
      <c r="R84" s="80">
        <f t="shared" si="29"/>
        <v>0</v>
      </c>
      <c r="S84" s="179">
        <v>0</v>
      </c>
      <c r="T84" s="80">
        <f t="shared" si="30"/>
        <v>0</v>
      </c>
      <c r="U84" s="179">
        <v>0</v>
      </c>
      <c r="V84" s="80">
        <f t="shared" si="31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32"/>
        <v>0</v>
      </c>
      <c r="E85" s="179">
        <v>0</v>
      </c>
      <c r="F85" s="80">
        <f t="shared" si="23"/>
        <v>0</v>
      </c>
      <c r="G85" s="179">
        <v>0</v>
      </c>
      <c r="H85" s="80">
        <f t="shared" si="24"/>
        <v>0</v>
      </c>
      <c r="I85" s="179">
        <v>0</v>
      </c>
      <c r="J85" s="80">
        <f t="shared" si="25"/>
        <v>0</v>
      </c>
      <c r="K85" s="179">
        <v>0</v>
      </c>
      <c r="L85" s="80">
        <f t="shared" si="26"/>
        <v>0</v>
      </c>
      <c r="M85" s="179">
        <v>0</v>
      </c>
      <c r="N85" s="80">
        <f t="shared" si="27"/>
        <v>0</v>
      </c>
      <c r="O85" s="179">
        <v>0</v>
      </c>
      <c r="P85" s="80">
        <f t="shared" si="28"/>
        <v>0</v>
      </c>
      <c r="Q85" s="179">
        <v>0</v>
      </c>
      <c r="R85" s="80">
        <f t="shared" si="29"/>
        <v>0</v>
      </c>
      <c r="S85" s="179">
        <v>0</v>
      </c>
      <c r="T85" s="80">
        <f t="shared" si="30"/>
        <v>0</v>
      </c>
      <c r="U85" s="179">
        <v>0</v>
      </c>
      <c r="V85" s="80">
        <f t="shared" si="31"/>
        <v>0</v>
      </c>
      <c r="X85" s="200"/>
    </row>
    <row r="86" spans="1:24" ht="12.75" customHeight="1">
      <c r="A86" s="2" t="s">
        <v>417</v>
      </c>
      <c r="B86" s="35"/>
      <c r="C86" s="179">
        <v>4756</v>
      </c>
      <c r="D86" s="80">
        <f t="shared" si="32"/>
        <v>4.0000000000000001E-3</v>
      </c>
      <c r="E86" s="179">
        <v>5204</v>
      </c>
      <c r="F86" s="80">
        <f t="shared" si="23"/>
        <v>4.0000000000000001E-3</v>
      </c>
      <c r="G86" s="179">
        <v>0</v>
      </c>
      <c r="H86" s="80">
        <f t="shared" si="24"/>
        <v>0</v>
      </c>
      <c r="I86" s="179">
        <v>0</v>
      </c>
      <c r="J86" s="80">
        <f t="shared" si="25"/>
        <v>0</v>
      </c>
      <c r="K86" s="179">
        <v>0</v>
      </c>
      <c r="L86" s="80">
        <f t="shared" si="26"/>
        <v>0</v>
      </c>
      <c r="M86" s="179">
        <v>0</v>
      </c>
      <c r="N86" s="80">
        <f t="shared" si="27"/>
        <v>0</v>
      </c>
      <c r="O86" s="179">
        <v>0</v>
      </c>
      <c r="P86" s="80">
        <f t="shared" si="28"/>
        <v>0</v>
      </c>
      <c r="Q86" s="179">
        <v>0</v>
      </c>
      <c r="R86" s="80">
        <f t="shared" si="29"/>
        <v>0</v>
      </c>
      <c r="S86" s="179">
        <v>0</v>
      </c>
      <c r="T86" s="80">
        <f t="shared" si="30"/>
        <v>0</v>
      </c>
      <c r="U86" s="179">
        <v>0</v>
      </c>
      <c r="V86" s="80">
        <f t="shared" si="31"/>
        <v>0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32"/>
        <v>0</v>
      </c>
      <c r="E87" s="179">
        <v>0</v>
      </c>
      <c r="F87" s="80">
        <f t="shared" si="23"/>
        <v>0</v>
      </c>
      <c r="G87" s="179">
        <v>0</v>
      </c>
      <c r="H87" s="80">
        <f t="shared" si="24"/>
        <v>0</v>
      </c>
      <c r="I87" s="179">
        <v>0</v>
      </c>
      <c r="J87" s="80">
        <f t="shared" si="25"/>
        <v>0</v>
      </c>
      <c r="K87" s="179">
        <v>0</v>
      </c>
      <c r="L87" s="80">
        <f t="shared" si="26"/>
        <v>0</v>
      </c>
      <c r="M87" s="179">
        <v>0</v>
      </c>
      <c r="N87" s="80">
        <f t="shared" si="27"/>
        <v>0</v>
      </c>
      <c r="O87" s="179">
        <v>0</v>
      </c>
      <c r="P87" s="80">
        <f t="shared" si="28"/>
        <v>0</v>
      </c>
      <c r="Q87" s="179">
        <v>0</v>
      </c>
      <c r="R87" s="80">
        <f t="shared" si="29"/>
        <v>0</v>
      </c>
      <c r="S87" s="179">
        <v>0</v>
      </c>
      <c r="T87" s="80">
        <f t="shared" si="30"/>
        <v>0</v>
      </c>
      <c r="U87" s="179">
        <v>0</v>
      </c>
      <c r="V87" s="80">
        <f t="shared" si="31"/>
        <v>0</v>
      </c>
      <c r="X87" s="200"/>
    </row>
    <row r="88" spans="1:24" ht="12.75" customHeight="1">
      <c r="A88" s="2" t="s">
        <v>419</v>
      </c>
      <c r="B88" s="35"/>
      <c r="C88" s="179">
        <v>6063.9000000000005</v>
      </c>
      <c r="D88" s="80">
        <f t="shared" si="32"/>
        <v>5.1000000000000004E-3</v>
      </c>
      <c r="E88" s="179">
        <v>6635.1</v>
      </c>
      <c r="F88" s="80">
        <f t="shared" si="23"/>
        <v>5.1000000000000004E-3</v>
      </c>
      <c r="G88" s="179">
        <v>0</v>
      </c>
      <c r="H88" s="80">
        <f t="shared" si="24"/>
        <v>0</v>
      </c>
      <c r="I88" s="179">
        <v>0</v>
      </c>
      <c r="J88" s="80">
        <f t="shared" si="25"/>
        <v>0</v>
      </c>
      <c r="K88" s="179">
        <v>0</v>
      </c>
      <c r="L88" s="80">
        <f t="shared" si="26"/>
        <v>0</v>
      </c>
      <c r="M88" s="179">
        <v>0</v>
      </c>
      <c r="N88" s="80">
        <f t="shared" si="27"/>
        <v>0</v>
      </c>
      <c r="O88" s="179">
        <v>0</v>
      </c>
      <c r="P88" s="80">
        <f t="shared" si="28"/>
        <v>0</v>
      </c>
      <c r="Q88" s="179">
        <v>0</v>
      </c>
      <c r="R88" s="80">
        <f t="shared" si="29"/>
        <v>0</v>
      </c>
      <c r="S88" s="179">
        <v>0</v>
      </c>
      <c r="T88" s="80">
        <f t="shared" si="30"/>
        <v>0</v>
      </c>
      <c r="U88" s="179">
        <v>0</v>
      </c>
      <c r="V88" s="80">
        <f t="shared" si="31"/>
        <v>0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32"/>
        <v>0</v>
      </c>
      <c r="E89" s="179">
        <v>0</v>
      </c>
      <c r="F89" s="80">
        <f t="shared" si="23"/>
        <v>0</v>
      </c>
      <c r="G89" s="179">
        <v>0</v>
      </c>
      <c r="H89" s="80">
        <f t="shared" si="24"/>
        <v>0</v>
      </c>
      <c r="I89" s="179">
        <v>0</v>
      </c>
      <c r="J89" s="80">
        <f t="shared" si="25"/>
        <v>0</v>
      </c>
      <c r="K89" s="179">
        <v>0</v>
      </c>
      <c r="L89" s="80">
        <f t="shared" si="26"/>
        <v>0</v>
      </c>
      <c r="M89" s="179">
        <v>0</v>
      </c>
      <c r="N89" s="80">
        <f t="shared" si="27"/>
        <v>0</v>
      </c>
      <c r="O89" s="179">
        <v>0</v>
      </c>
      <c r="P89" s="80">
        <f t="shared" si="28"/>
        <v>0</v>
      </c>
      <c r="Q89" s="179">
        <v>0</v>
      </c>
      <c r="R89" s="80">
        <f t="shared" si="29"/>
        <v>0</v>
      </c>
      <c r="S89" s="179">
        <v>0</v>
      </c>
      <c r="T89" s="80">
        <f t="shared" si="30"/>
        <v>0</v>
      </c>
      <c r="U89" s="179">
        <v>0</v>
      </c>
      <c r="V89" s="80">
        <f t="shared" si="31"/>
        <v>0</v>
      </c>
      <c r="X89" s="200"/>
    </row>
    <row r="90" spans="1:24" ht="12.75" customHeight="1">
      <c r="A90" s="2" t="s">
        <v>421</v>
      </c>
      <c r="B90" s="35"/>
      <c r="C90" s="179">
        <v>237.8</v>
      </c>
      <c r="D90" s="80">
        <f t="shared" si="32"/>
        <v>2.0000000000000001E-4</v>
      </c>
      <c r="E90" s="179">
        <v>260.2</v>
      </c>
      <c r="F90" s="80">
        <f t="shared" si="23"/>
        <v>1.9999999999999998E-4</v>
      </c>
      <c r="G90" s="179">
        <v>0</v>
      </c>
      <c r="H90" s="80">
        <f t="shared" si="24"/>
        <v>0</v>
      </c>
      <c r="I90" s="179">
        <v>0</v>
      </c>
      <c r="J90" s="80">
        <f t="shared" si="25"/>
        <v>0</v>
      </c>
      <c r="K90" s="179">
        <v>0</v>
      </c>
      <c r="L90" s="80">
        <f t="shared" si="26"/>
        <v>0</v>
      </c>
      <c r="M90" s="179">
        <v>0</v>
      </c>
      <c r="N90" s="80">
        <f t="shared" si="27"/>
        <v>0</v>
      </c>
      <c r="O90" s="179">
        <v>0</v>
      </c>
      <c r="P90" s="80">
        <f t="shared" si="28"/>
        <v>0</v>
      </c>
      <c r="Q90" s="179">
        <v>0</v>
      </c>
      <c r="R90" s="80">
        <f t="shared" si="29"/>
        <v>0</v>
      </c>
      <c r="S90" s="179">
        <v>0</v>
      </c>
      <c r="T90" s="80">
        <f t="shared" si="30"/>
        <v>0</v>
      </c>
      <c r="U90" s="179">
        <v>0</v>
      </c>
      <c r="V90" s="80">
        <f t="shared" si="31"/>
        <v>0</v>
      </c>
      <c r="X90" s="200"/>
    </row>
    <row r="91" spans="1:24" ht="12.75" customHeight="1">
      <c r="A91" s="2" t="s">
        <v>422</v>
      </c>
      <c r="C91" s="179">
        <v>0</v>
      </c>
      <c r="D91" s="80">
        <f t="shared" si="32"/>
        <v>0</v>
      </c>
      <c r="E91" s="179">
        <v>0</v>
      </c>
      <c r="F91" s="80">
        <f t="shared" si="23"/>
        <v>0</v>
      </c>
      <c r="G91" s="179">
        <v>0</v>
      </c>
      <c r="H91" s="80">
        <f t="shared" si="24"/>
        <v>0</v>
      </c>
      <c r="I91" s="179">
        <v>0</v>
      </c>
      <c r="J91" s="80">
        <f t="shared" si="25"/>
        <v>0</v>
      </c>
      <c r="K91" s="179">
        <v>0</v>
      </c>
      <c r="L91" s="80">
        <f t="shared" si="26"/>
        <v>0</v>
      </c>
      <c r="M91" s="179">
        <v>0</v>
      </c>
      <c r="N91" s="80">
        <f t="shared" si="27"/>
        <v>0</v>
      </c>
      <c r="O91" s="179">
        <v>0</v>
      </c>
      <c r="P91" s="80">
        <f t="shared" si="28"/>
        <v>0</v>
      </c>
      <c r="Q91" s="179">
        <v>0</v>
      </c>
      <c r="R91" s="80">
        <f t="shared" si="29"/>
        <v>0</v>
      </c>
      <c r="S91" s="179">
        <v>0</v>
      </c>
      <c r="T91" s="80">
        <f t="shared" si="30"/>
        <v>0</v>
      </c>
      <c r="U91" s="179">
        <v>0</v>
      </c>
      <c r="V91" s="80">
        <f t="shared" si="31"/>
        <v>0</v>
      </c>
      <c r="X91" s="200"/>
    </row>
    <row r="92" spans="1:24" ht="12.75" customHeight="1">
      <c r="A92" s="2" t="s">
        <v>423</v>
      </c>
      <c r="B92" s="35"/>
      <c r="C92" s="179">
        <v>6182.7999999999993</v>
      </c>
      <c r="D92" s="80">
        <f t="shared" si="32"/>
        <v>5.1999999999999998E-3</v>
      </c>
      <c r="E92" s="179">
        <v>6765.1999999999989</v>
      </c>
      <c r="F92" s="80">
        <f t="shared" si="23"/>
        <v>5.1999999999999989E-3</v>
      </c>
      <c r="G92" s="179">
        <v>0</v>
      </c>
      <c r="H92" s="80">
        <f t="shared" si="24"/>
        <v>0</v>
      </c>
      <c r="I92" s="179">
        <v>0</v>
      </c>
      <c r="J92" s="80">
        <f t="shared" si="25"/>
        <v>0</v>
      </c>
      <c r="K92" s="179">
        <v>0</v>
      </c>
      <c r="L92" s="80">
        <f t="shared" si="26"/>
        <v>0</v>
      </c>
      <c r="M92" s="179">
        <v>0</v>
      </c>
      <c r="N92" s="80">
        <f t="shared" si="27"/>
        <v>0</v>
      </c>
      <c r="O92" s="179">
        <v>0</v>
      </c>
      <c r="P92" s="80">
        <f t="shared" si="28"/>
        <v>0</v>
      </c>
      <c r="Q92" s="179">
        <v>0</v>
      </c>
      <c r="R92" s="80">
        <f t="shared" si="29"/>
        <v>0</v>
      </c>
      <c r="S92" s="179">
        <v>0</v>
      </c>
      <c r="T92" s="80">
        <f t="shared" si="30"/>
        <v>0</v>
      </c>
      <c r="U92" s="179">
        <v>0</v>
      </c>
      <c r="V92" s="80">
        <f t="shared" si="31"/>
        <v>0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32"/>
        <v>0</v>
      </c>
      <c r="E93" s="179">
        <v>0</v>
      </c>
      <c r="F93" s="80">
        <f t="shared" si="23"/>
        <v>0</v>
      </c>
      <c r="G93" s="179">
        <v>0</v>
      </c>
      <c r="H93" s="80">
        <f t="shared" si="24"/>
        <v>0</v>
      </c>
      <c r="I93" s="179">
        <v>0</v>
      </c>
      <c r="J93" s="80">
        <f t="shared" si="25"/>
        <v>0</v>
      </c>
      <c r="K93" s="179">
        <v>0</v>
      </c>
      <c r="L93" s="80">
        <f t="shared" si="26"/>
        <v>0</v>
      </c>
      <c r="M93" s="179">
        <v>0</v>
      </c>
      <c r="N93" s="80">
        <f t="shared" si="27"/>
        <v>0</v>
      </c>
      <c r="O93" s="179">
        <v>0</v>
      </c>
      <c r="P93" s="80">
        <f t="shared" si="28"/>
        <v>0</v>
      </c>
      <c r="Q93" s="179">
        <v>0</v>
      </c>
      <c r="R93" s="80">
        <f t="shared" si="29"/>
        <v>0</v>
      </c>
      <c r="S93" s="179">
        <v>0</v>
      </c>
      <c r="T93" s="80">
        <f t="shared" si="30"/>
        <v>0</v>
      </c>
      <c r="U93" s="179">
        <v>0</v>
      </c>
      <c r="V93" s="80">
        <f t="shared" si="31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32"/>
        <v>0</v>
      </c>
      <c r="E94" s="179">
        <v>0</v>
      </c>
      <c r="F94" s="80">
        <f t="shared" si="23"/>
        <v>0</v>
      </c>
      <c r="G94" s="179">
        <v>0</v>
      </c>
      <c r="H94" s="80">
        <f t="shared" si="24"/>
        <v>0</v>
      </c>
      <c r="I94" s="179">
        <v>0</v>
      </c>
      <c r="J94" s="80">
        <f t="shared" si="25"/>
        <v>0</v>
      </c>
      <c r="K94" s="179">
        <v>0</v>
      </c>
      <c r="L94" s="80">
        <f t="shared" si="26"/>
        <v>0</v>
      </c>
      <c r="M94" s="179">
        <v>0</v>
      </c>
      <c r="N94" s="80">
        <f t="shared" si="27"/>
        <v>0</v>
      </c>
      <c r="O94" s="179">
        <v>0</v>
      </c>
      <c r="P94" s="80">
        <f t="shared" si="28"/>
        <v>0</v>
      </c>
      <c r="Q94" s="179">
        <v>0</v>
      </c>
      <c r="R94" s="80">
        <f t="shared" si="29"/>
        <v>0</v>
      </c>
      <c r="S94" s="179">
        <v>0</v>
      </c>
      <c r="T94" s="80">
        <f t="shared" si="30"/>
        <v>0</v>
      </c>
      <c r="U94" s="179">
        <v>0</v>
      </c>
      <c r="V94" s="80">
        <f t="shared" si="31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32"/>
        <v>0</v>
      </c>
      <c r="E95" s="179">
        <v>0</v>
      </c>
      <c r="F95" s="80">
        <f t="shared" si="23"/>
        <v>0</v>
      </c>
      <c r="G95" s="179">
        <v>0</v>
      </c>
      <c r="H95" s="80">
        <f t="shared" si="24"/>
        <v>0</v>
      </c>
      <c r="I95" s="179">
        <v>0</v>
      </c>
      <c r="J95" s="80">
        <f t="shared" si="25"/>
        <v>0</v>
      </c>
      <c r="K95" s="179">
        <v>0</v>
      </c>
      <c r="L95" s="80">
        <f t="shared" si="26"/>
        <v>0</v>
      </c>
      <c r="M95" s="179">
        <v>0</v>
      </c>
      <c r="N95" s="80">
        <f t="shared" si="27"/>
        <v>0</v>
      </c>
      <c r="O95" s="179">
        <v>0</v>
      </c>
      <c r="P95" s="80">
        <f t="shared" si="28"/>
        <v>0</v>
      </c>
      <c r="Q95" s="179">
        <v>0</v>
      </c>
      <c r="R95" s="80">
        <f t="shared" si="29"/>
        <v>0</v>
      </c>
      <c r="S95" s="179">
        <v>0</v>
      </c>
      <c r="T95" s="80">
        <f t="shared" si="30"/>
        <v>0</v>
      </c>
      <c r="U95" s="179">
        <v>0</v>
      </c>
      <c r="V95" s="80">
        <f t="shared" si="31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32"/>
        <v>0</v>
      </c>
      <c r="E96" s="179">
        <v>0</v>
      </c>
      <c r="F96" s="80">
        <f t="shared" si="23"/>
        <v>0</v>
      </c>
      <c r="G96" s="179">
        <v>0</v>
      </c>
      <c r="H96" s="80">
        <f t="shared" si="24"/>
        <v>0</v>
      </c>
      <c r="I96" s="179">
        <v>0</v>
      </c>
      <c r="J96" s="80">
        <f t="shared" si="25"/>
        <v>0</v>
      </c>
      <c r="K96" s="179">
        <v>0</v>
      </c>
      <c r="L96" s="80">
        <f t="shared" si="26"/>
        <v>0</v>
      </c>
      <c r="M96" s="179">
        <v>0</v>
      </c>
      <c r="N96" s="80">
        <f t="shared" si="27"/>
        <v>0</v>
      </c>
      <c r="O96" s="179">
        <v>0</v>
      </c>
      <c r="P96" s="80">
        <f t="shared" si="28"/>
        <v>0</v>
      </c>
      <c r="Q96" s="179">
        <v>0</v>
      </c>
      <c r="R96" s="80">
        <f t="shared" si="29"/>
        <v>0</v>
      </c>
      <c r="S96" s="179">
        <v>0</v>
      </c>
      <c r="T96" s="80">
        <f t="shared" si="30"/>
        <v>0</v>
      </c>
      <c r="U96" s="179">
        <v>0</v>
      </c>
      <c r="V96" s="80">
        <f t="shared" si="31"/>
        <v>0</v>
      </c>
      <c r="X96" s="200"/>
    </row>
    <row r="97" spans="1:24" ht="12.75" customHeight="1">
      <c r="A97" s="2" t="s">
        <v>428</v>
      </c>
      <c r="B97" s="35"/>
      <c r="C97" s="179">
        <v>6404.451</v>
      </c>
      <c r="D97" s="80">
        <f t="shared" si="32"/>
        <v>5.3864179983179146E-3</v>
      </c>
      <c r="E97" s="179">
        <v>7121.7495120000012</v>
      </c>
      <c r="F97" s="80">
        <f t="shared" si="23"/>
        <v>5.4740580415065347E-3</v>
      </c>
      <c r="G97" s="179">
        <v>0</v>
      </c>
      <c r="H97" s="80">
        <f t="shared" si="24"/>
        <v>0</v>
      </c>
      <c r="I97" s="179">
        <v>0</v>
      </c>
      <c r="J97" s="80">
        <f t="shared" si="25"/>
        <v>0</v>
      </c>
      <c r="K97" s="179">
        <v>0</v>
      </c>
      <c r="L97" s="80">
        <f t="shared" si="26"/>
        <v>0</v>
      </c>
      <c r="M97" s="179">
        <v>0</v>
      </c>
      <c r="N97" s="80">
        <f t="shared" si="27"/>
        <v>0</v>
      </c>
      <c r="O97" s="179">
        <v>0</v>
      </c>
      <c r="P97" s="80">
        <f t="shared" si="28"/>
        <v>0</v>
      </c>
      <c r="Q97" s="179">
        <v>0</v>
      </c>
      <c r="R97" s="80">
        <f t="shared" si="29"/>
        <v>0</v>
      </c>
      <c r="S97" s="179">
        <v>0</v>
      </c>
      <c r="T97" s="80">
        <f t="shared" si="30"/>
        <v>0</v>
      </c>
      <c r="U97" s="179">
        <v>0</v>
      </c>
      <c r="V97" s="80">
        <f t="shared" si="31"/>
        <v>0</v>
      </c>
      <c r="X97" s="200"/>
    </row>
    <row r="98" spans="1:24" ht="12.75" customHeight="1">
      <c r="A98" s="117" t="s">
        <v>431</v>
      </c>
      <c r="B98" s="35"/>
      <c r="C98" s="179">
        <v>1426.7999999999997</v>
      </c>
      <c r="D98" s="80">
        <f t="shared" si="32"/>
        <v>1.1999999999999997E-3</v>
      </c>
      <c r="E98" s="179">
        <v>1561.1999999999998</v>
      </c>
      <c r="F98" s="80">
        <f t="shared" si="23"/>
        <v>1.1999999999999999E-3</v>
      </c>
      <c r="G98" s="179">
        <v>0</v>
      </c>
      <c r="H98" s="80">
        <f t="shared" si="24"/>
        <v>0</v>
      </c>
      <c r="I98" s="179">
        <v>0</v>
      </c>
      <c r="J98" s="80">
        <f t="shared" si="25"/>
        <v>0</v>
      </c>
      <c r="K98" s="179">
        <v>0</v>
      </c>
      <c r="L98" s="80">
        <f t="shared" si="26"/>
        <v>0</v>
      </c>
      <c r="M98" s="179">
        <v>0</v>
      </c>
      <c r="N98" s="80">
        <f t="shared" si="27"/>
        <v>0</v>
      </c>
      <c r="O98" s="179">
        <v>0</v>
      </c>
      <c r="P98" s="80">
        <f t="shared" si="28"/>
        <v>0</v>
      </c>
      <c r="Q98" s="179">
        <v>0</v>
      </c>
      <c r="R98" s="80">
        <f t="shared" si="29"/>
        <v>0</v>
      </c>
      <c r="S98" s="179">
        <v>0</v>
      </c>
      <c r="T98" s="80">
        <f t="shared" si="30"/>
        <v>0</v>
      </c>
      <c r="U98" s="179">
        <v>0</v>
      </c>
      <c r="V98" s="80">
        <f t="shared" si="31"/>
        <v>0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32"/>
        <v>0</v>
      </c>
      <c r="E99" s="179">
        <v>0</v>
      </c>
      <c r="F99" s="80">
        <f t="shared" si="23"/>
        <v>0</v>
      </c>
      <c r="G99" s="179">
        <v>0</v>
      </c>
      <c r="H99" s="80">
        <f t="shared" si="24"/>
        <v>0</v>
      </c>
      <c r="I99" s="179">
        <v>0</v>
      </c>
      <c r="J99" s="80">
        <f t="shared" si="25"/>
        <v>0</v>
      </c>
      <c r="K99" s="179">
        <v>0</v>
      </c>
      <c r="L99" s="80">
        <f t="shared" si="26"/>
        <v>0</v>
      </c>
      <c r="M99" s="179">
        <v>0</v>
      </c>
      <c r="N99" s="80">
        <f t="shared" si="27"/>
        <v>0</v>
      </c>
      <c r="O99" s="179">
        <v>0</v>
      </c>
      <c r="P99" s="80">
        <f t="shared" si="28"/>
        <v>0</v>
      </c>
      <c r="Q99" s="179">
        <v>0</v>
      </c>
      <c r="R99" s="80">
        <f t="shared" si="29"/>
        <v>0</v>
      </c>
      <c r="S99" s="179">
        <v>0</v>
      </c>
      <c r="T99" s="80">
        <f t="shared" si="30"/>
        <v>0</v>
      </c>
      <c r="U99" s="179">
        <v>0</v>
      </c>
      <c r="V99" s="80">
        <f t="shared" si="31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32"/>
        <v>0</v>
      </c>
      <c r="E100" s="179">
        <v>0</v>
      </c>
      <c r="F100" s="80">
        <f t="shared" si="23"/>
        <v>0</v>
      </c>
      <c r="G100" s="179">
        <v>0</v>
      </c>
      <c r="H100" s="80">
        <f t="shared" si="24"/>
        <v>0</v>
      </c>
      <c r="I100" s="179">
        <v>0</v>
      </c>
      <c r="J100" s="80">
        <f t="shared" si="25"/>
        <v>0</v>
      </c>
      <c r="K100" s="179">
        <v>0</v>
      </c>
      <c r="L100" s="80">
        <f t="shared" si="26"/>
        <v>0</v>
      </c>
      <c r="M100" s="179">
        <v>0</v>
      </c>
      <c r="N100" s="80">
        <f t="shared" si="27"/>
        <v>0</v>
      </c>
      <c r="O100" s="179">
        <v>0</v>
      </c>
      <c r="P100" s="80">
        <f t="shared" si="28"/>
        <v>0</v>
      </c>
      <c r="Q100" s="179">
        <v>0</v>
      </c>
      <c r="R100" s="80">
        <f t="shared" si="29"/>
        <v>0</v>
      </c>
      <c r="S100" s="179">
        <v>0</v>
      </c>
      <c r="T100" s="80">
        <f t="shared" si="30"/>
        <v>0</v>
      </c>
      <c r="U100" s="179">
        <v>0</v>
      </c>
      <c r="V100" s="80">
        <f t="shared" si="31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32"/>
        <v>0</v>
      </c>
      <c r="E101" s="179"/>
      <c r="F101" s="80">
        <f t="shared" si="23"/>
        <v>0</v>
      </c>
      <c r="G101" s="179"/>
      <c r="H101" s="80">
        <f t="shared" si="24"/>
        <v>0</v>
      </c>
      <c r="I101" s="179">
        <v>0</v>
      </c>
      <c r="J101" s="80">
        <f t="shared" si="25"/>
        <v>0</v>
      </c>
      <c r="K101" s="179">
        <v>0</v>
      </c>
      <c r="L101" s="80">
        <f t="shared" si="26"/>
        <v>0</v>
      </c>
      <c r="M101" s="179">
        <v>0</v>
      </c>
      <c r="N101" s="80">
        <f t="shared" si="27"/>
        <v>0</v>
      </c>
      <c r="O101" s="179">
        <v>0</v>
      </c>
      <c r="P101" s="80">
        <f t="shared" si="28"/>
        <v>0</v>
      </c>
      <c r="Q101" s="179">
        <v>0</v>
      </c>
      <c r="R101" s="80">
        <f t="shared" si="29"/>
        <v>0</v>
      </c>
      <c r="S101" s="179">
        <v>0</v>
      </c>
      <c r="T101" s="80">
        <f t="shared" si="30"/>
        <v>0</v>
      </c>
      <c r="U101" s="179">
        <v>0</v>
      </c>
      <c r="V101" s="80">
        <f t="shared" si="31"/>
        <v>0</v>
      </c>
      <c r="X101" s="200"/>
    </row>
    <row r="102" spans="1:24" ht="12.75" customHeight="1">
      <c r="A102" s="117" t="s">
        <v>433</v>
      </c>
      <c r="B102" s="35"/>
      <c r="C102" s="179">
        <v>11890</v>
      </c>
      <c r="D102" s="80">
        <f t="shared" si="32"/>
        <v>0.01</v>
      </c>
      <c r="E102" s="179">
        <v>13010</v>
      </c>
      <c r="F102" s="80">
        <f t="shared" si="23"/>
        <v>0.01</v>
      </c>
      <c r="G102" s="179">
        <v>0</v>
      </c>
      <c r="H102" s="80">
        <f t="shared" si="24"/>
        <v>0</v>
      </c>
      <c r="I102" s="179">
        <v>0</v>
      </c>
      <c r="J102" s="80">
        <f t="shared" si="25"/>
        <v>0</v>
      </c>
      <c r="K102" s="179">
        <v>0</v>
      </c>
      <c r="L102" s="80">
        <f t="shared" si="26"/>
        <v>0</v>
      </c>
      <c r="M102" s="179">
        <v>0</v>
      </c>
      <c r="N102" s="80">
        <f t="shared" si="27"/>
        <v>0</v>
      </c>
      <c r="O102" s="179">
        <v>0</v>
      </c>
      <c r="P102" s="80">
        <f t="shared" si="28"/>
        <v>0</v>
      </c>
      <c r="Q102" s="179">
        <v>0</v>
      </c>
      <c r="R102" s="80">
        <f t="shared" si="29"/>
        <v>0</v>
      </c>
      <c r="S102" s="179">
        <v>0</v>
      </c>
      <c r="T102" s="80">
        <f t="shared" si="30"/>
        <v>0</v>
      </c>
      <c r="U102" s="179">
        <v>0</v>
      </c>
      <c r="V102" s="80">
        <f t="shared" si="31"/>
        <v>0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32"/>
        <v>0</v>
      </c>
      <c r="E103" s="179">
        <v>0</v>
      </c>
      <c r="F103" s="80">
        <f t="shared" si="23"/>
        <v>0</v>
      </c>
      <c r="G103" s="179">
        <v>0</v>
      </c>
      <c r="H103" s="80">
        <f t="shared" si="24"/>
        <v>0</v>
      </c>
      <c r="I103" s="179">
        <v>0</v>
      </c>
      <c r="J103" s="80">
        <f t="shared" si="25"/>
        <v>0</v>
      </c>
      <c r="K103" s="179">
        <v>0</v>
      </c>
      <c r="L103" s="80">
        <f t="shared" si="26"/>
        <v>0</v>
      </c>
      <c r="M103" s="179">
        <v>0</v>
      </c>
      <c r="N103" s="80">
        <f t="shared" si="27"/>
        <v>0</v>
      </c>
      <c r="O103" s="179">
        <v>0</v>
      </c>
      <c r="P103" s="80">
        <f t="shared" si="28"/>
        <v>0</v>
      </c>
      <c r="Q103" s="179">
        <v>0</v>
      </c>
      <c r="R103" s="80">
        <f t="shared" si="29"/>
        <v>0</v>
      </c>
      <c r="S103" s="179">
        <v>0</v>
      </c>
      <c r="T103" s="80">
        <f t="shared" si="30"/>
        <v>0</v>
      </c>
      <c r="U103" s="179">
        <v>0</v>
      </c>
      <c r="V103" s="80">
        <f t="shared" si="31"/>
        <v>0</v>
      </c>
      <c r="X103" s="200"/>
    </row>
    <row r="104" spans="1:24" ht="12.75" customHeight="1">
      <c r="A104" s="117" t="s">
        <v>433</v>
      </c>
      <c r="B104" s="35"/>
      <c r="C104" s="179">
        <v>0</v>
      </c>
      <c r="D104" s="80">
        <f t="shared" si="32"/>
        <v>0</v>
      </c>
      <c r="E104" s="179">
        <v>0</v>
      </c>
      <c r="F104" s="80">
        <f t="shared" si="23"/>
        <v>0</v>
      </c>
      <c r="G104" s="179">
        <v>0</v>
      </c>
      <c r="H104" s="80">
        <f t="shared" si="24"/>
        <v>0</v>
      </c>
      <c r="I104" s="179">
        <v>0</v>
      </c>
      <c r="J104" s="80">
        <f t="shared" si="25"/>
        <v>0</v>
      </c>
      <c r="K104" s="179">
        <v>0</v>
      </c>
      <c r="L104" s="80">
        <f t="shared" si="26"/>
        <v>0</v>
      </c>
      <c r="M104" s="179">
        <v>0</v>
      </c>
      <c r="N104" s="80">
        <f t="shared" si="27"/>
        <v>0</v>
      </c>
      <c r="O104" s="179">
        <v>0</v>
      </c>
      <c r="P104" s="80">
        <f t="shared" si="28"/>
        <v>0</v>
      </c>
      <c r="Q104" s="179">
        <v>0</v>
      </c>
      <c r="R104" s="80">
        <f t="shared" si="29"/>
        <v>0</v>
      </c>
      <c r="S104" s="179">
        <v>0</v>
      </c>
      <c r="T104" s="80">
        <f t="shared" si="30"/>
        <v>0</v>
      </c>
      <c r="U104" s="179">
        <v>0</v>
      </c>
      <c r="V104" s="80">
        <f t="shared" si="31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118446.81686796449</v>
      </c>
      <c r="D105" s="83">
        <f t="shared" si="32"/>
        <v>9.9618853547489061E-2</v>
      </c>
      <c r="E105" s="82">
        <f>SUM(E52:E104)</f>
        <v>121957.53342243104</v>
      </c>
      <c r="F105" s="83">
        <f t="shared" si="23"/>
        <v>9.3741378495335148E-2</v>
      </c>
      <c r="G105" s="82">
        <f>SUM(G52:G104)</f>
        <v>0</v>
      </c>
      <c r="H105" s="83">
        <f t="shared" si="24"/>
        <v>0</v>
      </c>
      <c r="I105" s="82">
        <f>SUM(I52:I104)</f>
        <v>0</v>
      </c>
      <c r="J105" s="83">
        <f t="shared" si="25"/>
        <v>0</v>
      </c>
      <c r="K105" s="82">
        <f>SUM(K52:K104)</f>
        <v>0</v>
      </c>
      <c r="L105" s="83">
        <f t="shared" si="26"/>
        <v>0</v>
      </c>
      <c r="M105" s="82">
        <f>SUM(M52:M104)</f>
        <v>0</v>
      </c>
      <c r="N105" s="83">
        <f t="shared" si="27"/>
        <v>0</v>
      </c>
      <c r="O105" s="82">
        <f>SUM(O52:O104)</f>
        <v>0</v>
      </c>
      <c r="P105" s="83">
        <f t="shared" si="28"/>
        <v>0</v>
      </c>
      <c r="Q105" s="82">
        <f>SUM(Q52:Q104)</f>
        <v>0</v>
      </c>
      <c r="R105" s="83">
        <f t="shared" si="29"/>
        <v>0</v>
      </c>
      <c r="S105" s="82">
        <f>SUM(S52:S104)</f>
        <v>0</v>
      </c>
      <c r="T105" s="83">
        <f t="shared" si="30"/>
        <v>0</v>
      </c>
      <c r="U105" s="82">
        <f>SUM(U52:U104)</f>
        <v>0</v>
      </c>
      <c r="V105" s="83">
        <f t="shared" si="31"/>
        <v>0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606291.81113203557</v>
      </c>
      <c r="D107" s="83">
        <f>IFERROR(C107/C$28,0)</f>
        <v>0.50991741895040843</v>
      </c>
      <c r="E107" s="82">
        <f>E28-E33-E46-E105</f>
        <v>668118.15691356896</v>
      </c>
      <c r="F107" s="83">
        <f>IFERROR(E107/E$28,0)</f>
        <v>0.51354201146315837</v>
      </c>
      <c r="G107" s="82">
        <f>G28-G33-G46-G105</f>
        <v>0</v>
      </c>
      <c r="H107" s="83">
        <f>IFERROR(G107/G$28,0)</f>
        <v>0</v>
      </c>
      <c r="I107" s="82">
        <f>I28-I33-I46-I105</f>
        <v>0</v>
      </c>
      <c r="J107" s="83">
        <f>IFERROR(I107/I$28,0)</f>
        <v>0</v>
      </c>
      <c r="K107" s="82">
        <f>K28-K33-K46-K105</f>
        <v>0</v>
      </c>
      <c r="L107" s="83">
        <f>IFERROR(K107/K$28,0)</f>
        <v>0</v>
      </c>
      <c r="M107" s="82">
        <f>M28-M33-M46-M105</f>
        <v>0</v>
      </c>
      <c r="N107" s="83">
        <f>IFERROR(M107/M$28,0)</f>
        <v>0</v>
      </c>
      <c r="O107" s="82">
        <f>O28-O33-O46-O105</f>
        <v>0</v>
      </c>
      <c r="P107" s="83">
        <f>IFERROR(O107/O$28,0)</f>
        <v>0</v>
      </c>
      <c r="Q107" s="82">
        <f>Q28-Q33-Q46-Q105</f>
        <v>0</v>
      </c>
      <c r="R107" s="83">
        <f>IFERROR(Q107/Q$28,0)</f>
        <v>0</v>
      </c>
      <c r="S107" s="82">
        <f>S28-S33-S46-S105</f>
        <v>0</v>
      </c>
      <c r="T107" s="83">
        <f>IFERROR(S107/S$28,0)</f>
        <v>0</v>
      </c>
      <c r="U107" s="82">
        <f>U28-U33-U46-U105</f>
        <v>0</v>
      </c>
      <c r="V107" s="83">
        <f>IFERROR(U107/U$28,0)</f>
        <v>0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33">IFERROR(C111/C$28,0)</f>
        <v>0</v>
      </c>
      <c r="E111" s="79">
        <f>E59</f>
        <v>0</v>
      </c>
      <c r="F111" s="80">
        <f t="shared" ref="F111:F116" si="34">IFERROR(E111/E$28,0)</f>
        <v>0</v>
      </c>
      <c r="G111" s="79">
        <f>G59</f>
        <v>0</v>
      </c>
      <c r="H111" s="80">
        <f t="shared" ref="H111:H116" si="35">IFERROR(G111/G$28,0)</f>
        <v>0</v>
      </c>
      <c r="I111" s="79">
        <f>I59</f>
        <v>0</v>
      </c>
      <c r="J111" s="80">
        <f t="shared" ref="J111:J116" si="36">IFERROR(I111/I$28,0)</f>
        <v>0</v>
      </c>
      <c r="K111" s="79">
        <f>K59</f>
        <v>0</v>
      </c>
      <c r="L111" s="80">
        <f t="shared" ref="L111:L116" si="37">IFERROR(K111/K$28,0)</f>
        <v>0</v>
      </c>
      <c r="M111" s="79">
        <f>M59</f>
        <v>0</v>
      </c>
      <c r="N111" s="80">
        <f t="shared" ref="N111:N116" si="38">IFERROR(M111/M$28,0)</f>
        <v>0</v>
      </c>
      <c r="O111" s="79">
        <f>O59</f>
        <v>0</v>
      </c>
      <c r="P111" s="80">
        <f t="shared" ref="P111:P116" si="39">IFERROR(O111/O$28,0)</f>
        <v>0</v>
      </c>
      <c r="Q111" s="79">
        <f>Q59</f>
        <v>0</v>
      </c>
      <c r="R111" s="80">
        <f t="shared" ref="R111:R116" si="40">IFERROR(Q111/Q$28,0)</f>
        <v>0</v>
      </c>
      <c r="S111" s="79">
        <f>S59</f>
        <v>0</v>
      </c>
      <c r="T111" s="80">
        <f t="shared" ref="T111:T116" si="41">IFERROR(S111/S$28,0)</f>
        <v>0</v>
      </c>
      <c r="U111" s="79">
        <f>U59</f>
        <v>0</v>
      </c>
      <c r="V111" s="80">
        <f t="shared" ref="V111:V116" si="42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33"/>
        <v>0</v>
      </c>
      <c r="E112" s="79">
        <f>E62</f>
        <v>0</v>
      </c>
      <c r="F112" s="80">
        <f t="shared" si="34"/>
        <v>0</v>
      </c>
      <c r="G112" s="79">
        <f>G62</f>
        <v>0</v>
      </c>
      <c r="H112" s="80">
        <f t="shared" si="35"/>
        <v>0</v>
      </c>
      <c r="I112" s="79">
        <f>I62</f>
        <v>0</v>
      </c>
      <c r="J112" s="80">
        <f t="shared" si="36"/>
        <v>0</v>
      </c>
      <c r="K112" s="79">
        <f>K62</f>
        <v>0</v>
      </c>
      <c r="L112" s="80">
        <f t="shared" si="37"/>
        <v>0</v>
      </c>
      <c r="M112" s="79">
        <f>M62</f>
        <v>0</v>
      </c>
      <c r="N112" s="80">
        <f t="shared" si="38"/>
        <v>0</v>
      </c>
      <c r="O112" s="79">
        <f>O62</f>
        <v>0</v>
      </c>
      <c r="P112" s="80">
        <f t="shared" si="39"/>
        <v>0</v>
      </c>
      <c r="Q112" s="79">
        <f>Q62</f>
        <v>0</v>
      </c>
      <c r="R112" s="80">
        <f t="shared" si="40"/>
        <v>0</v>
      </c>
      <c r="S112" s="79">
        <f>S62</f>
        <v>0</v>
      </c>
      <c r="T112" s="80">
        <f t="shared" si="41"/>
        <v>0</v>
      </c>
      <c r="U112" s="79">
        <f>U62</f>
        <v>0</v>
      </c>
      <c r="V112" s="80">
        <f t="shared" si="42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33"/>
        <v>0</v>
      </c>
      <c r="E113" s="111">
        <v>0</v>
      </c>
      <c r="F113" s="80">
        <f t="shared" si="34"/>
        <v>0</v>
      </c>
      <c r="G113" s="111">
        <v>0</v>
      </c>
      <c r="H113" s="80">
        <f t="shared" si="35"/>
        <v>0</v>
      </c>
      <c r="I113" s="111">
        <v>0</v>
      </c>
      <c r="J113" s="80">
        <f t="shared" si="36"/>
        <v>0</v>
      </c>
      <c r="K113" s="111">
        <v>0</v>
      </c>
      <c r="L113" s="80">
        <f t="shared" si="37"/>
        <v>0</v>
      </c>
      <c r="M113" s="111">
        <v>0</v>
      </c>
      <c r="N113" s="80">
        <f t="shared" si="38"/>
        <v>0</v>
      </c>
      <c r="O113" s="111">
        <v>0</v>
      </c>
      <c r="P113" s="80">
        <f t="shared" si="39"/>
        <v>0</v>
      </c>
      <c r="Q113" s="111">
        <v>0</v>
      </c>
      <c r="R113" s="80">
        <f t="shared" si="40"/>
        <v>0</v>
      </c>
      <c r="S113" s="111">
        <v>0</v>
      </c>
      <c r="T113" s="80">
        <f t="shared" si="41"/>
        <v>0</v>
      </c>
      <c r="U113" s="111">
        <v>0</v>
      </c>
      <c r="V113" s="80">
        <f t="shared" si="42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33"/>
        <v>0</v>
      </c>
      <c r="E114" s="111">
        <v>0</v>
      </c>
      <c r="F114" s="80">
        <f t="shared" si="34"/>
        <v>0</v>
      </c>
      <c r="G114" s="111">
        <v>0</v>
      </c>
      <c r="H114" s="80">
        <f t="shared" si="35"/>
        <v>0</v>
      </c>
      <c r="I114" s="111">
        <v>0</v>
      </c>
      <c r="J114" s="80">
        <f t="shared" si="36"/>
        <v>0</v>
      </c>
      <c r="K114" s="111">
        <v>0</v>
      </c>
      <c r="L114" s="80">
        <f t="shared" si="37"/>
        <v>0</v>
      </c>
      <c r="M114" s="111">
        <v>0</v>
      </c>
      <c r="N114" s="80">
        <f t="shared" si="38"/>
        <v>0</v>
      </c>
      <c r="O114" s="111">
        <v>0</v>
      </c>
      <c r="P114" s="80">
        <f t="shared" si="39"/>
        <v>0</v>
      </c>
      <c r="Q114" s="111">
        <v>0</v>
      </c>
      <c r="R114" s="80">
        <f t="shared" si="40"/>
        <v>0</v>
      </c>
      <c r="S114" s="111">
        <v>0</v>
      </c>
      <c r="T114" s="80">
        <f t="shared" si="41"/>
        <v>0</v>
      </c>
      <c r="U114" s="111">
        <v>0</v>
      </c>
      <c r="V114" s="80">
        <f t="shared" si="42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33"/>
        <v>0</v>
      </c>
      <c r="E115" s="112">
        <v>0</v>
      </c>
      <c r="F115" s="80">
        <f t="shared" si="34"/>
        <v>0</v>
      </c>
      <c r="G115" s="112">
        <v>0</v>
      </c>
      <c r="H115" s="80">
        <f t="shared" si="35"/>
        <v>0</v>
      </c>
      <c r="I115" s="112">
        <v>0</v>
      </c>
      <c r="J115" s="80">
        <f t="shared" si="36"/>
        <v>0</v>
      </c>
      <c r="K115" s="112">
        <v>0</v>
      </c>
      <c r="L115" s="80">
        <f t="shared" si="37"/>
        <v>0</v>
      </c>
      <c r="M115" s="112">
        <v>0</v>
      </c>
      <c r="N115" s="80">
        <f t="shared" si="38"/>
        <v>0</v>
      </c>
      <c r="O115" s="112">
        <v>0</v>
      </c>
      <c r="P115" s="80">
        <f t="shared" si="39"/>
        <v>0</v>
      </c>
      <c r="Q115" s="112">
        <v>0</v>
      </c>
      <c r="R115" s="80">
        <f t="shared" si="40"/>
        <v>0</v>
      </c>
      <c r="S115" s="112">
        <v>0</v>
      </c>
      <c r="T115" s="80">
        <f t="shared" si="41"/>
        <v>0</v>
      </c>
      <c r="U115" s="112">
        <v>0</v>
      </c>
      <c r="V115" s="80">
        <f t="shared" si="42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33"/>
        <v>0</v>
      </c>
      <c r="E116" s="85">
        <f>SUM(E111:E115)</f>
        <v>0</v>
      </c>
      <c r="F116" s="83">
        <f t="shared" si="34"/>
        <v>0</v>
      </c>
      <c r="G116" s="85">
        <f>SUM(G111:G115)</f>
        <v>0</v>
      </c>
      <c r="H116" s="83">
        <f t="shared" si="35"/>
        <v>0</v>
      </c>
      <c r="I116" s="85">
        <f>SUM(I111:I115)</f>
        <v>0</v>
      </c>
      <c r="J116" s="83">
        <f t="shared" si="36"/>
        <v>0</v>
      </c>
      <c r="K116" s="85">
        <f>SUM(K111:K115)</f>
        <v>0</v>
      </c>
      <c r="L116" s="83">
        <f t="shared" si="37"/>
        <v>0</v>
      </c>
      <c r="M116" s="85">
        <f>SUM(M111:M115)</f>
        <v>0</v>
      </c>
      <c r="N116" s="83">
        <f t="shared" si="38"/>
        <v>0</v>
      </c>
      <c r="O116" s="85">
        <f>SUM(O111:O115)</f>
        <v>0</v>
      </c>
      <c r="P116" s="83">
        <f t="shared" si="39"/>
        <v>0</v>
      </c>
      <c r="Q116" s="85">
        <f>SUM(Q111:Q115)</f>
        <v>0</v>
      </c>
      <c r="R116" s="83">
        <f t="shared" si="40"/>
        <v>0</v>
      </c>
      <c r="S116" s="85">
        <f>SUM(S111:S115)</f>
        <v>0</v>
      </c>
      <c r="T116" s="83">
        <f t="shared" si="41"/>
        <v>0</v>
      </c>
      <c r="U116" s="85">
        <f>SUM(U111:U115)</f>
        <v>0</v>
      </c>
      <c r="V116" s="83">
        <f t="shared" si="42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0.59999389629810485"/>
  </sheetPr>
  <dimension ref="A1:X119"/>
  <sheetViews>
    <sheetView topLeftCell="A27" zoomScale="70" zoomScaleNormal="70" workbookViewId="0" xr3:uid="{FF0BDA26-1AD6-5648-BD9A-E01AA4DDCA7C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39.57031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33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Express (Green Library)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160</v>
      </c>
      <c r="E8" s="109">
        <f>+C8</f>
        <v>160</v>
      </c>
      <c r="G8" s="109">
        <f>+E8</f>
        <v>160</v>
      </c>
      <c r="I8" s="109">
        <f>+G8</f>
        <v>160</v>
      </c>
      <c r="K8" s="109">
        <f>+I8</f>
        <v>160</v>
      </c>
      <c r="M8" s="109">
        <f>+K8</f>
        <v>160</v>
      </c>
      <c r="O8" s="109">
        <f>+M8</f>
        <v>160</v>
      </c>
      <c r="Q8" s="109">
        <f>+O8</f>
        <v>160</v>
      </c>
      <c r="S8" s="109">
        <f>+Q8</f>
        <v>160</v>
      </c>
      <c r="U8" s="109">
        <f>+S8</f>
        <v>160</v>
      </c>
    </row>
    <row r="10" spans="1:22" ht="12.75" customHeight="1">
      <c r="A10" s="2" t="s">
        <v>449</v>
      </c>
      <c r="C10" s="211">
        <f>+C14/C8/C12</f>
        <v>356.25</v>
      </c>
      <c r="D10" s="212"/>
      <c r="E10" s="213">
        <f>+E14/E8/E12</f>
        <v>376.5625</v>
      </c>
      <c r="F10" s="212"/>
      <c r="G10" s="213">
        <f>+G14/G8/G12</f>
        <v>370.3125</v>
      </c>
      <c r="H10" s="212"/>
      <c r="I10" s="213">
        <f>+I14/I8/I12</f>
        <v>373.0555555555556</v>
      </c>
      <c r="J10" s="212"/>
      <c r="K10" s="213">
        <f>+K14/K8/K12</f>
        <v>380.51666666666671</v>
      </c>
      <c r="L10" s="212"/>
      <c r="M10" s="213">
        <f>+M14/M8/M12</f>
        <v>388.12700000000007</v>
      </c>
      <c r="N10" s="212"/>
      <c r="O10" s="213">
        <f>+O14/O8/O12</f>
        <v>395.88954000000007</v>
      </c>
      <c r="P10" s="212"/>
      <c r="Q10" s="213">
        <f>+Q14/Q8/Q12</f>
        <v>401.8230195921376</v>
      </c>
      <c r="R10" s="212"/>
      <c r="S10" s="213">
        <f>+S14/S8/S12</f>
        <v>408.85492243499999</v>
      </c>
      <c r="T10" s="212"/>
      <c r="U10" s="213">
        <f>+U14/U8/U12</f>
        <v>417.03202088369994</v>
      </c>
      <c r="V10" s="212"/>
    </row>
    <row r="12" spans="1:22" ht="12.75" customHeight="1">
      <c r="A12" s="2" t="s">
        <v>450</v>
      </c>
      <c r="C12" s="110">
        <v>3.85</v>
      </c>
      <c r="E12" s="110">
        <v>4</v>
      </c>
      <c r="G12" s="110">
        <v>4</v>
      </c>
      <c r="I12" s="110">
        <v>4.05</v>
      </c>
      <c r="K12" s="110">
        <v>4.05</v>
      </c>
      <c r="M12" s="110">
        <v>4.05</v>
      </c>
      <c r="O12" s="110">
        <v>4.05</v>
      </c>
      <c r="Q12" s="110">
        <v>4.07</v>
      </c>
      <c r="S12" s="110">
        <v>4.08</v>
      </c>
      <c r="U12" s="110">
        <v>4.08</v>
      </c>
    </row>
    <row r="14" spans="1:22" ht="12.75" customHeight="1">
      <c r="A14" s="2" t="s">
        <v>451</v>
      </c>
      <c r="C14" s="206">
        <v>219450</v>
      </c>
      <c r="D14" s="12"/>
      <c r="E14" s="206">
        <v>241000</v>
      </c>
      <c r="F14" s="12"/>
      <c r="G14" s="206">
        <v>237000</v>
      </c>
      <c r="H14" s="12"/>
      <c r="I14" s="206">
        <f>+G14*1.02</f>
        <v>241740</v>
      </c>
      <c r="J14" s="12"/>
      <c r="K14" s="206">
        <f>+I14*1.02</f>
        <v>246574.80000000002</v>
      </c>
      <c r="L14" s="12"/>
      <c r="M14" s="206">
        <f>+K14*1.02</f>
        <v>251506.29600000003</v>
      </c>
      <c r="N14" s="12"/>
      <c r="O14" s="206">
        <f>+M14*1.02</f>
        <v>256536.42192000002</v>
      </c>
      <c r="P14" s="12"/>
      <c r="Q14" s="206">
        <f>+O14*1.02</f>
        <v>261667.15035840002</v>
      </c>
      <c r="R14" s="12"/>
      <c r="S14" s="206">
        <f>+Q14*1.02</f>
        <v>266900.49336556799</v>
      </c>
      <c r="T14" s="12"/>
      <c r="U14" s="206">
        <f>+S14*1.02</f>
        <v>272238.50323287933</v>
      </c>
    </row>
    <row r="15" spans="1:22" ht="12.75" customHeight="1">
      <c r="A15" s="39">
        <v>7.0000000000000007E-2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4">
        <f>+C14-C20</f>
        <v>192282.09</v>
      </c>
      <c r="D19" s="80">
        <f>IFERROR(C19/C$28,0)</f>
        <v>0.87619999999999998</v>
      </c>
      <c r="E19" s="204">
        <f>+E14-E20</f>
        <v>112619.29999999999</v>
      </c>
      <c r="F19" s="80">
        <f>IFERROR(E19/E$28,0)</f>
        <v>0.46729999999999994</v>
      </c>
      <c r="G19" s="111">
        <f>E19*1.02</f>
        <v>114871.68599999999</v>
      </c>
      <c r="H19" s="80">
        <f>IFERROR(G19/G$28,0)</f>
        <v>0.46729999999999994</v>
      </c>
      <c r="I19" s="111">
        <f>G19*1.02</f>
        <v>117169.11971999999</v>
      </c>
      <c r="J19" s="80">
        <f>IFERROR(I19/I$28,0)</f>
        <v>0.46729999999999994</v>
      </c>
      <c r="K19" s="111">
        <f>I19*1.02</f>
        <v>119512.50211439999</v>
      </c>
      <c r="L19" s="80">
        <f>IFERROR(K19/K$28,0)</f>
        <v>0.46729999999999994</v>
      </c>
      <c r="M19" s="111">
        <f>K19*1.02</f>
        <v>121902.75215668799</v>
      </c>
      <c r="N19" s="80">
        <f>IFERROR(M19/M$28,0)</f>
        <v>0.46729999999999994</v>
      </c>
      <c r="O19" s="111">
        <f>M19*1.02</f>
        <v>124340.80719982175</v>
      </c>
      <c r="P19" s="80">
        <f>IFERROR(O19/O$28,0)</f>
        <v>0.46729999999999988</v>
      </c>
      <c r="Q19" s="111">
        <f>O19*1.02</f>
        <v>126827.62334381818</v>
      </c>
      <c r="R19" s="80">
        <f>IFERROR(Q19/Q$28,0)</f>
        <v>0.46729999999999994</v>
      </c>
      <c r="S19" s="111">
        <f>Q19*1.02</f>
        <v>129364.17581069455</v>
      </c>
      <c r="T19" s="80">
        <f>IFERROR(S19/S$28,0)</f>
        <v>0.46729999999999994</v>
      </c>
      <c r="U19" s="111">
        <f>S19*1.02</f>
        <v>131951.45932690843</v>
      </c>
      <c r="V19" s="80">
        <f>IFERROR(U19/U$28,0)</f>
        <v>0.46729999999999994</v>
      </c>
    </row>
    <row r="20" spans="1:24" ht="12.75" customHeight="1">
      <c r="A20" s="2" t="s">
        <v>357</v>
      </c>
      <c r="B20" s="35"/>
      <c r="C20" s="111">
        <f>+C14*12.38%</f>
        <v>27167.91</v>
      </c>
      <c r="D20" s="80">
        <f>IFERROR(C20/C$28,0)</f>
        <v>0.12379999999999999</v>
      </c>
      <c r="E20" s="111">
        <f>+E14*53.27%</f>
        <v>128380.70000000001</v>
      </c>
      <c r="F20" s="80">
        <f>IFERROR(E20/E$28,0)</f>
        <v>0.53270000000000006</v>
      </c>
      <c r="G20" s="111">
        <f t="shared" ref="G20:U21" si="0">E20*1.02</f>
        <v>130948.31400000001</v>
      </c>
      <c r="H20" s="80">
        <f>IFERROR(G20/G$28,0)</f>
        <v>0.53270000000000006</v>
      </c>
      <c r="I20" s="111">
        <f t="shared" si="0"/>
        <v>133567.28028000001</v>
      </c>
      <c r="J20" s="80">
        <f>IFERROR(I20/I$28,0)</f>
        <v>0.53270000000000006</v>
      </c>
      <c r="K20" s="111">
        <f t="shared" si="0"/>
        <v>136238.62588560002</v>
      </c>
      <c r="L20" s="80">
        <f>IFERROR(K20/K$28,0)</f>
        <v>0.53270000000000006</v>
      </c>
      <c r="M20" s="111">
        <f t="shared" si="0"/>
        <v>138963.39840331202</v>
      </c>
      <c r="N20" s="80">
        <f>IFERROR(M20/M$28,0)</f>
        <v>0.53270000000000006</v>
      </c>
      <c r="O20" s="111">
        <f t="shared" si="0"/>
        <v>141742.66637137826</v>
      </c>
      <c r="P20" s="80">
        <f>IFERROR(O20/O$28,0)</f>
        <v>0.53269999999999995</v>
      </c>
      <c r="Q20" s="111">
        <f t="shared" si="0"/>
        <v>144577.51969880582</v>
      </c>
      <c r="R20" s="80">
        <f>IFERROR(Q20/Q$28,0)</f>
        <v>0.53270000000000006</v>
      </c>
      <c r="S20" s="111">
        <f t="shared" si="0"/>
        <v>147469.07009278194</v>
      </c>
      <c r="T20" s="80">
        <f>IFERROR(S20/S$28,0)</f>
        <v>0.53270000000000006</v>
      </c>
      <c r="U20" s="111">
        <f t="shared" si="0"/>
        <v>150418.45149463759</v>
      </c>
      <c r="V20" s="80">
        <f>IFERROR(U20/U$28,0)</f>
        <v>0.53270000000000017</v>
      </c>
    </row>
    <row r="21" spans="1:24" ht="12.75" customHeight="1">
      <c r="A21" s="2" t="s">
        <v>358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364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365</v>
      </c>
      <c r="B28" s="53"/>
      <c r="C28" s="82">
        <f>SUM(C19:C27)</f>
        <v>219450</v>
      </c>
      <c r="D28" s="83">
        <f t="shared" si="1"/>
        <v>1</v>
      </c>
      <c r="E28" s="82">
        <f>SUM(E19:E27)</f>
        <v>241000</v>
      </c>
      <c r="F28" s="83">
        <f t="shared" si="2"/>
        <v>1</v>
      </c>
      <c r="G28" s="82">
        <f>SUM(G19:G27)</f>
        <v>245820</v>
      </c>
      <c r="H28" s="83">
        <f t="shared" si="3"/>
        <v>1</v>
      </c>
      <c r="I28" s="82">
        <f>SUM(I19:I27)</f>
        <v>250736.4</v>
      </c>
      <c r="J28" s="83">
        <f t="shared" si="4"/>
        <v>1</v>
      </c>
      <c r="K28" s="82">
        <f>SUM(K19:K27)</f>
        <v>255751.12800000003</v>
      </c>
      <c r="L28" s="83">
        <f t="shared" si="5"/>
        <v>1</v>
      </c>
      <c r="M28" s="82">
        <f>SUM(M19:M27)</f>
        <v>260866.15056000001</v>
      </c>
      <c r="N28" s="83">
        <f t="shared" si="6"/>
        <v>1</v>
      </c>
      <c r="O28" s="82">
        <f>SUM(O19:O27)</f>
        <v>266083.47357120004</v>
      </c>
      <c r="P28" s="83">
        <f t="shared" si="7"/>
        <v>1</v>
      </c>
      <c r="Q28" s="82">
        <f>SUM(Q19:Q27)</f>
        <v>271405.143042624</v>
      </c>
      <c r="R28" s="83">
        <f t="shared" si="8"/>
        <v>1</v>
      </c>
      <c r="S28" s="82">
        <f>SUM(S19:S27)</f>
        <v>276833.24590347649</v>
      </c>
      <c r="T28" s="83">
        <f t="shared" si="9"/>
        <v>1</v>
      </c>
      <c r="U28" s="82">
        <f>SUM(U19:U27)</f>
        <v>282369.91082154599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0.52400000000000002</v>
      </c>
      <c r="D30" s="78"/>
      <c r="E30" s="78">
        <v>0.52400000000000002</v>
      </c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114991.8</v>
      </c>
      <c r="D31" s="80">
        <f>IFERROR(C31/C$28,0)</f>
        <v>0.52400000000000002</v>
      </c>
      <c r="E31" s="179">
        <f>$C$30*E14</f>
        <v>126284</v>
      </c>
      <c r="F31" s="80">
        <f>IFERROR(E31/E$28,0)</f>
        <v>0.52400000000000002</v>
      </c>
      <c r="G31" s="179">
        <f>$C$30*G14</f>
        <v>124188</v>
      </c>
      <c r="H31" s="80">
        <f>IFERROR(G31/G$28,0)</f>
        <v>0.50519892604344641</v>
      </c>
      <c r="I31" s="179">
        <f>$C$30*I14</f>
        <v>126671.76000000001</v>
      </c>
      <c r="J31" s="80">
        <f>IFERROR(I31/I$28,0)</f>
        <v>0.50519892604344652</v>
      </c>
      <c r="K31" s="179">
        <f>$C$30*K14</f>
        <v>129205.19520000002</v>
      </c>
      <c r="L31" s="80">
        <f>IFERROR(K31/K$28,0)</f>
        <v>0.50519892604344641</v>
      </c>
      <c r="M31" s="179">
        <f>$C$30*M14</f>
        <v>131789.29910400003</v>
      </c>
      <c r="N31" s="80">
        <f>IFERROR(M31/M$28,0)</f>
        <v>0.50519892604344652</v>
      </c>
      <c r="O31" s="179">
        <f>$C$30*O14</f>
        <v>134425.08508608001</v>
      </c>
      <c r="P31" s="80">
        <f>IFERROR(O31/O$28,0)</f>
        <v>0.50519892604344641</v>
      </c>
      <c r="Q31" s="179">
        <f>$C$30*Q14</f>
        <v>137113.58678780161</v>
      </c>
      <c r="R31" s="80">
        <f>IFERROR(Q31/Q$28,0)</f>
        <v>0.50519892604344652</v>
      </c>
      <c r="S31" s="179">
        <f>$C$30*S14</f>
        <v>139855.85852355763</v>
      </c>
      <c r="T31" s="80">
        <f>IFERROR(S31/S$28,0)</f>
        <v>0.50519892604344641</v>
      </c>
      <c r="U31" s="179">
        <f>$C$30*U14</f>
        <v>142652.97569402878</v>
      </c>
      <c r="V31" s="80">
        <f>IFERROR(U31/U$28,0)</f>
        <v>0.50519892604344641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114991.8</v>
      </c>
      <c r="D33" s="83">
        <f>IFERROR(C33/C$28,0)</f>
        <v>0.52400000000000002</v>
      </c>
      <c r="E33" s="82">
        <f>SUM(E31:E32)</f>
        <v>126284</v>
      </c>
      <c r="F33" s="83">
        <f>IFERROR(E33/E$28,0)</f>
        <v>0.52400000000000002</v>
      </c>
      <c r="G33" s="82">
        <f>SUM(G31:G32)</f>
        <v>124188</v>
      </c>
      <c r="H33" s="83">
        <f>IFERROR(G33/G$28,0)</f>
        <v>0.50519892604344641</v>
      </c>
      <c r="I33" s="82">
        <f>SUM(I31:I32)</f>
        <v>126671.76000000001</v>
      </c>
      <c r="J33" s="83">
        <f>IFERROR(I33/I$28,0)</f>
        <v>0.50519892604344652</v>
      </c>
      <c r="K33" s="82">
        <f>SUM(K31:K32)</f>
        <v>129205.19520000002</v>
      </c>
      <c r="L33" s="83">
        <f>IFERROR(K33/K$28,0)</f>
        <v>0.50519892604344641</v>
      </c>
      <c r="M33" s="82">
        <f>SUM(M31:M32)</f>
        <v>131789.29910400003</v>
      </c>
      <c r="N33" s="83">
        <f>IFERROR(M33/M$28,0)</f>
        <v>0.50519892604344652</v>
      </c>
      <c r="O33" s="82">
        <f>SUM(O31:O32)</f>
        <v>134425.08508608001</v>
      </c>
      <c r="P33" s="83">
        <f>IFERROR(O33/O$28,0)</f>
        <v>0.50519892604344641</v>
      </c>
      <c r="Q33" s="82">
        <f>SUM(Q31:Q32)</f>
        <v>137113.58678780161</v>
      </c>
      <c r="R33" s="83">
        <f>IFERROR(Q33/Q$28,0)</f>
        <v>0.50519892604344652</v>
      </c>
      <c r="S33" s="82">
        <f>SUM(S31:S32)</f>
        <v>139855.85852355763</v>
      </c>
      <c r="T33" s="83">
        <f>IFERROR(S33/S$28,0)</f>
        <v>0.50519892604344641</v>
      </c>
      <c r="U33" s="82">
        <f>SUM(U31:U32)</f>
        <v>142652.97569402878</v>
      </c>
      <c r="V33" s="83">
        <f>IFERROR(U33/U$28,0)</f>
        <v>0.50519892604344641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>
        <v>0</v>
      </c>
      <c r="D36" s="80">
        <f t="shared" ref="D36:D46" si="11">IFERROR(C36/C$28,0)</f>
        <v>0</v>
      </c>
      <c r="E36" s="179"/>
      <c r="F36" s="80">
        <f t="shared" ref="F36:F46" si="12">IFERROR(E36/E$28,0)</f>
        <v>0</v>
      </c>
      <c r="G36" s="179"/>
      <c r="H36" s="80">
        <f t="shared" ref="H36:H46" si="13">IFERROR(G36/G$28,0)</f>
        <v>0</v>
      </c>
      <c r="I36" s="179"/>
      <c r="J36" s="80">
        <f t="shared" ref="J36:J46" si="14">IFERROR(I36/I$28,0)</f>
        <v>0</v>
      </c>
      <c r="K36" s="179"/>
      <c r="L36" s="80">
        <f t="shared" ref="L36:L46" si="15">IFERROR(K36/K$28,0)</f>
        <v>0</v>
      </c>
      <c r="M36" s="179"/>
      <c r="N36" s="80">
        <f t="shared" ref="N36:N46" si="16">IFERROR(M36/M$28,0)</f>
        <v>0</v>
      </c>
      <c r="O36" s="179"/>
      <c r="P36" s="80">
        <f t="shared" ref="P36:P46" si="17">IFERROR(O36/O$28,0)</f>
        <v>0</v>
      </c>
      <c r="Q36" s="179"/>
      <c r="R36" s="80">
        <f t="shared" ref="R36:R46" si="18">IFERROR(Q36/Q$28,0)</f>
        <v>0</v>
      </c>
      <c r="S36" s="179"/>
      <c r="T36" s="80">
        <f t="shared" ref="T36:T46" si="19">IFERROR(S36/S$28,0)</f>
        <v>0</v>
      </c>
      <c r="U36" s="179">
        <v>0</v>
      </c>
      <c r="V36" s="80">
        <f t="shared" ref="V36:V46" si="20">IFERROR(U36/U$28,0)</f>
        <v>0</v>
      </c>
    </row>
    <row r="37" spans="1:22" ht="12.75" customHeight="1">
      <c r="A37" s="2" t="s">
        <v>372</v>
      </c>
      <c r="B37" s="35"/>
      <c r="C37" s="179">
        <v>20359</v>
      </c>
      <c r="D37" s="80">
        <f t="shared" si="11"/>
        <v>9.2772841193893826E-2</v>
      </c>
      <c r="E37" s="179">
        <f>+C37*1.112</f>
        <v>22639.208000000002</v>
      </c>
      <c r="F37" s="80">
        <f t="shared" si="12"/>
        <v>9.3938622406639014E-2</v>
      </c>
      <c r="G37" s="179">
        <f>+E37*1.035</f>
        <v>23431.580280000002</v>
      </c>
      <c r="H37" s="80">
        <f t="shared" si="13"/>
        <v>9.5320072736148412E-2</v>
      </c>
      <c r="I37" s="179">
        <f>+G37*1.032</f>
        <v>24181.390848960003</v>
      </c>
      <c r="J37" s="80">
        <f t="shared" si="14"/>
        <v>9.6441485356573695E-2</v>
      </c>
      <c r="K37" s="179">
        <f>+I37*1.025</f>
        <v>24785.925620184</v>
      </c>
      <c r="L37" s="80">
        <f t="shared" si="15"/>
        <v>9.6914237735772554E-2</v>
      </c>
      <c r="M37" s="179">
        <f>+K37*1.025</f>
        <v>25405.573760688596</v>
      </c>
      <c r="N37" s="80">
        <f t="shared" si="16"/>
        <v>9.7389307528594968E-2</v>
      </c>
      <c r="O37" s="179">
        <f>+M37*1.025</f>
        <v>26040.71310470581</v>
      </c>
      <c r="P37" s="80">
        <f t="shared" si="17"/>
        <v>9.786670609491159E-2</v>
      </c>
      <c r="Q37" s="179">
        <f>+O37*1.025</f>
        <v>26691.730932323451</v>
      </c>
      <c r="R37" s="80">
        <f t="shared" si="18"/>
        <v>9.8346444850278811E-2</v>
      </c>
      <c r="S37" s="179">
        <f>+Q37*1.025</f>
        <v>27359.024205631536</v>
      </c>
      <c r="T37" s="80">
        <f t="shared" si="19"/>
        <v>9.8828535266211534E-2</v>
      </c>
      <c r="U37" s="179">
        <f>+S37*1.025</f>
        <v>28042.999810772322</v>
      </c>
      <c r="V37" s="80">
        <f t="shared" si="20"/>
        <v>9.9312988870457669E-2</v>
      </c>
    </row>
    <row r="38" spans="1:22" ht="12.75" customHeight="1">
      <c r="A38" s="2" t="s">
        <v>373</v>
      </c>
      <c r="B38" s="35"/>
      <c r="C38" s="179">
        <v>6468</v>
      </c>
      <c r="D38" s="80">
        <f t="shared" si="11"/>
        <v>2.9473684210526315E-2</v>
      </c>
      <c r="E38" s="179">
        <f t="shared" ref="E38:E39" si="21">+C38*1.112</f>
        <v>7192.4160000000011</v>
      </c>
      <c r="F38" s="80">
        <f t="shared" si="12"/>
        <v>2.9844049792531125E-2</v>
      </c>
      <c r="G38" s="179">
        <f>+E38*1.035</f>
        <v>7444.150560000001</v>
      </c>
      <c r="H38" s="80">
        <f t="shared" si="13"/>
        <v>3.0282932877715406E-2</v>
      </c>
      <c r="I38" s="179">
        <f>+G38*1.032</f>
        <v>7682.3633779200009</v>
      </c>
      <c r="J38" s="80">
        <f t="shared" si="14"/>
        <v>3.0639202676276765E-2</v>
      </c>
      <c r="K38" s="179">
        <f>+I38*1.025</f>
        <v>7874.4224623680002</v>
      </c>
      <c r="L38" s="80">
        <f t="shared" si="15"/>
        <v>3.0789394846258505E-2</v>
      </c>
      <c r="M38" s="179">
        <f>+K38*1.025</f>
        <v>8071.2830239271998</v>
      </c>
      <c r="N38" s="80">
        <f t="shared" si="16"/>
        <v>3.0940323252367615E-2</v>
      </c>
      <c r="O38" s="179">
        <f>+M38*1.025</f>
        <v>8273.0650995253782</v>
      </c>
      <c r="P38" s="80">
        <f t="shared" si="17"/>
        <v>3.1091991503604702E-2</v>
      </c>
      <c r="Q38" s="179">
        <f>+O38*1.025</f>
        <v>8479.8917270135116</v>
      </c>
      <c r="R38" s="80">
        <f t="shared" si="18"/>
        <v>3.1244403226661589E-2</v>
      </c>
      <c r="S38" s="179">
        <f>+Q38*1.025</f>
        <v>8691.889020188848</v>
      </c>
      <c r="T38" s="80">
        <f t="shared" si="19"/>
        <v>3.1397562066007967E-2</v>
      </c>
      <c r="U38" s="179">
        <f>+S38*1.025</f>
        <v>8909.1862456935687</v>
      </c>
      <c r="V38" s="80">
        <f t="shared" si="20"/>
        <v>3.1551471683978594E-2</v>
      </c>
    </row>
    <row r="39" spans="1:22" ht="12.75" customHeight="1">
      <c r="A39" s="2" t="s">
        <v>374</v>
      </c>
      <c r="B39" s="35"/>
      <c r="C39" s="179"/>
      <c r="D39" s="80">
        <f t="shared" si="11"/>
        <v>0</v>
      </c>
      <c r="E39" s="179">
        <f t="shared" si="21"/>
        <v>0</v>
      </c>
      <c r="F39" s="80">
        <f t="shared" si="12"/>
        <v>0</v>
      </c>
      <c r="G39" s="179">
        <f>+E39*1.035</f>
        <v>0</v>
      </c>
      <c r="H39" s="80">
        <f t="shared" si="13"/>
        <v>0</v>
      </c>
      <c r="I39" s="179">
        <f>+G39*1.032</f>
        <v>0</v>
      </c>
      <c r="J39" s="80">
        <f t="shared" si="14"/>
        <v>0</v>
      </c>
      <c r="K39" s="179">
        <f>+I39*1.025</f>
        <v>0</v>
      </c>
      <c r="L39" s="80">
        <f t="shared" si="15"/>
        <v>0</v>
      </c>
      <c r="M39" s="179">
        <f>+K39*1.025</f>
        <v>0</v>
      </c>
      <c r="N39" s="80">
        <f t="shared" si="16"/>
        <v>0</v>
      </c>
      <c r="O39" s="179">
        <f>+M39*1.025</f>
        <v>0</v>
      </c>
      <c r="P39" s="80">
        <f t="shared" si="17"/>
        <v>0</v>
      </c>
      <c r="Q39" s="179">
        <f>+O39*1.025</f>
        <v>0</v>
      </c>
      <c r="R39" s="80">
        <f t="shared" si="18"/>
        <v>0</v>
      </c>
      <c r="S39" s="179">
        <f>+Q39*1.025</f>
        <v>0</v>
      </c>
      <c r="T39" s="80">
        <f t="shared" si="19"/>
        <v>0</v>
      </c>
      <c r="U39" s="179">
        <f>+S39*1.025</f>
        <v>0</v>
      </c>
      <c r="V39" s="80">
        <f t="shared" si="20"/>
        <v>0</v>
      </c>
    </row>
    <row r="40" spans="1:22" ht="12.75" customHeight="1">
      <c r="A40" s="2" t="s">
        <v>375</v>
      </c>
      <c r="B40" s="35"/>
      <c r="C40" s="179"/>
      <c r="D40" s="80">
        <f t="shared" si="11"/>
        <v>0</v>
      </c>
      <c r="E40" s="179"/>
      <c r="F40" s="80">
        <f t="shared" si="12"/>
        <v>0</v>
      </c>
      <c r="G40" s="179"/>
      <c r="H40" s="80">
        <f t="shared" si="13"/>
        <v>0</v>
      </c>
      <c r="I40" s="179"/>
      <c r="J40" s="80">
        <f t="shared" si="14"/>
        <v>0</v>
      </c>
      <c r="K40" s="179"/>
      <c r="L40" s="80">
        <f t="shared" si="15"/>
        <v>0</v>
      </c>
      <c r="M40" s="179"/>
      <c r="N40" s="80">
        <f t="shared" si="16"/>
        <v>0</v>
      </c>
      <c r="O40" s="179"/>
      <c r="P40" s="80">
        <f t="shared" si="17"/>
        <v>0</v>
      </c>
      <c r="Q40" s="179"/>
      <c r="R40" s="80">
        <f t="shared" si="18"/>
        <v>0</v>
      </c>
      <c r="S40" s="179"/>
      <c r="T40" s="80">
        <f t="shared" si="19"/>
        <v>0</v>
      </c>
      <c r="U40" s="179"/>
      <c r="V40" s="80">
        <f t="shared" si="20"/>
        <v>0</v>
      </c>
    </row>
    <row r="41" spans="1:22" ht="12.75" customHeight="1">
      <c r="A41" s="2" t="s">
        <v>376</v>
      </c>
      <c r="B41" s="35"/>
      <c r="C41" s="179">
        <f>C37*12.4%</f>
        <v>2524.5160000000001</v>
      </c>
      <c r="D41" s="80">
        <f t="shared" si="11"/>
        <v>1.1503832308042835E-2</v>
      </c>
      <c r="E41" s="179">
        <f>E37*12.4%</f>
        <v>2807.2617920000002</v>
      </c>
      <c r="F41" s="80">
        <f t="shared" si="12"/>
        <v>1.1648389178423238E-2</v>
      </c>
      <c r="G41" s="179">
        <f>G37*12.4%</f>
        <v>2905.5159547200001</v>
      </c>
      <c r="H41" s="80">
        <f t="shared" si="13"/>
        <v>1.1819689019282402E-2</v>
      </c>
      <c r="I41" s="179">
        <f>I37*12.4%</f>
        <v>2998.4924652710406</v>
      </c>
      <c r="J41" s="80">
        <f t="shared" si="14"/>
        <v>1.1958744184215138E-2</v>
      </c>
      <c r="K41" s="179">
        <f>K37*12.4%</f>
        <v>3073.4547769028159</v>
      </c>
      <c r="L41" s="80">
        <f t="shared" si="15"/>
        <v>1.2017365479235797E-2</v>
      </c>
      <c r="M41" s="179">
        <f>M37*12.4%</f>
        <v>3150.2911463253859</v>
      </c>
      <c r="N41" s="80">
        <f t="shared" si="16"/>
        <v>1.2076274133545775E-2</v>
      </c>
      <c r="O41" s="179">
        <f>O37*12.4%</f>
        <v>3229.0484249835204</v>
      </c>
      <c r="P41" s="80">
        <f t="shared" si="17"/>
        <v>1.2135471555769037E-2</v>
      </c>
      <c r="Q41" s="179">
        <f>Q37*12.4%</f>
        <v>3309.7746356081079</v>
      </c>
      <c r="R41" s="80">
        <f t="shared" si="18"/>
        <v>1.2194959161434572E-2</v>
      </c>
      <c r="S41" s="179">
        <f>S37*12.4%</f>
        <v>3392.5190014983104</v>
      </c>
      <c r="T41" s="80">
        <f t="shared" si="19"/>
        <v>1.225473837301023E-2</v>
      </c>
      <c r="U41" s="179">
        <f>U37*12.4%</f>
        <v>3477.3319765357678</v>
      </c>
      <c r="V41" s="80">
        <f t="shared" si="20"/>
        <v>1.231481061993675E-2</v>
      </c>
    </row>
    <row r="42" spans="1:22" ht="12.75" customHeight="1">
      <c r="A42" s="2" t="s">
        <v>377</v>
      </c>
      <c r="B42" s="35"/>
      <c r="C42" s="179"/>
      <c r="D42" s="80">
        <f t="shared" si="11"/>
        <v>0</v>
      </c>
      <c r="E42" s="179"/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79"/>
      <c r="D43" s="80">
        <f t="shared" si="11"/>
        <v>0</v>
      </c>
      <c r="E43" s="179"/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79"/>
      <c r="D44" s="80">
        <f t="shared" si="11"/>
        <v>0</v>
      </c>
      <c r="E44" s="179"/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82">
        <v>1914</v>
      </c>
      <c r="D45" s="80">
        <f t="shared" si="11"/>
        <v>8.7218045112781948E-3</v>
      </c>
      <c r="E45" s="182">
        <v>1914</v>
      </c>
      <c r="F45" s="80">
        <f t="shared" si="12"/>
        <v>7.941908713692946E-3</v>
      </c>
      <c r="G45" s="182">
        <v>1914</v>
      </c>
      <c r="H45" s="80">
        <f t="shared" si="13"/>
        <v>7.786185013424457E-3</v>
      </c>
      <c r="I45" s="182">
        <v>1914</v>
      </c>
      <c r="J45" s="80">
        <f t="shared" si="14"/>
        <v>7.6335147190435852E-3</v>
      </c>
      <c r="K45" s="182">
        <v>1914</v>
      </c>
      <c r="L45" s="80">
        <f t="shared" si="15"/>
        <v>7.4838379598466511E-3</v>
      </c>
      <c r="M45" s="182">
        <v>1914</v>
      </c>
      <c r="N45" s="80">
        <f t="shared" si="16"/>
        <v>7.3370960390653451E-3</v>
      </c>
      <c r="O45" s="182">
        <v>1914</v>
      </c>
      <c r="P45" s="80">
        <f t="shared" si="17"/>
        <v>7.1932314108483766E-3</v>
      </c>
      <c r="Q45" s="182">
        <v>1914</v>
      </c>
      <c r="R45" s="80">
        <f t="shared" si="18"/>
        <v>7.052187657694488E-3</v>
      </c>
      <c r="S45" s="182">
        <v>1914</v>
      </c>
      <c r="T45" s="80">
        <f t="shared" si="19"/>
        <v>6.9139094683279287E-3</v>
      </c>
      <c r="U45" s="182">
        <v>1914</v>
      </c>
      <c r="V45" s="80">
        <f t="shared" si="20"/>
        <v>6.7783426160077749E-3</v>
      </c>
    </row>
    <row r="46" spans="1:22" ht="12.75" customHeight="1">
      <c r="A46" s="1" t="s">
        <v>381</v>
      </c>
      <c r="B46" s="53"/>
      <c r="C46" s="82">
        <f>SUM(C36:C45)</f>
        <v>31265.516</v>
      </c>
      <c r="D46" s="83">
        <f t="shared" si="11"/>
        <v>0.14247216222374118</v>
      </c>
      <c r="E46" s="82">
        <f>SUM(E36:E45)</f>
        <v>34552.885792000001</v>
      </c>
      <c r="F46" s="83">
        <f t="shared" si="12"/>
        <v>0.1433729700912863</v>
      </c>
      <c r="G46" s="82">
        <f>SUM(G36:G45)</f>
        <v>35695.246794720006</v>
      </c>
      <c r="H46" s="83">
        <f t="shared" si="13"/>
        <v>0.14520887964657067</v>
      </c>
      <c r="I46" s="82">
        <f>SUM(I36:I45)</f>
        <v>36776.246692151042</v>
      </c>
      <c r="J46" s="83">
        <f t="shared" si="14"/>
        <v>0.14667294693610916</v>
      </c>
      <c r="K46" s="82">
        <f>SUM(K36:K45)</f>
        <v>37647.802859454816</v>
      </c>
      <c r="L46" s="83">
        <f t="shared" si="15"/>
        <v>0.14720483602111351</v>
      </c>
      <c r="M46" s="82">
        <f>SUM(M36:M45)</f>
        <v>38541.147930941181</v>
      </c>
      <c r="N46" s="83">
        <f t="shared" si="16"/>
        <v>0.14774300095357371</v>
      </c>
      <c r="O46" s="82">
        <f>SUM(O36:O45)</f>
        <v>39456.826629214709</v>
      </c>
      <c r="P46" s="83">
        <f t="shared" si="17"/>
        <v>0.1482874005651337</v>
      </c>
      <c r="Q46" s="82">
        <f>SUM(Q36:Q45)</f>
        <v>40395.397294945069</v>
      </c>
      <c r="R46" s="83">
        <f t="shared" si="18"/>
        <v>0.14883799489606944</v>
      </c>
      <c r="S46" s="82">
        <f>SUM(S36:S45)</f>
        <v>41357.432227318692</v>
      </c>
      <c r="T46" s="83">
        <f t="shared" si="19"/>
        <v>0.14939474517355764</v>
      </c>
      <c r="U46" s="82">
        <f>SUM(U36:U45)</f>
        <v>42343.518033001659</v>
      </c>
      <c r="V46" s="83">
        <f t="shared" si="20"/>
        <v>0.14995761379038081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83" si="22">IFERROR(C52/C$28,0)</f>
        <v>0</v>
      </c>
      <c r="E52" s="179">
        <v>0</v>
      </c>
      <c r="F52" s="80">
        <f t="shared" ref="F52:F105" si="23">IFERROR(E52/E$28,0)</f>
        <v>0</v>
      </c>
      <c r="G52" s="179">
        <v>0</v>
      </c>
      <c r="H52" s="80">
        <f t="shared" ref="H52:H105" si="24">IFERROR(G52/G$28,0)</f>
        <v>0</v>
      </c>
      <c r="I52" s="179">
        <v>0</v>
      </c>
      <c r="J52" s="80">
        <f t="shared" ref="J52:J105" si="25">IFERROR(I52/I$28,0)</f>
        <v>0</v>
      </c>
      <c r="K52" s="179">
        <v>0</v>
      </c>
      <c r="L52" s="80">
        <f t="shared" ref="L52:L105" si="26">IFERROR(K52/K$28,0)</f>
        <v>0</v>
      </c>
      <c r="M52" s="179">
        <v>0</v>
      </c>
      <c r="N52" s="80">
        <f t="shared" ref="N52:N105" si="27">IFERROR(M52/M$28,0)</f>
        <v>0</v>
      </c>
      <c r="O52" s="179">
        <v>0</v>
      </c>
      <c r="P52" s="80">
        <f t="shared" ref="P52:P105" si="28">IFERROR(O52/O$28,0)</f>
        <v>0</v>
      </c>
      <c r="Q52" s="179">
        <v>0</v>
      </c>
      <c r="R52" s="80">
        <f t="shared" ref="R52:R105" si="29">IFERROR(Q52/Q$28,0)</f>
        <v>0</v>
      </c>
      <c r="S52" s="179">
        <v>0</v>
      </c>
      <c r="T52" s="80">
        <f t="shared" ref="T52:T105" si="30">IFERROR(S52/S$28,0)</f>
        <v>0</v>
      </c>
      <c r="U52" s="179">
        <v>0</v>
      </c>
      <c r="V52" s="80">
        <f t="shared" ref="V52:V105" si="31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2"/>
        <v>0</v>
      </c>
      <c r="E53" s="179">
        <v>0</v>
      </c>
      <c r="F53" s="80">
        <f t="shared" si="23"/>
        <v>0</v>
      </c>
      <c r="G53" s="179">
        <v>0</v>
      </c>
      <c r="H53" s="80">
        <f t="shared" si="24"/>
        <v>0</v>
      </c>
      <c r="I53" s="179">
        <v>0</v>
      </c>
      <c r="J53" s="80">
        <f t="shared" si="25"/>
        <v>0</v>
      </c>
      <c r="K53" s="179">
        <v>0</v>
      </c>
      <c r="L53" s="80">
        <f t="shared" si="26"/>
        <v>0</v>
      </c>
      <c r="M53" s="179">
        <v>0</v>
      </c>
      <c r="N53" s="80">
        <f t="shared" si="27"/>
        <v>0</v>
      </c>
      <c r="O53" s="179">
        <v>0</v>
      </c>
      <c r="P53" s="80">
        <f t="shared" si="28"/>
        <v>0</v>
      </c>
      <c r="Q53" s="179">
        <v>0</v>
      </c>
      <c r="R53" s="80">
        <f t="shared" si="29"/>
        <v>0</v>
      </c>
      <c r="S53" s="179">
        <v>0</v>
      </c>
      <c r="T53" s="80">
        <f t="shared" si="30"/>
        <v>0</v>
      </c>
      <c r="U53" s="179">
        <v>0</v>
      </c>
      <c r="V53" s="80">
        <f t="shared" si="31"/>
        <v>0</v>
      </c>
      <c r="X53" s="200"/>
    </row>
    <row r="54" spans="1:24" ht="12.75" customHeight="1">
      <c r="A54" s="2" t="s">
        <v>385</v>
      </c>
      <c r="B54" s="35"/>
      <c r="C54" s="179">
        <v>153.61500000000001</v>
      </c>
      <c r="D54" s="80">
        <f t="shared" si="22"/>
        <v>6.9999999999999999E-4</v>
      </c>
      <c r="E54" s="179">
        <v>168.70000000000002</v>
      </c>
      <c r="F54" s="80">
        <f t="shared" si="23"/>
        <v>7.000000000000001E-4</v>
      </c>
      <c r="G54" s="179">
        <v>172.07400000000001</v>
      </c>
      <c r="H54" s="80">
        <f t="shared" si="24"/>
        <v>7.000000000000001E-4</v>
      </c>
      <c r="I54" s="179">
        <v>175.51548</v>
      </c>
      <c r="J54" s="80">
        <f t="shared" si="25"/>
        <v>6.9999999999999999E-4</v>
      </c>
      <c r="K54" s="179">
        <v>179.0257896</v>
      </c>
      <c r="L54" s="80">
        <f t="shared" si="26"/>
        <v>6.9999999999999988E-4</v>
      </c>
      <c r="M54" s="179">
        <v>182.606305392</v>
      </c>
      <c r="N54" s="80">
        <f t="shared" si="27"/>
        <v>6.9999999999999999E-4</v>
      </c>
      <c r="O54" s="179">
        <v>186.25843149984001</v>
      </c>
      <c r="P54" s="80">
        <f t="shared" si="28"/>
        <v>6.9999999999999999E-4</v>
      </c>
      <c r="Q54" s="179">
        <v>189.98360012983679</v>
      </c>
      <c r="R54" s="80">
        <f t="shared" si="29"/>
        <v>6.9999999999999999E-4</v>
      </c>
      <c r="S54" s="179">
        <v>193.78327213243355</v>
      </c>
      <c r="T54" s="80">
        <f t="shared" si="30"/>
        <v>6.9999999999999999E-4</v>
      </c>
      <c r="U54" s="179">
        <v>197.65893757508218</v>
      </c>
      <c r="V54" s="80">
        <f t="shared" si="31"/>
        <v>6.9999999999999999E-4</v>
      </c>
      <c r="X54" s="200"/>
    </row>
    <row r="55" spans="1:24" ht="12.75" customHeight="1">
      <c r="A55" s="2" t="s">
        <v>386</v>
      </c>
      <c r="B55" s="35"/>
      <c r="C55" s="179"/>
      <c r="D55" s="80">
        <f t="shared" si="22"/>
        <v>0</v>
      </c>
      <c r="E55" s="179"/>
      <c r="F55" s="80">
        <f t="shared" si="23"/>
        <v>0</v>
      </c>
      <c r="G55" s="179"/>
      <c r="H55" s="80">
        <f t="shared" si="24"/>
        <v>0</v>
      </c>
      <c r="I55" s="179"/>
      <c r="J55" s="80">
        <f t="shared" si="25"/>
        <v>0</v>
      </c>
      <c r="K55" s="179"/>
      <c r="L55" s="80">
        <f t="shared" si="26"/>
        <v>0</v>
      </c>
      <c r="M55" s="179"/>
      <c r="N55" s="80">
        <f t="shared" si="27"/>
        <v>0</v>
      </c>
      <c r="O55" s="179"/>
      <c r="P55" s="80">
        <f t="shared" si="28"/>
        <v>0</v>
      </c>
      <c r="Q55" s="179"/>
      <c r="R55" s="80">
        <f t="shared" si="29"/>
        <v>0</v>
      </c>
      <c r="S55" s="179"/>
      <c r="T55" s="80">
        <f t="shared" si="30"/>
        <v>0</v>
      </c>
      <c r="U55" s="179"/>
      <c r="V55" s="80">
        <f t="shared" si="31"/>
        <v>0</v>
      </c>
      <c r="X55" s="200"/>
    </row>
    <row r="56" spans="1:24" ht="12.75" customHeight="1">
      <c r="A56" s="2" t="s">
        <v>387</v>
      </c>
      <c r="B56" s="35"/>
      <c r="C56" s="179">
        <v>111.91950000000001</v>
      </c>
      <c r="D56" s="80">
        <f t="shared" si="22"/>
        <v>5.1000000000000004E-4</v>
      </c>
      <c r="E56" s="179">
        <v>122.91000000000003</v>
      </c>
      <c r="F56" s="80">
        <f t="shared" si="23"/>
        <v>5.1000000000000015E-4</v>
      </c>
      <c r="G56" s="179">
        <v>125.36820000000002</v>
      </c>
      <c r="H56" s="80">
        <f t="shared" si="24"/>
        <v>5.1000000000000004E-4</v>
      </c>
      <c r="I56" s="179">
        <v>127.87556400000003</v>
      </c>
      <c r="J56" s="80">
        <f t="shared" si="25"/>
        <v>5.1000000000000015E-4</v>
      </c>
      <c r="K56" s="179">
        <v>130.43307528</v>
      </c>
      <c r="L56" s="80">
        <f t="shared" si="26"/>
        <v>5.0999999999999993E-4</v>
      </c>
      <c r="M56" s="179">
        <v>133.04173678559999</v>
      </c>
      <c r="N56" s="80">
        <f t="shared" si="27"/>
        <v>5.0999999999999993E-4</v>
      </c>
      <c r="O56" s="179">
        <v>135.70257152131202</v>
      </c>
      <c r="P56" s="80">
        <f t="shared" si="28"/>
        <v>5.1000000000000004E-4</v>
      </c>
      <c r="Q56" s="179">
        <v>138.41662295173825</v>
      </c>
      <c r="R56" s="80">
        <f t="shared" si="29"/>
        <v>5.1000000000000004E-4</v>
      </c>
      <c r="S56" s="179">
        <v>141.18495541077303</v>
      </c>
      <c r="T56" s="80">
        <f t="shared" si="30"/>
        <v>5.1000000000000004E-4</v>
      </c>
      <c r="U56" s="179">
        <v>144.00865451898844</v>
      </c>
      <c r="V56" s="80">
        <f t="shared" si="31"/>
        <v>5.0999999999999993E-4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2"/>
        <v>0</v>
      </c>
      <c r="E57" s="179">
        <v>0</v>
      </c>
      <c r="F57" s="80">
        <f t="shared" si="23"/>
        <v>0</v>
      </c>
      <c r="G57" s="179">
        <v>0</v>
      </c>
      <c r="H57" s="80">
        <f t="shared" si="24"/>
        <v>0</v>
      </c>
      <c r="I57" s="179">
        <v>0</v>
      </c>
      <c r="J57" s="80">
        <f t="shared" si="25"/>
        <v>0</v>
      </c>
      <c r="K57" s="179">
        <v>0</v>
      </c>
      <c r="L57" s="80">
        <f t="shared" si="26"/>
        <v>0</v>
      </c>
      <c r="M57" s="179">
        <v>0</v>
      </c>
      <c r="N57" s="80">
        <f t="shared" si="27"/>
        <v>0</v>
      </c>
      <c r="O57" s="179">
        <v>0</v>
      </c>
      <c r="P57" s="80">
        <f t="shared" si="28"/>
        <v>0</v>
      </c>
      <c r="Q57" s="179">
        <v>0</v>
      </c>
      <c r="R57" s="80">
        <f t="shared" si="29"/>
        <v>0</v>
      </c>
      <c r="S57" s="179">
        <v>0</v>
      </c>
      <c r="T57" s="80">
        <f t="shared" si="30"/>
        <v>0</v>
      </c>
      <c r="U57" s="179">
        <v>0</v>
      </c>
      <c r="V57" s="80">
        <f t="shared" si="31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2"/>
        <v>0</v>
      </c>
      <c r="E58" s="179">
        <v>0</v>
      </c>
      <c r="F58" s="80">
        <f t="shared" si="23"/>
        <v>0</v>
      </c>
      <c r="G58" s="179">
        <v>0</v>
      </c>
      <c r="H58" s="80">
        <f t="shared" si="24"/>
        <v>0</v>
      </c>
      <c r="I58" s="179">
        <v>0</v>
      </c>
      <c r="J58" s="80">
        <f t="shared" si="25"/>
        <v>0</v>
      </c>
      <c r="K58" s="179">
        <v>0</v>
      </c>
      <c r="L58" s="80">
        <f t="shared" si="26"/>
        <v>0</v>
      </c>
      <c r="M58" s="179">
        <v>0</v>
      </c>
      <c r="N58" s="80">
        <f t="shared" si="27"/>
        <v>0</v>
      </c>
      <c r="O58" s="179">
        <v>0</v>
      </c>
      <c r="P58" s="80">
        <f t="shared" si="28"/>
        <v>0</v>
      </c>
      <c r="Q58" s="179">
        <v>0</v>
      </c>
      <c r="R58" s="80">
        <f t="shared" si="29"/>
        <v>0</v>
      </c>
      <c r="S58" s="179">
        <v>0</v>
      </c>
      <c r="T58" s="80">
        <f t="shared" si="30"/>
        <v>0</v>
      </c>
      <c r="U58" s="179">
        <v>0</v>
      </c>
      <c r="V58" s="80">
        <f t="shared" si="31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2"/>
        <v>0</v>
      </c>
      <c r="E59" s="179">
        <v>0</v>
      </c>
      <c r="F59" s="80">
        <f t="shared" si="23"/>
        <v>0</v>
      </c>
      <c r="G59" s="179">
        <v>0</v>
      </c>
      <c r="H59" s="80">
        <f t="shared" si="24"/>
        <v>0</v>
      </c>
      <c r="I59" s="179">
        <v>0</v>
      </c>
      <c r="J59" s="80">
        <f t="shared" si="25"/>
        <v>0</v>
      </c>
      <c r="K59" s="179">
        <v>0</v>
      </c>
      <c r="L59" s="80">
        <f t="shared" si="26"/>
        <v>0</v>
      </c>
      <c r="M59" s="179">
        <v>0</v>
      </c>
      <c r="N59" s="80">
        <f t="shared" si="27"/>
        <v>0</v>
      </c>
      <c r="O59" s="179">
        <v>0</v>
      </c>
      <c r="P59" s="80">
        <f t="shared" si="28"/>
        <v>0</v>
      </c>
      <c r="Q59" s="179">
        <v>0</v>
      </c>
      <c r="R59" s="80">
        <f t="shared" si="29"/>
        <v>0</v>
      </c>
      <c r="S59" s="179">
        <v>0</v>
      </c>
      <c r="T59" s="80">
        <f t="shared" si="30"/>
        <v>0</v>
      </c>
      <c r="U59" s="179">
        <v>0</v>
      </c>
      <c r="V59" s="80">
        <f t="shared" si="31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2"/>
        <v>0</v>
      </c>
      <c r="E60" s="179">
        <v>0</v>
      </c>
      <c r="F60" s="80">
        <f t="shared" si="23"/>
        <v>0</v>
      </c>
      <c r="G60" s="179">
        <v>0</v>
      </c>
      <c r="H60" s="80">
        <f t="shared" si="24"/>
        <v>0</v>
      </c>
      <c r="I60" s="179">
        <v>0</v>
      </c>
      <c r="J60" s="80">
        <f t="shared" si="25"/>
        <v>0</v>
      </c>
      <c r="K60" s="179">
        <v>0</v>
      </c>
      <c r="L60" s="80">
        <f t="shared" si="26"/>
        <v>0</v>
      </c>
      <c r="M60" s="179">
        <v>0</v>
      </c>
      <c r="N60" s="80">
        <f t="shared" si="27"/>
        <v>0</v>
      </c>
      <c r="O60" s="179">
        <v>0</v>
      </c>
      <c r="P60" s="80">
        <f t="shared" si="28"/>
        <v>0</v>
      </c>
      <c r="Q60" s="179">
        <v>0</v>
      </c>
      <c r="R60" s="80">
        <f t="shared" si="29"/>
        <v>0</v>
      </c>
      <c r="S60" s="179">
        <v>0</v>
      </c>
      <c r="T60" s="80">
        <f t="shared" si="30"/>
        <v>0</v>
      </c>
      <c r="U60" s="179">
        <v>0</v>
      </c>
      <c r="V60" s="80">
        <f t="shared" si="31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2"/>
        <v>0</v>
      </c>
      <c r="E61" s="179">
        <v>0</v>
      </c>
      <c r="F61" s="80">
        <f t="shared" si="23"/>
        <v>0</v>
      </c>
      <c r="G61" s="179">
        <v>0</v>
      </c>
      <c r="H61" s="80">
        <f t="shared" si="24"/>
        <v>0</v>
      </c>
      <c r="I61" s="179">
        <v>0</v>
      </c>
      <c r="J61" s="80">
        <f t="shared" si="25"/>
        <v>0</v>
      </c>
      <c r="K61" s="179">
        <v>0</v>
      </c>
      <c r="L61" s="80">
        <f t="shared" si="26"/>
        <v>0</v>
      </c>
      <c r="M61" s="179">
        <v>0</v>
      </c>
      <c r="N61" s="80">
        <f t="shared" si="27"/>
        <v>0</v>
      </c>
      <c r="O61" s="179">
        <v>0</v>
      </c>
      <c r="P61" s="80">
        <f t="shared" si="28"/>
        <v>0</v>
      </c>
      <c r="Q61" s="179">
        <v>0</v>
      </c>
      <c r="R61" s="80">
        <f t="shared" si="29"/>
        <v>0</v>
      </c>
      <c r="S61" s="179">
        <v>0</v>
      </c>
      <c r="T61" s="80">
        <f t="shared" si="30"/>
        <v>0</v>
      </c>
      <c r="U61" s="179">
        <v>0</v>
      </c>
      <c r="V61" s="80">
        <f t="shared" si="31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2"/>
        <v>0</v>
      </c>
      <c r="E62" s="179">
        <v>0</v>
      </c>
      <c r="F62" s="80">
        <f t="shared" si="23"/>
        <v>0</v>
      </c>
      <c r="G62" s="179">
        <v>0</v>
      </c>
      <c r="H62" s="80">
        <f t="shared" si="24"/>
        <v>0</v>
      </c>
      <c r="I62" s="179">
        <v>0</v>
      </c>
      <c r="J62" s="80">
        <f t="shared" si="25"/>
        <v>0</v>
      </c>
      <c r="K62" s="179">
        <v>0</v>
      </c>
      <c r="L62" s="80">
        <f t="shared" si="26"/>
        <v>0</v>
      </c>
      <c r="M62" s="179">
        <v>0</v>
      </c>
      <c r="N62" s="80">
        <f t="shared" si="27"/>
        <v>0</v>
      </c>
      <c r="O62" s="179">
        <v>0</v>
      </c>
      <c r="P62" s="80">
        <f t="shared" si="28"/>
        <v>0</v>
      </c>
      <c r="Q62" s="179">
        <v>0</v>
      </c>
      <c r="R62" s="80">
        <f t="shared" si="29"/>
        <v>0</v>
      </c>
      <c r="S62" s="179">
        <v>0</v>
      </c>
      <c r="T62" s="80">
        <f t="shared" si="30"/>
        <v>0</v>
      </c>
      <c r="U62" s="179">
        <v>0</v>
      </c>
      <c r="V62" s="80">
        <f t="shared" si="31"/>
        <v>0</v>
      </c>
      <c r="X62" s="200"/>
    </row>
    <row r="63" spans="1:24" ht="12.75" customHeight="1">
      <c r="A63" s="2" t="s">
        <v>394</v>
      </c>
      <c r="B63" s="35"/>
      <c r="C63" s="179">
        <v>3011.3884812656083</v>
      </c>
      <c r="D63" s="80">
        <f t="shared" si="22"/>
        <v>1.3722435549171148E-2</v>
      </c>
      <c r="E63" s="179">
        <v>1869.5142293727001</v>
      </c>
      <c r="F63" s="80">
        <f t="shared" si="23"/>
        <v>7.7573204538286316E-3</v>
      </c>
      <c r="G63" s="179">
        <v>2188.4237153217173</v>
      </c>
      <c r="H63" s="80">
        <f t="shared" si="24"/>
        <v>8.9025454207213306E-3</v>
      </c>
      <c r="I63" s="179">
        <v>2212.6635172484444</v>
      </c>
      <c r="J63" s="80">
        <f t="shared" si="25"/>
        <v>8.8246601500557732E-3</v>
      </c>
      <c r="K63" s="179">
        <v>2230.9254453649792</v>
      </c>
      <c r="L63" s="80">
        <f t="shared" si="26"/>
        <v>8.723032671687685E-3</v>
      </c>
      <c r="M63" s="179">
        <v>2270.7607629250533</v>
      </c>
      <c r="N63" s="80">
        <f t="shared" si="27"/>
        <v>8.7046968648497435E-3</v>
      </c>
      <c r="O63" s="179">
        <v>2311.4351186346298</v>
      </c>
      <c r="P63" s="80">
        <f t="shared" si="28"/>
        <v>8.686879675810168E-3</v>
      </c>
      <c r="Q63" s="179">
        <v>2352.8850377489803</v>
      </c>
      <c r="R63" s="80">
        <f t="shared" si="29"/>
        <v>8.669272112428102E-3</v>
      </c>
      <c r="S63" s="179">
        <v>2395.0476122500427</v>
      </c>
      <c r="T63" s="80">
        <f t="shared" si="30"/>
        <v>8.6515895315735468E-3</v>
      </c>
      <c r="U63" s="179">
        <v>2531.2072876452326</v>
      </c>
      <c r="V63" s="80">
        <f t="shared" si="31"/>
        <v>8.9641537240308933E-3</v>
      </c>
      <c r="X63" s="200"/>
    </row>
    <row r="64" spans="1:24" ht="12.75" customHeight="1">
      <c r="A64" s="2" t="s">
        <v>395</v>
      </c>
      <c r="B64" s="35"/>
      <c r="C64" s="179">
        <v>1053.3599999999999</v>
      </c>
      <c r="D64" s="80">
        <f t="shared" si="22"/>
        <v>4.7999999999999996E-3</v>
      </c>
      <c r="E64" s="179">
        <v>1156.8</v>
      </c>
      <c r="F64" s="80">
        <f t="shared" si="23"/>
        <v>4.7999999999999996E-3</v>
      </c>
      <c r="G64" s="179">
        <v>1179.9359999999999</v>
      </c>
      <c r="H64" s="80">
        <f t="shared" si="24"/>
        <v>4.7999999999999996E-3</v>
      </c>
      <c r="I64" s="179">
        <v>1203.5347199999999</v>
      </c>
      <c r="J64" s="80">
        <f t="shared" si="25"/>
        <v>4.7999999999999996E-3</v>
      </c>
      <c r="K64" s="179">
        <v>1227.6054143999997</v>
      </c>
      <c r="L64" s="80">
        <f t="shared" si="26"/>
        <v>4.7999999999999987E-3</v>
      </c>
      <c r="M64" s="179">
        <v>1252.157522688</v>
      </c>
      <c r="N64" s="80">
        <f t="shared" si="27"/>
        <v>4.7999999999999996E-3</v>
      </c>
      <c r="O64" s="179">
        <v>1277.20067314176</v>
      </c>
      <c r="P64" s="80">
        <f t="shared" si="28"/>
        <v>4.7999999999999996E-3</v>
      </c>
      <c r="Q64" s="179">
        <v>1302.7446866045948</v>
      </c>
      <c r="R64" s="80">
        <f t="shared" si="29"/>
        <v>4.7999999999999987E-3</v>
      </c>
      <c r="S64" s="179">
        <v>1328.7995803366873</v>
      </c>
      <c r="T64" s="80">
        <f t="shared" si="30"/>
        <v>4.8000000000000004E-3</v>
      </c>
      <c r="U64" s="179">
        <v>1355.3755719434205</v>
      </c>
      <c r="V64" s="80">
        <f t="shared" si="31"/>
        <v>4.7999999999999987E-3</v>
      </c>
      <c r="X64" s="200"/>
    </row>
    <row r="65" spans="1:24" ht="12.75" customHeight="1">
      <c r="A65" s="2" t="s">
        <v>396</v>
      </c>
      <c r="B65" s="35"/>
      <c r="C65" s="179">
        <v>109.72499999999999</v>
      </c>
      <c r="D65" s="80">
        <f t="shared" si="22"/>
        <v>5.0000000000000001E-4</v>
      </c>
      <c r="E65" s="179">
        <v>120.50000000000001</v>
      </c>
      <c r="F65" s="80">
        <f t="shared" si="23"/>
        <v>5.0000000000000001E-4</v>
      </c>
      <c r="G65" s="179">
        <v>122.91000000000003</v>
      </c>
      <c r="H65" s="80">
        <f t="shared" si="24"/>
        <v>5.0000000000000012E-4</v>
      </c>
      <c r="I65" s="179">
        <v>125.36820000000002</v>
      </c>
      <c r="J65" s="80">
        <f t="shared" si="25"/>
        <v>5.0000000000000012E-4</v>
      </c>
      <c r="K65" s="179">
        <v>127.87556400000001</v>
      </c>
      <c r="L65" s="80">
        <f t="shared" si="26"/>
        <v>5.0000000000000001E-4</v>
      </c>
      <c r="M65" s="179">
        <v>130.43307528</v>
      </c>
      <c r="N65" s="80">
        <f t="shared" si="27"/>
        <v>5.0000000000000001E-4</v>
      </c>
      <c r="O65" s="179">
        <v>133.04173678560002</v>
      </c>
      <c r="P65" s="80">
        <f t="shared" si="28"/>
        <v>5.0000000000000001E-4</v>
      </c>
      <c r="Q65" s="179">
        <v>135.702571521312</v>
      </c>
      <c r="R65" s="80">
        <f t="shared" si="29"/>
        <v>5.0000000000000001E-4</v>
      </c>
      <c r="S65" s="179">
        <v>138.41662295173825</v>
      </c>
      <c r="T65" s="80">
        <f t="shared" si="30"/>
        <v>5.0000000000000001E-4</v>
      </c>
      <c r="U65" s="179">
        <v>141.184955410773</v>
      </c>
      <c r="V65" s="80">
        <f t="shared" si="31"/>
        <v>5.0000000000000001E-4</v>
      </c>
      <c r="X65" s="200"/>
    </row>
    <row r="66" spans="1:24" ht="12.75" customHeight="1">
      <c r="A66" s="2" t="s">
        <v>397</v>
      </c>
      <c r="B66" s="35"/>
      <c r="C66" s="179">
        <v>614.46</v>
      </c>
      <c r="D66" s="80">
        <f t="shared" si="22"/>
        <v>2.8E-3</v>
      </c>
      <c r="E66" s="179">
        <v>674.80000000000007</v>
      </c>
      <c r="F66" s="80">
        <f t="shared" si="23"/>
        <v>2.8000000000000004E-3</v>
      </c>
      <c r="G66" s="179">
        <v>688.29600000000005</v>
      </c>
      <c r="H66" s="80">
        <f t="shared" si="24"/>
        <v>2.8000000000000004E-3</v>
      </c>
      <c r="I66" s="179">
        <v>702.06191999999999</v>
      </c>
      <c r="J66" s="80">
        <f t="shared" si="25"/>
        <v>2.8E-3</v>
      </c>
      <c r="K66" s="179">
        <v>716.10315839999998</v>
      </c>
      <c r="L66" s="80">
        <f t="shared" si="26"/>
        <v>2.7999999999999995E-3</v>
      </c>
      <c r="M66" s="179">
        <v>730.42522156799998</v>
      </c>
      <c r="N66" s="80">
        <f t="shared" si="27"/>
        <v>2.8E-3</v>
      </c>
      <c r="O66" s="179">
        <v>745.03372599936006</v>
      </c>
      <c r="P66" s="80">
        <f t="shared" si="28"/>
        <v>2.8E-3</v>
      </c>
      <c r="Q66" s="179">
        <v>759.93440051934715</v>
      </c>
      <c r="R66" s="80">
        <f t="shared" si="29"/>
        <v>2.8E-3</v>
      </c>
      <c r="S66" s="179">
        <v>775.13308852973421</v>
      </c>
      <c r="T66" s="80">
        <f t="shared" si="30"/>
        <v>2.8E-3</v>
      </c>
      <c r="U66" s="179">
        <v>790.63575030032871</v>
      </c>
      <c r="V66" s="80">
        <f t="shared" si="31"/>
        <v>2.8E-3</v>
      </c>
      <c r="X66" s="200"/>
    </row>
    <row r="67" spans="1:24" ht="12.75" customHeight="1">
      <c r="A67" s="2" t="s">
        <v>398</v>
      </c>
      <c r="B67" s="35"/>
      <c r="C67" s="179">
        <v>3291.7499999999995</v>
      </c>
      <c r="D67" s="80">
        <f t="shared" si="22"/>
        <v>1.4999999999999998E-2</v>
      </c>
      <c r="E67" s="179">
        <v>3615</v>
      </c>
      <c r="F67" s="80">
        <f t="shared" si="23"/>
        <v>1.4999999999999999E-2</v>
      </c>
      <c r="G67" s="179">
        <v>3687.3</v>
      </c>
      <c r="H67" s="80">
        <f t="shared" si="24"/>
        <v>1.5000000000000001E-2</v>
      </c>
      <c r="I67" s="179">
        <v>3761.0459999999998</v>
      </c>
      <c r="J67" s="80">
        <f t="shared" si="25"/>
        <v>1.4999999999999999E-2</v>
      </c>
      <c r="K67" s="179">
        <v>3836.26692</v>
      </c>
      <c r="L67" s="80">
        <f t="shared" si="26"/>
        <v>1.4999999999999999E-2</v>
      </c>
      <c r="M67" s="179">
        <v>3912.9922584000001</v>
      </c>
      <c r="N67" s="80">
        <f t="shared" si="27"/>
        <v>1.4999999999999999E-2</v>
      </c>
      <c r="O67" s="179">
        <v>3991.2521035680006</v>
      </c>
      <c r="P67" s="80">
        <f t="shared" si="28"/>
        <v>1.4999999999999999E-2</v>
      </c>
      <c r="Q67" s="179">
        <v>4071.0771456393595</v>
      </c>
      <c r="R67" s="80">
        <f t="shared" si="29"/>
        <v>1.4999999999999998E-2</v>
      </c>
      <c r="S67" s="179">
        <v>4152.4986885521475</v>
      </c>
      <c r="T67" s="80">
        <f t="shared" si="30"/>
        <v>1.5000000000000001E-2</v>
      </c>
      <c r="U67" s="179">
        <v>4235.5486623231891</v>
      </c>
      <c r="V67" s="80">
        <f t="shared" si="31"/>
        <v>1.4999999999999998E-2</v>
      </c>
      <c r="X67" s="200"/>
    </row>
    <row r="68" spans="1:24" ht="12.75" customHeight="1">
      <c r="A68" s="2" t="s">
        <v>399</v>
      </c>
      <c r="B68" s="35"/>
      <c r="C68" s="179">
        <v>373.065</v>
      </c>
      <c r="D68" s="80">
        <f t="shared" si="22"/>
        <v>1.6999999999999999E-3</v>
      </c>
      <c r="E68" s="179">
        <v>409.7</v>
      </c>
      <c r="F68" s="80">
        <f t="shared" si="23"/>
        <v>1.6999999999999999E-3</v>
      </c>
      <c r="G68" s="179">
        <v>417.89400000000001</v>
      </c>
      <c r="H68" s="80">
        <f t="shared" si="24"/>
        <v>1.7000000000000001E-3</v>
      </c>
      <c r="I68" s="179">
        <v>426.25188000000003</v>
      </c>
      <c r="J68" s="80">
        <f t="shared" si="25"/>
        <v>1.7000000000000001E-3</v>
      </c>
      <c r="K68" s="179">
        <v>434.77691759999999</v>
      </c>
      <c r="L68" s="80">
        <f t="shared" si="26"/>
        <v>1.6999999999999997E-3</v>
      </c>
      <c r="M68" s="179">
        <v>443.47245595199996</v>
      </c>
      <c r="N68" s="80">
        <f t="shared" si="27"/>
        <v>1.6999999999999997E-3</v>
      </c>
      <c r="O68" s="179">
        <v>452.34190507104006</v>
      </c>
      <c r="P68" s="80">
        <f t="shared" si="28"/>
        <v>1.6999999999999999E-3</v>
      </c>
      <c r="Q68" s="179">
        <v>461.38874317246075</v>
      </c>
      <c r="R68" s="80">
        <f t="shared" si="29"/>
        <v>1.6999999999999999E-3</v>
      </c>
      <c r="S68" s="179">
        <v>470.61651803591002</v>
      </c>
      <c r="T68" s="80">
        <f t="shared" si="30"/>
        <v>1.6999999999999999E-3</v>
      </c>
      <c r="U68" s="179">
        <v>480.02884839662806</v>
      </c>
      <c r="V68" s="80">
        <f t="shared" si="31"/>
        <v>1.6999999999999997E-3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2"/>
        <v>0</v>
      </c>
      <c r="E69" s="179">
        <v>0</v>
      </c>
      <c r="F69" s="80">
        <f t="shared" si="23"/>
        <v>0</v>
      </c>
      <c r="G69" s="179">
        <v>0</v>
      </c>
      <c r="H69" s="80">
        <f t="shared" si="24"/>
        <v>0</v>
      </c>
      <c r="I69" s="179">
        <v>0</v>
      </c>
      <c r="J69" s="80">
        <f t="shared" si="25"/>
        <v>0</v>
      </c>
      <c r="K69" s="179">
        <v>0</v>
      </c>
      <c r="L69" s="80">
        <f t="shared" si="26"/>
        <v>0</v>
      </c>
      <c r="M69" s="179">
        <v>0</v>
      </c>
      <c r="N69" s="80">
        <f t="shared" si="27"/>
        <v>0</v>
      </c>
      <c r="O69" s="179">
        <v>0</v>
      </c>
      <c r="P69" s="80">
        <f t="shared" si="28"/>
        <v>0</v>
      </c>
      <c r="Q69" s="179">
        <v>0</v>
      </c>
      <c r="R69" s="80">
        <f t="shared" si="29"/>
        <v>0</v>
      </c>
      <c r="S69" s="179">
        <v>0</v>
      </c>
      <c r="T69" s="80">
        <f t="shared" si="30"/>
        <v>0</v>
      </c>
      <c r="U69" s="179">
        <v>0</v>
      </c>
      <c r="V69" s="80">
        <f t="shared" si="31"/>
        <v>0</v>
      </c>
      <c r="X69" s="200"/>
    </row>
    <row r="70" spans="1:24" ht="12.75" customHeight="1">
      <c r="A70" s="2" t="s">
        <v>401</v>
      </c>
      <c r="B70" s="35"/>
      <c r="C70" s="179">
        <v>21.945000000000004</v>
      </c>
      <c r="D70" s="80">
        <f t="shared" si="22"/>
        <v>1.0000000000000002E-4</v>
      </c>
      <c r="E70" s="179">
        <v>24.1</v>
      </c>
      <c r="F70" s="80">
        <f t="shared" si="23"/>
        <v>1E-4</v>
      </c>
      <c r="G70" s="179">
        <v>24.582000000000001</v>
      </c>
      <c r="H70" s="80">
        <f t="shared" si="24"/>
        <v>1E-4</v>
      </c>
      <c r="I70" s="179">
        <v>25.073640000000001</v>
      </c>
      <c r="J70" s="80">
        <f t="shared" si="25"/>
        <v>1E-4</v>
      </c>
      <c r="K70" s="179">
        <v>25.575112800000003</v>
      </c>
      <c r="L70" s="80">
        <f t="shared" si="26"/>
        <v>1E-4</v>
      </c>
      <c r="M70" s="179">
        <v>26.086615056000003</v>
      </c>
      <c r="N70" s="80">
        <f t="shared" si="27"/>
        <v>1E-4</v>
      </c>
      <c r="O70" s="179">
        <v>26.608347357120007</v>
      </c>
      <c r="P70" s="80">
        <f t="shared" si="28"/>
        <v>1E-4</v>
      </c>
      <c r="Q70" s="179">
        <v>27.1405143042624</v>
      </c>
      <c r="R70" s="80">
        <f t="shared" si="29"/>
        <v>1E-4</v>
      </c>
      <c r="S70" s="179">
        <v>27.683324590347652</v>
      </c>
      <c r="T70" s="80">
        <f t="shared" si="30"/>
        <v>1.0000000000000002E-4</v>
      </c>
      <c r="U70" s="179">
        <v>28.236991082154599</v>
      </c>
      <c r="V70" s="80">
        <f t="shared" si="31"/>
        <v>1E-4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2"/>
        <v>0</v>
      </c>
      <c r="E71" s="179">
        <v>0</v>
      </c>
      <c r="F71" s="80">
        <f t="shared" si="23"/>
        <v>0</v>
      </c>
      <c r="G71" s="179">
        <v>0</v>
      </c>
      <c r="H71" s="80">
        <f t="shared" si="24"/>
        <v>0</v>
      </c>
      <c r="I71" s="179">
        <v>0</v>
      </c>
      <c r="J71" s="80">
        <f t="shared" si="25"/>
        <v>0</v>
      </c>
      <c r="K71" s="179">
        <v>0</v>
      </c>
      <c r="L71" s="80">
        <f t="shared" si="26"/>
        <v>0</v>
      </c>
      <c r="M71" s="179">
        <v>0</v>
      </c>
      <c r="N71" s="80">
        <f t="shared" si="27"/>
        <v>0</v>
      </c>
      <c r="O71" s="179">
        <v>0</v>
      </c>
      <c r="P71" s="80">
        <f t="shared" si="28"/>
        <v>0</v>
      </c>
      <c r="Q71" s="179">
        <v>0</v>
      </c>
      <c r="R71" s="80">
        <f t="shared" si="29"/>
        <v>0</v>
      </c>
      <c r="S71" s="179">
        <v>0</v>
      </c>
      <c r="T71" s="80">
        <f t="shared" si="30"/>
        <v>0</v>
      </c>
      <c r="U71" s="179">
        <v>0</v>
      </c>
      <c r="V71" s="80">
        <f t="shared" si="31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2"/>
        <v>0</v>
      </c>
      <c r="E72" s="179">
        <v>0</v>
      </c>
      <c r="F72" s="80">
        <f t="shared" si="23"/>
        <v>0</v>
      </c>
      <c r="G72" s="179">
        <v>0</v>
      </c>
      <c r="H72" s="80">
        <f t="shared" si="24"/>
        <v>0</v>
      </c>
      <c r="I72" s="179">
        <v>0</v>
      </c>
      <c r="J72" s="80">
        <f t="shared" si="25"/>
        <v>0</v>
      </c>
      <c r="K72" s="179">
        <v>0</v>
      </c>
      <c r="L72" s="80">
        <f t="shared" si="26"/>
        <v>0</v>
      </c>
      <c r="M72" s="179">
        <v>0</v>
      </c>
      <c r="N72" s="80">
        <f t="shared" si="27"/>
        <v>0</v>
      </c>
      <c r="O72" s="179">
        <v>0</v>
      </c>
      <c r="P72" s="80">
        <f t="shared" si="28"/>
        <v>0</v>
      </c>
      <c r="Q72" s="179">
        <v>0</v>
      </c>
      <c r="R72" s="80">
        <f t="shared" si="29"/>
        <v>0</v>
      </c>
      <c r="S72" s="179">
        <v>0</v>
      </c>
      <c r="T72" s="80">
        <f t="shared" si="30"/>
        <v>0</v>
      </c>
      <c r="U72" s="179">
        <v>0</v>
      </c>
      <c r="V72" s="80">
        <f t="shared" si="31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2"/>
        <v>0</v>
      </c>
      <c r="E73" s="179">
        <v>0</v>
      </c>
      <c r="F73" s="80">
        <f t="shared" si="23"/>
        <v>0</v>
      </c>
      <c r="G73" s="179">
        <v>0</v>
      </c>
      <c r="H73" s="80">
        <f t="shared" si="24"/>
        <v>0</v>
      </c>
      <c r="I73" s="179">
        <v>0</v>
      </c>
      <c r="J73" s="80">
        <f t="shared" si="25"/>
        <v>0</v>
      </c>
      <c r="K73" s="179">
        <v>0</v>
      </c>
      <c r="L73" s="80">
        <f t="shared" si="26"/>
        <v>0</v>
      </c>
      <c r="M73" s="179">
        <v>0</v>
      </c>
      <c r="N73" s="80">
        <f t="shared" si="27"/>
        <v>0</v>
      </c>
      <c r="O73" s="179">
        <v>0</v>
      </c>
      <c r="P73" s="80">
        <f t="shared" si="28"/>
        <v>0</v>
      </c>
      <c r="Q73" s="179">
        <v>0</v>
      </c>
      <c r="R73" s="80">
        <f t="shared" si="29"/>
        <v>0</v>
      </c>
      <c r="S73" s="179">
        <v>0</v>
      </c>
      <c r="T73" s="80">
        <f t="shared" si="30"/>
        <v>0</v>
      </c>
      <c r="U73" s="179">
        <v>0</v>
      </c>
      <c r="V73" s="80">
        <f t="shared" si="31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2"/>
        <v>0</v>
      </c>
      <c r="E74" s="179">
        <v>0</v>
      </c>
      <c r="F74" s="80">
        <f t="shared" si="23"/>
        <v>0</v>
      </c>
      <c r="G74" s="179">
        <v>0</v>
      </c>
      <c r="H74" s="80">
        <f t="shared" si="24"/>
        <v>0</v>
      </c>
      <c r="I74" s="179">
        <v>0</v>
      </c>
      <c r="J74" s="80">
        <f t="shared" si="25"/>
        <v>0</v>
      </c>
      <c r="K74" s="179">
        <v>0</v>
      </c>
      <c r="L74" s="80">
        <f t="shared" si="26"/>
        <v>0</v>
      </c>
      <c r="M74" s="179">
        <v>0</v>
      </c>
      <c r="N74" s="80">
        <f t="shared" si="27"/>
        <v>0</v>
      </c>
      <c r="O74" s="179">
        <v>0</v>
      </c>
      <c r="P74" s="80">
        <f t="shared" si="28"/>
        <v>0</v>
      </c>
      <c r="Q74" s="179">
        <v>0</v>
      </c>
      <c r="R74" s="80">
        <f t="shared" si="29"/>
        <v>0</v>
      </c>
      <c r="S74" s="179">
        <v>0</v>
      </c>
      <c r="T74" s="80">
        <f t="shared" si="30"/>
        <v>0</v>
      </c>
      <c r="U74" s="179">
        <v>0</v>
      </c>
      <c r="V74" s="80">
        <f t="shared" si="31"/>
        <v>0</v>
      </c>
      <c r="X74" s="200"/>
    </row>
    <row r="75" spans="1:24" ht="12.75" customHeight="1">
      <c r="A75" s="2" t="s">
        <v>406</v>
      </c>
      <c r="B75" s="35"/>
      <c r="C75" s="179">
        <v>1097.25</v>
      </c>
      <c r="D75" s="80">
        <f t="shared" si="22"/>
        <v>5.0000000000000001E-3</v>
      </c>
      <c r="E75" s="179">
        <v>1205</v>
      </c>
      <c r="F75" s="80">
        <f t="shared" si="23"/>
        <v>5.0000000000000001E-3</v>
      </c>
      <c r="G75" s="179">
        <v>1229.1000000000001</v>
      </c>
      <c r="H75" s="80">
        <f t="shared" si="24"/>
        <v>5.000000000000001E-3</v>
      </c>
      <c r="I75" s="179">
        <v>1253.6820000000002</v>
      </c>
      <c r="J75" s="80">
        <f t="shared" si="25"/>
        <v>5.000000000000001E-3</v>
      </c>
      <c r="K75" s="179">
        <v>1278.7556400000001</v>
      </c>
      <c r="L75" s="80">
        <f t="shared" si="26"/>
        <v>5.0000000000000001E-3</v>
      </c>
      <c r="M75" s="179">
        <v>1304.3307528</v>
      </c>
      <c r="N75" s="80">
        <f t="shared" si="27"/>
        <v>5.0000000000000001E-3</v>
      </c>
      <c r="O75" s="179">
        <v>1330.4173678560003</v>
      </c>
      <c r="P75" s="80">
        <f t="shared" si="28"/>
        <v>5.0000000000000001E-3</v>
      </c>
      <c r="Q75" s="179">
        <v>1357.0257152131198</v>
      </c>
      <c r="R75" s="80">
        <f t="shared" si="29"/>
        <v>4.9999999999999992E-3</v>
      </c>
      <c r="S75" s="179">
        <v>1384.1662295173826</v>
      </c>
      <c r="T75" s="80">
        <f t="shared" si="30"/>
        <v>5.0000000000000001E-3</v>
      </c>
      <c r="U75" s="179">
        <v>1411.8495541077298</v>
      </c>
      <c r="V75" s="80">
        <f t="shared" si="31"/>
        <v>4.9999999999999992E-3</v>
      </c>
      <c r="X75" s="200"/>
    </row>
    <row r="76" spans="1:24" ht="12.75" customHeight="1">
      <c r="A76" s="2" t="s">
        <v>407</v>
      </c>
      <c r="B76" s="35"/>
      <c r="C76" s="179">
        <v>87.780000000000015</v>
      </c>
      <c r="D76" s="80">
        <f t="shared" si="22"/>
        <v>4.0000000000000007E-4</v>
      </c>
      <c r="E76" s="179">
        <v>96.4</v>
      </c>
      <c r="F76" s="80">
        <f t="shared" si="23"/>
        <v>4.0000000000000002E-4</v>
      </c>
      <c r="G76" s="179">
        <v>98.328000000000003</v>
      </c>
      <c r="H76" s="80">
        <f t="shared" si="24"/>
        <v>4.0000000000000002E-4</v>
      </c>
      <c r="I76" s="179">
        <v>100.29456</v>
      </c>
      <c r="J76" s="80">
        <f t="shared" si="25"/>
        <v>4.0000000000000002E-4</v>
      </c>
      <c r="K76" s="179">
        <v>102.30045120000001</v>
      </c>
      <c r="L76" s="80">
        <f t="shared" si="26"/>
        <v>4.0000000000000002E-4</v>
      </c>
      <c r="M76" s="179">
        <v>104.34646022400001</v>
      </c>
      <c r="N76" s="80">
        <f t="shared" si="27"/>
        <v>4.0000000000000002E-4</v>
      </c>
      <c r="O76" s="179">
        <v>106.43338942848003</v>
      </c>
      <c r="P76" s="80">
        <f t="shared" si="28"/>
        <v>4.0000000000000002E-4</v>
      </c>
      <c r="Q76" s="179">
        <v>108.5620572170496</v>
      </c>
      <c r="R76" s="80">
        <f t="shared" si="29"/>
        <v>4.0000000000000002E-4</v>
      </c>
      <c r="S76" s="179">
        <v>110.73329836139061</v>
      </c>
      <c r="T76" s="80">
        <f t="shared" si="30"/>
        <v>4.0000000000000007E-4</v>
      </c>
      <c r="U76" s="179">
        <v>112.9479643286184</v>
      </c>
      <c r="V76" s="80">
        <f t="shared" si="31"/>
        <v>4.0000000000000002E-4</v>
      </c>
      <c r="X76" s="200"/>
    </row>
    <row r="77" spans="1:24" ht="12.75" customHeight="1">
      <c r="A77" s="2" t="s">
        <v>408</v>
      </c>
      <c r="B77" s="35"/>
      <c r="C77" s="179">
        <v>285.28499999999997</v>
      </c>
      <c r="D77" s="80">
        <f t="shared" si="22"/>
        <v>1.2999999999999999E-3</v>
      </c>
      <c r="E77" s="179">
        <v>313.3</v>
      </c>
      <c r="F77" s="80">
        <f t="shared" si="23"/>
        <v>1.2999999999999999E-3</v>
      </c>
      <c r="G77" s="179">
        <v>319.56599999999997</v>
      </c>
      <c r="H77" s="80">
        <f t="shared" si="24"/>
        <v>1.2999999999999999E-3</v>
      </c>
      <c r="I77" s="179">
        <v>325.95731999999998</v>
      </c>
      <c r="J77" s="80">
        <f t="shared" si="25"/>
        <v>1.2999999999999999E-3</v>
      </c>
      <c r="K77" s="179">
        <v>332.47646639999999</v>
      </c>
      <c r="L77" s="80">
        <f t="shared" si="26"/>
        <v>1.2999999999999999E-3</v>
      </c>
      <c r="M77" s="179">
        <v>339.12599572800002</v>
      </c>
      <c r="N77" s="80">
        <f t="shared" si="27"/>
        <v>1.2999999999999999E-3</v>
      </c>
      <c r="O77" s="179">
        <v>345.90851564256002</v>
      </c>
      <c r="P77" s="80">
        <f t="shared" si="28"/>
        <v>1.2999999999999999E-3</v>
      </c>
      <c r="Q77" s="179">
        <v>352.82668595541116</v>
      </c>
      <c r="R77" s="80">
        <f t="shared" si="29"/>
        <v>1.2999999999999999E-3</v>
      </c>
      <c r="S77" s="179">
        <v>359.88321967451947</v>
      </c>
      <c r="T77" s="80">
        <f t="shared" si="30"/>
        <v>1.3000000000000002E-3</v>
      </c>
      <c r="U77" s="179">
        <v>367.08088406800977</v>
      </c>
      <c r="V77" s="80">
        <f t="shared" si="31"/>
        <v>1.2999999999999999E-3</v>
      </c>
      <c r="X77" s="200"/>
    </row>
    <row r="78" spans="1:24" ht="12.75" customHeight="1">
      <c r="A78" s="2" t="s">
        <v>409</v>
      </c>
      <c r="B78" s="35"/>
      <c r="C78" s="179">
        <v>4827.8999999999996</v>
      </c>
      <c r="D78" s="80">
        <f t="shared" si="22"/>
        <v>2.1999999999999999E-2</v>
      </c>
      <c r="E78" s="179">
        <v>5302</v>
      </c>
      <c r="F78" s="80">
        <f t="shared" si="23"/>
        <v>2.1999999999999999E-2</v>
      </c>
      <c r="G78" s="179">
        <v>5408.04</v>
      </c>
      <c r="H78" s="80">
        <f t="shared" si="24"/>
        <v>2.1999999999999999E-2</v>
      </c>
      <c r="I78" s="179">
        <v>5516.2007999999996</v>
      </c>
      <c r="J78" s="80">
        <f t="shared" si="25"/>
        <v>2.1999999999999999E-2</v>
      </c>
      <c r="K78" s="179">
        <v>5626.5248160000001</v>
      </c>
      <c r="L78" s="80">
        <f t="shared" si="26"/>
        <v>2.1999999999999999E-2</v>
      </c>
      <c r="M78" s="179">
        <v>5739.0553123199998</v>
      </c>
      <c r="N78" s="80">
        <f t="shared" si="27"/>
        <v>2.1999999999999999E-2</v>
      </c>
      <c r="O78" s="179">
        <v>5853.8364185664004</v>
      </c>
      <c r="P78" s="80">
        <f t="shared" si="28"/>
        <v>2.1999999999999999E-2</v>
      </c>
      <c r="Q78" s="179">
        <v>5970.9131469377271</v>
      </c>
      <c r="R78" s="80">
        <f t="shared" si="29"/>
        <v>2.1999999999999995E-2</v>
      </c>
      <c r="S78" s="179">
        <v>6090.3314098764822</v>
      </c>
      <c r="T78" s="80">
        <f t="shared" si="30"/>
        <v>2.1999999999999999E-2</v>
      </c>
      <c r="U78" s="179">
        <v>6212.1380380740111</v>
      </c>
      <c r="V78" s="80">
        <f t="shared" si="31"/>
        <v>2.1999999999999999E-2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2"/>
        <v>0</v>
      </c>
      <c r="E79" s="179">
        <v>0</v>
      </c>
      <c r="F79" s="80">
        <f t="shared" si="23"/>
        <v>0</v>
      </c>
      <c r="G79" s="179">
        <v>0</v>
      </c>
      <c r="H79" s="80">
        <f t="shared" si="24"/>
        <v>0</v>
      </c>
      <c r="I79" s="179">
        <v>0</v>
      </c>
      <c r="J79" s="80">
        <f t="shared" si="25"/>
        <v>0</v>
      </c>
      <c r="K79" s="179">
        <v>0</v>
      </c>
      <c r="L79" s="80">
        <f t="shared" si="26"/>
        <v>0</v>
      </c>
      <c r="M79" s="179">
        <v>0</v>
      </c>
      <c r="N79" s="80">
        <f t="shared" si="27"/>
        <v>0</v>
      </c>
      <c r="O79" s="179">
        <v>0</v>
      </c>
      <c r="P79" s="80">
        <f t="shared" si="28"/>
        <v>0</v>
      </c>
      <c r="Q79" s="179">
        <v>0</v>
      </c>
      <c r="R79" s="80">
        <f t="shared" si="29"/>
        <v>0</v>
      </c>
      <c r="S79" s="179">
        <v>0</v>
      </c>
      <c r="T79" s="80">
        <f t="shared" si="30"/>
        <v>0</v>
      </c>
      <c r="U79" s="179">
        <v>0</v>
      </c>
      <c r="V79" s="80">
        <f t="shared" si="31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2"/>
        <v>0</v>
      </c>
      <c r="E80" s="179">
        <v>0</v>
      </c>
      <c r="F80" s="80">
        <f t="shared" si="23"/>
        <v>0</v>
      </c>
      <c r="G80" s="179">
        <v>0</v>
      </c>
      <c r="H80" s="80">
        <f t="shared" si="24"/>
        <v>0</v>
      </c>
      <c r="I80" s="179">
        <v>0</v>
      </c>
      <c r="J80" s="80">
        <f t="shared" si="25"/>
        <v>0</v>
      </c>
      <c r="K80" s="179">
        <v>0</v>
      </c>
      <c r="L80" s="80">
        <f t="shared" si="26"/>
        <v>0</v>
      </c>
      <c r="M80" s="179">
        <v>0</v>
      </c>
      <c r="N80" s="80">
        <f t="shared" si="27"/>
        <v>0</v>
      </c>
      <c r="O80" s="179">
        <v>0</v>
      </c>
      <c r="P80" s="80">
        <f t="shared" si="28"/>
        <v>0</v>
      </c>
      <c r="Q80" s="179">
        <v>0</v>
      </c>
      <c r="R80" s="80">
        <f t="shared" si="29"/>
        <v>0</v>
      </c>
      <c r="S80" s="179">
        <v>0</v>
      </c>
      <c r="T80" s="80">
        <f t="shared" si="30"/>
        <v>0</v>
      </c>
      <c r="U80" s="179">
        <v>0</v>
      </c>
      <c r="V80" s="80">
        <f t="shared" si="31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2"/>
        <v>0</v>
      </c>
      <c r="E81" s="179">
        <v>0</v>
      </c>
      <c r="F81" s="80">
        <f t="shared" si="23"/>
        <v>0</v>
      </c>
      <c r="G81" s="179">
        <v>0</v>
      </c>
      <c r="H81" s="80">
        <f t="shared" si="24"/>
        <v>0</v>
      </c>
      <c r="I81" s="179">
        <v>0</v>
      </c>
      <c r="J81" s="80">
        <f t="shared" si="25"/>
        <v>0</v>
      </c>
      <c r="K81" s="179">
        <v>0</v>
      </c>
      <c r="L81" s="80">
        <f t="shared" si="26"/>
        <v>0</v>
      </c>
      <c r="M81" s="179">
        <v>0</v>
      </c>
      <c r="N81" s="80">
        <f t="shared" si="27"/>
        <v>0</v>
      </c>
      <c r="O81" s="179">
        <v>0</v>
      </c>
      <c r="P81" s="80">
        <f t="shared" si="28"/>
        <v>0</v>
      </c>
      <c r="Q81" s="179">
        <v>0</v>
      </c>
      <c r="R81" s="80">
        <f t="shared" si="29"/>
        <v>0</v>
      </c>
      <c r="S81" s="179">
        <v>0</v>
      </c>
      <c r="T81" s="80">
        <f t="shared" si="30"/>
        <v>0</v>
      </c>
      <c r="U81" s="179">
        <v>0</v>
      </c>
      <c r="V81" s="80">
        <f t="shared" si="31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2"/>
        <v>0</v>
      </c>
      <c r="E82" s="179">
        <v>0</v>
      </c>
      <c r="F82" s="80">
        <f t="shared" si="23"/>
        <v>0</v>
      </c>
      <c r="G82" s="179">
        <v>0</v>
      </c>
      <c r="H82" s="80">
        <f t="shared" si="24"/>
        <v>0</v>
      </c>
      <c r="I82" s="179">
        <v>0</v>
      </c>
      <c r="J82" s="80">
        <f t="shared" si="25"/>
        <v>0</v>
      </c>
      <c r="K82" s="179">
        <v>0</v>
      </c>
      <c r="L82" s="80">
        <f t="shared" si="26"/>
        <v>0</v>
      </c>
      <c r="M82" s="179">
        <v>0</v>
      </c>
      <c r="N82" s="80">
        <f t="shared" si="27"/>
        <v>0</v>
      </c>
      <c r="O82" s="179">
        <v>0</v>
      </c>
      <c r="P82" s="80">
        <f t="shared" si="28"/>
        <v>0</v>
      </c>
      <c r="Q82" s="179">
        <v>0</v>
      </c>
      <c r="R82" s="80">
        <f t="shared" si="29"/>
        <v>0</v>
      </c>
      <c r="S82" s="179">
        <v>0</v>
      </c>
      <c r="T82" s="80">
        <f t="shared" si="30"/>
        <v>0</v>
      </c>
      <c r="U82" s="179">
        <v>0</v>
      </c>
      <c r="V82" s="80">
        <f t="shared" si="31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2"/>
        <v>0</v>
      </c>
      <c r="E83" s="179">
        <v>0</v>
      </c>
      <c r="F83" s="80">
        <f t="shared" si="23"/>
        <v>0</v>
      </c>
      <c r="G83" s="179">
        <v>0</v>
      </c>
      <c r="H83" s="80">
        <f t="shared" si="24"/>
        <v>0</v>
      </c>
      <c r="I83" s="179">
        <v>0</v>
      </c>
      <c r="J83" s="80">
        <f t="shared" si="25"/>
        <v>0</v>
      </c>
      <c r="K83" s="179">
        <v>0</v>
      </c>
      <c r="L83" s="80">
        <f t="shared" si="26"/>
        <v>0</v>
      </c>
      <c r="M83" s="179">
        <v>0</v>
      </c>
      <c r="N83" s="80">
        <f t="shared" si="27"/>
        <v>0</v>
      </c>
      <c r="O83" s="179">
        <v>0</v>
      </c>
      <c r="P83" s="80">
        <f t="shared" si="28"/>
        <v>0</v>
      </c>
      <c r="Q83" s="179">
        <v>0</v>
      </c>
      <c r="R83" s="80">
        <f t="shared" si="29"/>
        <v>0</v>
      </c>
      <c r="S83" s="179">
        <v>0</v>
      </c>
      <c r="T83" s="80">
        <f t="shared" si="30"/>
        <v>0</v>
      </c>
      <c r="U83" s="179">
        <v>0</v>
      </c>
      <c r="V83" s="80">
        <f t="shared" si="31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ref="D84:D105" si="32">IFERROR(C84/C$28,0)</f>
        <v>0</v>
      </c>
      <c r="E84" s="179">
        <v>0</v>
      </c>
      <c r="F84" s="80">
        <f t="shared" si="23"/>
        <v>0</v>
      </c>
      <c r="G84" s="179">
        <v>0</v>
      </c>
      <c r="H84" s="80">
        <f t="shared" si="24"/>
        <v>0</v>
      </c>
      <c r="I84" s="179">
        <v>0</v>
      </c>
      <c r="J84" s="80">
        <f t="shared" si="25"/>
        <v>0</v>
      </c>
      <c r="K84" s="179">
        <v>0</v>
      </c>
      <c r="L84" s="80">
        <f t="shared" si="26"/>
        <v>0</v>
      </c>
      <c r="M84" s="179">
        <v>0</v>
      </c>
      <c r="N84" s="80">
        <f t="shared" si="27"/>
        <v>0</v>
      </c>
      <c r="O84" s="179">
        <v>0</v>
      </c>
      <c r="P84" s="80">
        <f t="shared" si="28"/>
        <v>0</v>
      </c>
      <c r="Q84" s="179">
        <v>0</v>
      </c>
      <c r="R84" s="80">
        <f t="shared" si="29"/>
        <v>0</v>
      </c>
      <c r="S84" s="179">
        <v>0</v>
      </c>
      <c r="T84" s="80">
        <f t="shared" si="30"/>
        <v>0</v>
      </c>
      <c r="U84" s="179">
        <v>0</v>
      </c>
      <c r="V84" s="80">
        <f t="shared" si="31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32"/>
        <v>0</v>
      </c>
      <c r="E85" s="179">
        <v>0</v>
      </c>
      <c r="F85" s="80">
        <f t="shared" si="23"/>
        <v>0</v>
      </c>
      <c r="G85" s="179">
        <v>0</v>
      </c>
      <c r="H85" s="80">
        <f t="shared" si="24"/>
        <v>0</v>
      </c>
      <c r="I85" s="179">
        <v>0</v>
      </c>
      <c r="J85" s="80">
        <f t="shared" si="25"/>
        <v>0</v>
      </c>
      <c r="K85" s="179">
        <v>0</v>
      </c>
      <c r="L85" s="80">
        <f t="shared" si="26"/>
        <v>0</v>
      </c>
      <c r="M85" s="179">
        <v>0</v>
      </c>
      <c r="N85" s="80">
        <f t="shared" si="27"/>
        <v>0</v>
      </c>
      <c r="O85" s="179">
        <v>0</v>
      </c>
      <c r="P85" s="80">
        <f t="shared" si="28"/>
        <v>0</v>
      </c>
      <c r="Q85" s="179">
        <v>0</v>
      </c>
      <c r="R85" s="80">
        <f t="shared" si="29"/>
        <v>0</v>
      </c>
      <c r="S85" s="179">
        <v>0</v>
      </c>
      <c r="T85" s="80">
        <f t="shared" si="30"/>
        <v>0</v>
      </c>
      <c r="U85" s="179">
        <v>0</v>
      </c>
      <c r="V85" s="80">
        <f t="shared" si="31"/>
        <v>0</v>
      </c>
      <c r="X85" s="200"/>
    </row>
    <row r="86" spans="1:24" ht="12.75" customHeight="1">
      <c r="A86" s="2" t="s">
        <v>417</v>
      </c>
      <c r="B86" s="35"/>
      <c r="C86" s="179">
        <v>877.8</v>
      </c>
      <c r="D86" s="80">
        <f t="shared" si="32"/>
        <v>4.0000000000000001E-3</v>
      </c>
      <c r="E86" s="179">
        <v>964.00000000000011</v>
      </c>
      <c r="F86" s="80">
        <f t="shared" si="23"/>
        <v>4.0000000000000001E-3</v>
      </c>
      <c r="G86" s="179">
        <v>983.2800000000002</v>
      </c>
      <c r="H86" s="80">
        <f t="shared" si="24"/>
        <v>4.000000000000001E-3</v>
      </c>
      <c r="I86" s="179">
        <v>1002.9456000000001</v>
      </c>
      <c r="J86" s="80">
        <f t="shared" si="25"/>
        <v>4.000000000000001E-3</v>
      </c>
      <c r="K86" s="179">
        <v>1023.0045120000001</v>
      </c>
      <c r="L86" s="80">
        <f t="shared" si="26"/>
        <v>4.0000000000000001E-3</v>
      </c>
      <c r="M86" s="179">
        <v>1043.46460224</v>
      </c>
      <c r="N86" s="80">
        <f t="shared" si="27"/>
        <v>4.0000000000000001E-3</v>
      </c>
      <c r="O86" s="179">
        <v>1064.3338942848002</v>
      </c>
      <c r="P86" s="80">
        <f t="shared" si="28"/>
        <v>4.0000000000000001E-3</v>
      </c>
      <c r="Q86" s="179">
        <v>1085.620572170496</v>
      </c>
      <c r="R86" s="80">
        <f t="shared" si="29"/>
        <v>4.0000000000000001E-3</v>
      </c>
      <c r="S86" s="179">
        <v>1107.332983613906</v>
      </c>
      <c r="T86" s="80">
        <f t="shared" si="30"/>
        <v>4.0000000000000001E-3</v>
      </c>
      <c r="U86" s="179">
        <v>1129.479643286184</v>
      </c>
      <c r="V86" s="80">
        <f t="shared" si="31"/>
        <v>4.0000000000000001E-3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32"/>
        <v>0</v>
      </c>
      <c r="E87" s="179">
        <v>0</v>
      </c>
      <c r="F87" s="80">
        <f t="shared" si="23"/>
        <v>0</v>
      </c>
      <c r="G87" s="179">
        <v>0</v>
      </c>
      <c r="H87" s="80">
        <f t="shared" si="24"/>
        <v>0</v>
      </c>
      <c r="I87" s="179">
        <v>0</v>
      </c>
      <c r="J87" s="80">
        <f t="shared" si="25"/>
        <v>0</v>
      </c>
      <c r="K87" s="179">
        <v>0</v>
      </c>
      <c r="L87" s="80">
        <f t="shared" si="26"/>
        <v>0</v>
      </c>
      <c r="M87" s="179">
        <v>0</v>
      </c>
      <c r="N87" s="80">
        <f t="shared" si="27"/>
        <v>0</v>
      </c>
      <c r="O87" s="179">
        <v>0</v>
      </c>
      <c r="P87" s="80">
        <f t="shared" si="28"/>
        <v>0</v>
      </c>
      <c r="Q87" s="179">
        <v>0</v>
      </c>
      <c r="R87" s="80">
        <f t="shared" si="29"/>
        <v>0</v>
      </c>
      <c r="S87" s="179">
        <v>0</v>
      </c>
      <c r="T87" s="80">
        <f t="shared" si="30"/>
        <v>0</v>
      </c>
      <c r="U87" s="179">
        <v>0</v>
      </c>
      <c r="V87" s="80">
        <f t="shared" si="31"/>
        <v>0</v>
      </c>
      <c r="X87" s="200"/>
    </row>
    <row r="88" spans="1:24" ht="12.75" customHeight="1">
      <c r="A88" s="2" t="s">
        <v>419</v>
      </c>
      <c r="B88" s="35"/>
      <c r="C88" s="179">
        <v>1119.1950000000002</v>
      </c>
      <c r="D88" s="80">
        <f t="shared" si="32"/>
        <v>5.1000000000000004E-3</v>
      </c>
      <c r="E88" s="179">
        <v>1229.1000000000001</v>
      </c>
      <c r="F88" s="80">
        <f t="shared" si="23"/>
        <v>5.1000000000000004E-3</v>
      </c>
      <c r="G88" s="179">
        <v>1253.6820000000002</v>
      </c>
      <c r="H88" s="80">
        <f t="shared" si="24"/>
        <v>5.1000000000000012E-3</v>
      </c>
      <c r="I88" s="179">
        <v>1278.7556400000003</v>
      </c>
      <c r="J88" s="80">
        <f t="shared" si="25"/>
        <v>5.1000000000000012E-3</v>
      </c>
      <c r="K88" s="179">
        <v>1304.3307528000003</v>
      </c>
      <c r="L88" s="80">
        <f t="shared" si="26"/>
        <v>5.1000000000000004E-3</v>
      </c>
      <c r="M88" s="179">
        <v>1330.4173678560003</v>
      </c>
      <c r="N88" s="80">
        <f t="shared" si="27"/>
        <v>5.1000000000000012E-3</v>
      </c>
      <c r="O88" s="179">
        <v>1357.0257152131203</v>
      </c>
      <c r="P88" s="80">
        <f t="shared" si="28"/>
        <v>5.1000000000000004E-3</v>
      </c>
      <c r="Q88" s="179">
        <v>1384.1662295173824</v>
      </c>
      <c r="R88" s="80">
        <f t="shared" si="29"/>
        <v>5.0999999999999995E-3</v>
      </c>
      <c r="S88" s="179">
        <v>1411.8495541077305</v>
      </c>
      <c r="T88" s="80">
        <f t="shared" si="30"/>
        <v>5.1000000000000012E-3</v>
      </c>
      <c r="U88" s="179">
        <v>1440.0865451898846</v>
      </c>
      <c r="V88" s="80">
        <f t="shared" si="31"/>
        <v>5.1000000000000004E-3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32"/>
        <v>0</v>
      </c>
      <c r="E89" s="179">
        <v>0</v>
      </c>
      <c r="F89" s="80">
        <f t="shared" si="23"/>
        <v>0</v>
      </c>
      <c r="G89" s="179">
        <v>0</v>
      </c>
      <c r="H89" s="80">
        <f t="shared" si="24"/>
        <v>0</v>
      </c>
      <c r="I89" s="179">
        <v>0</v>
      </c>
      <c r="J89" s="80">
        <f t="shared" si="25"/>
        <v>0</v>
      </c>
      <c r="K89" s="179">
        <v>0</v>
      </c>
      <c r="L89" s="80">
        <f t="shared" si="26"/>
        <v>0</v>
      </c>
      <c r="M89" s="179">
        <v>0</v>
      </c>
      <c r="N89" s="80">
        <f t="shared" si="27"/>
        <v>0</v>
      </c>
      <c r="O89" s="179">
        <v>0</v>
      </c>
      <c r="P89" s="80">
        <f t="shared" si="28"/>
        <v>0</v>
      </c>
      <c r="Q89" s="179">
        <v>0</v>
      </c>
      <c r="R89" s="80">
        <f t="shared" si="29"/>
        <v>0</v>
      </c>
      <c r="S89" s="179">
        <v>0</v>
      </c>
      <c r="T89" s="80">
        <f t="shared" si="30"/>
        <v>0</v>
      </c>
      <c r="U89" s="179">
        <v>0</v>
      </c>
      <c r="V89" s="80">
        <f t="shared" si="31"/>
        <v>0</v>
      </c>
      <c r="X89" s="200"/>
    </row>
    <row r="90" spans="1:24" ht="12.75" customHeight="1">
      <c r="A90" s="2" t="s">
        <v>421</v>
      </c>
      <c r="B90" s="35"/>
      <c r="C90" s="179">
        <v>43.890000000000008</v>
      </c>
      <c r="D90" s="80">
        <f t="shared" si="32"/>
        <v>2.0000000000000004E-4</v>
      </c>
      <c r="E90" s="179">
        <v>48.2</v>
      </c>
      <c r="F90" s="80">
        <f t="shared" si="23"/>
        <v>2.0000000000000001E-4</v>
      </c>
      <c r="G90" s="179">
        <v>49.164000000000001</v>
      </c>
      <c r="H90" s="80">
        <f t="shared" si="24"/>
        <v>2.0000000000000001E-4</v>
      </c>
      <c r="I90" s="179">
        <v>50.147280000000002</v>
      </c>
      <c r="J90" s="80">
        <f t="shared" si="25"/>
        <v>2.0000000000000001E-4</v>
      </c>
      <c r="K90" s="179">
        <v>51.150225600000006</v>
      </c>
      <c r="L90" s="80">
        <f t="shared" si="26"/>
        <v>2.0000000000000001E-4</v>
      </c>
      <c r="M90" s="179">
        <v>52.173230112000006</v>
      </c>
      <c r="N90" s="80">
        <f t="shared" si="27"/>
        <v>2.0000000000000001E-4</v>
      </c>
      <c r="O90" s="179">
        <v>53.216694714240013</v>
      </c>
      <c r="P90" s="80">
        <f t="shared" si="28"/>
        <v>2.0000000000000001E-4</v>
      </c>
      <c r="Q90" s="179">
        <v>54.281028608524799</v>
      </c>
      <c r="R90" s="80">
        <f t="shared" si="29"/>
        <v>2.0000000000000001E-4</v>
      </c>
      <c r="S90" s="179">
        <v>55.366649180695305</v>
      </c>
      <c r="T90" s="80">
        <f t="shared" si="30"/>
        <v>2.0000000000000004E-4</v>
      </c>
      <c r="U90" s="179">
        <v>56.473982164309199</v>
      </c>
      <c r="V90" s="80">
        <f t="shared" si="31"/>
        <v>2.0000000000000001E-4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32"/>
        <v>0</v>
      </c>
      <c r="E91" s="179">
        <v>0</v>
      </c>
      <c r="F91" s="80">
        <f t="shared" si="23"/>
        <v>0</v>
      </c>
      <c r="G91" s="179">
        <v>0</v>
      </c>
      <c r="H91" s="80">
        <f t="shared" si="24"/>
        <v>0</v>
      </c>
      <c r="I91" s="179">
        <v>0</v>
      </c>
      <c r="J91" s="80">
        <f t="shared" si="25"/>
        <v>0</v>
      </c>
      <c r="K91" s="179">
        <v>0</v>
      </c>
      <c r="L91" s="80">
        <f t="shared" si="26"/>
        <v>0</v>
      </c>
      <c r="M91" s="179">
        <v>0</v>
      </c>
      <c r="N91" s="80">
        <f t="shared" si="27"/>
        <v>0</v>
      </c>
      <c r="O91" s="179">
        <v>0</v>
      </c>
      <c r="P91" s="80">
        <f t="shared" si="28"/>
        <v>0</v>
      </c>
      <c r="Q91" s="179">
        <v>0</v>
      </c>
      <c r="R91" s="80">
        <f t="shared" si="29"/>
        <v>0</v>
      </c>
      <c r="S91" s="179">
        <v>0</v>
      </c>
      <c r="T91" s="80">
        <f t="shared" si="30"/>
        <v>0</v>
      </c>
      <c r="U91" s="179">
        <v>0</v>
      </c>
      <c r="V91" s="80">
        <f t="shared" si="31"/>
        <v>0</v>
      </c>
      <c r="X91" s="200"/>
    </row>
    <row r="92" spans="1:24" ht="12.75" customHeight="1">
      <c r="A92" s="2" t="s">
        <v>423</v>
      </c>
      <c r="B92" s="35"/>
      <c r="C92" s="179">
        <v>1141.1399999999999</v>
      </c>
      <c r="D92" s="80">
        <f t="shared" si="32"/>
        <v>5.1999999999999998E-3</v>
      </c>
      <c r="E92" s="179">
        <v>1253.2</v>
      </c>
      <c r="F92" s="80">
        <f t="shared" si="23"/>
        <v>5.1999999999999998E-3</v>
      </c>
      <c r="G92" s="179">
        <v>1278.2639999999999</v>
      </c>
      <c r="H92" s="80">
        <f t="shared" si="24"/>
        <v>5.1999999999999998E-3</v>
      </c>
      <c r="I92" s="179">
        <v>1303.8292799999999</v>
      </c>
      <c r="J92" s="80">
        <f t="shared" si="25"/>
        <v>5.1999999999999998E-3</v>
      </c>
      <c r="K92" s="179">
        <v>1329.9058656</v>
      </c>
      <c r="L92" s="80">
        <f t="shared" si="26"/>
        <v>5.1999999999999998E-3</v>
      </c>
      <c r="M92" s="179">
        <v>1356.5039829120001</v>
      </c>
      <c r="N92" s="80">
        <f t="shared" si="27"/>
        <v>5.1999999999999998E-3</v>
      </c>
      <c r="O92" s="179">
        <v>1383.6340625702401</v>
      </c>
      <c r="P92" s="80">
        <f t="shared" si="28"/>
        <v>5.1999999999999998E-3</v>
      </c>
      <c r="Q92" s="179">
        <v>1411.3067438216447</v>
      </c>
      <c r="R92" s="80">
        <f t="shared" si="29"/>
        <v>5.1999999999999998E-3</v>
      </c>
      <c r="S92" s="179">
        <v>1439.5328786980779</v>
      </c>
      <c r="T92" s="80">
        <f t="shared" si="30"/>
        <v>5.2000000000000006E-3</v>
      </c>
      <c r="U92" s="179">
        <v>1468.3235362720391</v>
      </c>
      <c r="V92" s="80">
        <f t="shared" si="31"/>
        <v>5.1999999999999998E-3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32"/>
        <v>0</v>
      </c>
      <c r="E93" s="179">
        <v>0</v>
      </c>
      <c r="F93" s="80">
        <f t="shared" si="23"/>
        <v>0</v>
      </c>
      <c r="G93" s="179">
        <v>0</v>
      </c>
      <c r="H93" s="80">
        <f t="shared" si="24"/>
        <v>0</v>
      </c>
      <c r="I93" s="179">
        <v>0</v>
      </c>
      <c r="J93" s="80">
        <f t="shared" si="25"/>
        <v>0</v>
      </c>
      <c r="K93" s="179">
        <v>0</v>
      </c>
      <c r="L93" s="80">
        <f t="shared" si="26"/>
        <v>0</v>
      </c>
      <c r="M93" s="179">
        <v>0</v>
      </c>
      <c r="N93" s="80">
        <f t="shared" si="27"/>
        <v>0</v>
      </c>
      <c r="O93" s="179">
        <v>0</v>
      </c>
      <c r="P93" s="80">
        <f t="shared" si="28"/>
        <v>0</v>
      </c>
      <c r="Q93" s="179">
        <v>0</v>
      </c>
      <c r="R93" s="80">
        <f t="shared" si="29"/>
        <v>0</v>
      </c>
      <c r="S93" s="179">
        <v>0</v>
      </c>
      <c r="T93" s="80">
        <f t="shared" si="30"/>
        <v>0</v>
      </c>
      <c r="U93" s="179">
        <v>0</v>
      </c>
      <c r="V93" s="80">
        <f t="shared" si="31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32"/>
        <v>0</v>
      </c>
      <c r="E94" s="179">
        <v>0</v>
      </c>
      <c r="F94" s="80">
        <f t="shared" si="23"/>
        <v>0</v>
      </c>
      <c r="G94" s="179">
        <v>0</v>
      </c>
      <c r="H94" s="80">
        <f t="shared" si="24"/>
        <v>0</v>
      </c>
      <c r="I94" s="179">
        <v>0</v>
      </c>
      <c r="J94" s="80">
        <f t="shared" si="25"/>
        <v>0</v>
      </c>
      <c r="K94" s="179">
        <v>0</v>
      </c>
      <c r="L94" s="80">
        <f t="shared" si="26"/>
        <v>0</v>
      </c>
      <c r="M94" s="179">
        <v>0</v>
      </c>
      <c r="N94" s="80">
        <f t="shared" si="27"/>
        <v>0</v>
      </c>
      <c r="O94" s="179">
        <v>0</v>
      </c>
      <c r="P94" s="80">
        <f t="shared" si="28"/>
        <v>0</v>
      </c>
      <c r="Q94" s="179">
        <v>0</v>
      </c>
      <c r="R94" s="80">
        <f t="shared" si="29"/>
        <v>0</v>
      </c>
      <c r="S94" s="179">
        <v>0</v>
      </c>
      <c r="T94" s="80">
        <f t="shared" si="30"/>
        <v>0</v>
      </c>
      <c r="U94" s="179">
        <v>0</v>
      </c>
      <c r="V94" s="80">
        <f t="shared" si="31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32"/>
        <v>0</v>
      </c>
      <c r="E95" s="179">
        <v>0</v>
      </c>
      <c r="F95" s="80">
        <f t="shared" si="23"/>
        <v>0</v>
      </c>
      <c r="G95" s="179">
        <v>0</v>
      </c>
      <c r="H95" s="80">
        <f t="shared" si="24"/>
        <v>0</v>
      </c>
      <c r="I95" s="179">
        <v>0</v>
      </c>
      <c r="J95" s="80">
        <f t="shared" si="25"/>
        <v>0</v>
      </c>
      <c r="K95" s="179">
        <v>0</v>
      </c>
      <c r="L95" s="80">
        <f t="shared" si="26"/>
        <v>0</v>
      </c>
      <c r="M95" s="179">
        <v>0</v>
      </c>
      <c r="N95" s="80">
        <f t="shared" si="27"/>
        <v>0</v>
      </c>
      <c r="O95" s="179">
        <v>0</v>
      </c>
      <c r="P95" s="80">
        <f t="shared" si="28"/>
        <v>0</v>
      </c>
      <c r="Q95" s="179">
        <v>0</v>
      </c>
      <c r="R95" s="80">
        <f t="shared" si="29"/>
        <v>0</v>
      </c>
      <c r="S95" s="179">
        <v>0</v>
      </c>
      <c r="T95" s="80">
        <f t="shared" si="30"/>
        <v>0</v>
      </c>
      <c r="U95" s="179">
        <v>0</v>
      </c>
      <c r="V95" s="80">
        <f t="shared" si="31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32"/>
        <v>0</v>
      </c>
      <c r="E96" s="179">
        <v>0</v>
      </c>
      <c r="F96" s="80">
        <f t="shared" si="23"/>
        <v>0</v>
      </c>
      <c r="G96" s="179">
        <v>0</v>
      </c>
      <c r="H96" s="80">
        <f t="shared" si="24"/>
        <v>0</v>
      </c>
      <c r="I96" s="179">
        <v>0</v>
      </c>
      <c r="J96" s="80">
        <f t="shared" si="25"/>
        <v>0</v>
      </c>
      <c r="K96" s="179">
        <v>0</v>
      </c>
      <c r="L96" s="80">
        <f t="shared" si="26"/>
        <v>0</v>
      </c>
      <c r="M96" s="179">
        <v>0</v>
      </c>
      <c r="N96" s="80">
        <f t="shared" si="27"/>
        <v>0</v>
      </c>
      <c r="O96" s="179">
        <v>0</v>
      </c>
      <c r="P96" s="80">
        <f t="shared" si="28"/>
        <v>0</v>
      </c>
      <c r="Q96" s="179">
        <v>0</v>
      </c>
      <c r="R96" s="80">
        <f t="shared" si="29"/>
        <v>0</v>
      </c>
      <c r="S96" s="179">
        <v>0</v>
      </c>
      <c r="T96" s="80">
        <f t="shared" si="30"/>
        <v>0</v>
      </c>
      <c r="U96" s="179">
        <v>0</v>
      </c>
      <c r="V96" s="80">
        <f t="shared" si="31"/>
        <v>0</v>
      </c>
      <c r="X96" s="200"/>
    </row>
    <row r="97" spans="1:24" ht="12.75" customHeight="1">
      <c r="A97" s="2" t="s">
        <v>428</v>
      </c>
      <c r="B97" s="35"/>
      <c r="C97" s="179">
        <v>1188.4360999999999</v>
      </c>
      <c r="D97" s="80">
        <f t="shared" si="32"/>
        <v>5.415521075415812E-3</v>
      </c>
      <c r="E97" s="179">
        <v>1321.5409432000001</v>
      </c>
      <c r="F97" s="80">
        <f t="shared" si="23"/>
        <v>5.4835723784232371E-3</v>
      </c>
      <c r="G97" s="179">
        <v>1367.7948762120002</v>
      </c>
      <c r="H97" s="80">
        <f t="shared" si="24"/>
        <v>5.5642131486941674E-3</v>
      </c>
      <c r="I97" s="179">
        <v>1411.564312250784</v>
      </c>
      <c r="J97" s="80">
        <f t="shared" si="25"/>
        <v>5.6296744798552747E-3</v>
      </c>
      <c r="K97" s="179">
        <v>1446.8534200570537</v>
      </c>
      <c r="L97" s="80">
        <f t="shared" si="26"/>
        <v>5.6572709233839759E-3</v>
      </c>
      <c r="M97" s="179">
        <v>1483.0247555584797</v>
      </c>
      <c r="N97" s="80">
        <f t="shared" si="27"/>
        <v>5.6850026435966419E-3</v>
      </c>
      <c r="O97" s="179">
        <v>1520.1003744474417</v>
      </c>
      <c r="P97" s="80">
        <f t="shared" si="28"/>
        <v>5.7128703036142718E-3</v>
      </c>
      <c r="Q97" s="179">
        <v>1558.1028838086274</v>
      </c>
      <c r="R97" s="80">
        <f t="shared" si="29"/>
        <v>5.7408745698084591E-3</v>
      </c>
      <c r="S97" s="179">
        <v>1597.0554559038428</v>
      </c>
      <c r="T97" s="80">
        <f t="shared" si="30"/>
        <v>5.7690161118173228E-3</v>
      </c>
      <c r="U97" s="179">
        <v>1636.981842301439</v>
      </c>
      <c r="V97" s="80">
        <f t="shared" si="31"/>
        <v>5.7972956025615268E-3</v>
      </c>
      <c r="X97" s="200"/>
    </row>
    <row r="98" spans="1:24" ht="12.75" customHeight="1">
      <c r="A98" s="117" t="s">
        <v>431</v>
      </c>
      <c r="B98" s="35"/>
      <c r="C98" s="179">
        <v>263.33999999999997</v>
      </c>
      <c r="D98" s="80">
        <f t="shared" si="32"/>
        <v>1.1999999999999999E-3</v>
      </c>
      <c r="E98" s="179">
        <v>289.2</v>
      </c>
      <c r="F98" s="80">
        <f t="shared" si="23"/>
        <v>1.1999999999999999E-3</v>
      </c>
      <c r="G98" s="179">
        <v>294.98399999999998</v>
      </c>
      <c r="H98" s="80">
        <f t="shared" si="24"/>
        <v>1.1999999999999999E-3</v>
      </c>
      <c r="I98" s="179">
        <v>300.88367999999997</v>
      </c>
      <c r="J98" s="80">
        <f t="shared" si="25"/>
        <v>1.1999999999999999E-3</v>
      </c>
      <c r="K98" s="179">
        <v>306.90135359999994</v>
      </c>
      <c r="L98" s="80">
        <f t="shared" si="26"/>
        <v>1.1999999999999997E-3</v>
      </c>
      <c r="M98" s="179">
        <v>313.03938067199999</v>
      </c>
      <c r="N98" s="80">
        <f t="shared" si="27"/>
        <v>1.1999999999999999E-3</v>
      </c>
      <c r="O98" s="179">
        <v>319.30016828544001</v>
      </c>
      <c r="P98" s="80">
        <f t="shared" si="28"/>
        <v>1.1999999999999999E-3</v>
      </c>
      <c r="Q98" s="179">
        <v>325.6861716511487</v>
      </c>
      <c r="R98" s="80">
        <f t="shared" si="29"/>
        <v>1.1999999999999997E-3</v>
      </c>
      <c r="S98" s="179">
        <v>332.19989508417183</v>
      </c>
      <c r="T98" s="80">
        <f t="shared" si="30"/>
        <v>1.2000000000000001E-3</v>
      </c>
      <c r="U98" s="179">
        <v>338.84389298585512</v>
      </c>
      <c r="V98" s="80">
        <f t="shared" si="31"/>
        <v>1.1999999999999997E-3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32"/>
        <v>0</v>
      </c>
      <c r="E99" s="179">
        <v>0</v>
      </c>
      <c r="F99" s="80">
        <f t="shared" si="23"/>
        <v>0</v>
      </c>
      <c r="G99" s="179">
        <v>0</v>
      </c>
      <c r="H99" s="80">
        <f t="shared" si="24"/>
        <v>0</v>
      </c>
      <c r="I99" s="179">
        <v>0</v>
      </c>
      <c r="J99" s="80">
        <f t="shared" si="25"/>
        <v>0</v>
      </c>
      <c r="K99" s="179">
        <v>0</v>
      </c>
      <c r="L99" s="80">
        <f t="shared" si="26"/>
        <v>0</v>
      </c>
      <c r="M99" s="179">
        <v>0</v>
      </c>
      <c r="N99" s="80">
        <f t="shared" si="27"/>
        <v>0</v>
      </c>
      <c r="O99" s="179">
        <v>0</v>
      </c>
      <c r="P99" s="80">
        <f t="shared" si="28"/>
        <v>0</v>
      </c>
      <c r="Q99" s="179">
        <v>0</v>
      </c>
      <c r="R99" s="80">
        <f t="shared" si="29"/>
        <v>0</v>
      </c>
      <c r="S99" s="179">
        <v>0</v>
      </c>
      <c r="T99" s="80">
        <f t="shared" si="30"/>
        <v>0</v>
      </c>
      <c r="U99" s="179">
        <v>0</v>
      </c>
      <c r="V99" s="80">
        <f t="shared" si="31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32"/>
        <v>0</v>
      </c>
      <c r="E100" s="179">
        <v>0</v>
      </c>
      <c r="F100" s="80">
        <f t="shared" si="23"/>
        <v>0</v>
      </c>
      <c r="G100" s="179">
        <v>0</v>
      </c>
      <c r="H100" s="80">
        <f t="shared" si="24"/>
        <v>0</v>
      </c>
      <c r="I100" s="179">
        <v>0</v>
      </c>
      <c r="J100" s="80">
        <f t="shared" si="25"/>
        <v>0</v>
      </c>
      <c r="K100" s="179">
        <v>0</v>
      </c>
      <c r="L100" s="80">
        <f t="shared" si="26"/>
        <v>0</v>
      </c>
      <c r="M100" s="179">
        <v>0</v>
      </c>
      <c r="N100" s="80">
        <f t="shared" si="27"/>
        <v>0</v>
      </c>
      <c r="O100" s="179">
        <v>0</v>
      </c>
      <c r="P100" s="80">
        <f t="shared" si="28"/>
        <v>0</v>
      </c>
      <c r="Q100" s="179">
        <v>0</v>
      </c>
      <c r="R100" s="80">
        <f t="shared" si="29"/>
        <v>0</v>
      </c>
      <c r="S100" s="179">
        <v>0</v>
      </c>
      <c r="T100" s="80">
        <f t="shared" si="30"/>
        <v>0</v>
      </c>
      <c r="U100" s="179">
        <v>0</v>
      </c>
      <c r="V100" s="80">
        <f t="shared" si="31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32"/>
        <v>0</v>
      </c>
      <c r="E101" s="179"/>
      <c r="F101" s="80">
        <f t="shared" si="23"/>
        <v>0</v>
      </c>
      <c r="G101" s="179"/>
      <c r="H101" s="80">
        <f t="shared" si="24"/>
        <v>0</v>
      </c>
      <c r="I101" s="179">
        <v>0</v>
      </c>
      <c r="J101" s="80">
        <f t="shared" si="25"/>
        <v>0</v>
      </c>
      <c r="K101" s="179">
        <v>0</v>
      </c>
      <c r="L101" s="80">
        <f t="shared" si="26"/>
        <v>0</v>
      </c>
      <c r="M101" s="179">
        <v>0</v>
      </c>
      <c r="N101" s="80">
        <f t="shared" si="27"/>
        <v>0</v>
      </c>
      <c r="O101" s="179">
        <v>0</v>
      </c>
      <c r="P101" s="80">
        <f t="shared" si="28"/>
        <v>0</v>
      </c>
      <c r="Q101" s="179">
        <v>0</v>
      </c>
      <c r="R101" s="80">
        <f t="shared" si="29"/>
        <v>0</v>
      </c>
      <c r="S101" s="179">
        <v>0</v>
      </c>
      <c r="T101" s="80">
        <f t="shared" si="30"/>
        <v>0</v>
      </c>
      <c r="U101" s="179">
        <v>0</v>
      </c>
      <c r="V101" s="80">
        <f t="shared" si="31"/>
        <v>0</v>
      </c>
      <c r="X101" s="200"/>
    </row>
    <row r="102" spans="1:24" ht="12.75" customHeight="1">
      <c r="A102" s="117" t="s">
        <v>433</v>
      </c>
      <c r="B102" s="35"/>
      <c r="C102" s="179">
        <v>2194.5</v>
      </c>
      <c r="D102" s="80">
        <f t="shared" si="32"/>
        <v>0.01</v>
      </c>
      <c r="E102" s="179">
        <v>2410</v>
      </c>
      <c r="F102" s="80">
        <f t="shared" si="23"/>
        <v>0.01</v>
      </c>
      <c r="G102" s="179">
        <v>2458.2000000000003</v>
      </c>
      <c r="H102" s="80">
        <f t="shared" si="24"/>
        <v>1.0000000000000002E-2</v>
      </c>
      <c r="I102" s="179">
        <v>2507.3640000000005</v>
      </c>
      <c r="J102" s="80">
        <f t="shared" si="25"/>
        <v>1.0000000000000002E-2</v>
      </c>
      <c r="K102" s="179">
        <v>2557.5112800000002</v>
      </c>
      <c r="L102" s="80">
        <f t="shared" si="26"/>
        <v>0.01</v>
      </c>
      <c r="M102" s="179">
        <v>2608.6615056000001</v>
      </c>
      <c r="N102" s="80">
        <f t="shared" si="27"/>
        <v>0.01</v>
      </c>
      <c r="O102" s="179">
        <v>2660.8347357120006</v>
      </c>
      <c r="P102" s="80">
        <f t="shared" si="28"/>
        <v>0.01</v>
      </c>
      <c r="Q102" s="179">
        <v>2714.0514304262397</v>
      </c>
      <c r="R102" s="80">
        <f t="shared" si="29"/>
        <v>9.9999999999999985E-3</v>
      </c>
      <c r="S102" s="179">
        <v>2768.3324590347652</v>
      </c>
      <c r="T102" s="80">
        <f t="shared" si="30"/>
        <v>0.01</v>
      </c>
      <c r="U102" s="179">
        <v>2823.6991082154595</v>
      </c>
      <c r="V102" s="80">
        <f t="shared" si="31"/>
        <v>9.9999999999999985E-3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32"/>
        <v>0</v>
      </c>
      <c r="E103" s="179">
        <v>0</v>
      </c>
      <c r="F103" s="80">
        <f t="shared" si="23"/>
        <v>0</v>
      </c>
      <c r="G103" s="179">
        <v>0</v>
      </c>
      <c r="H103" s="80">
        <f t="shared" si="24"/>
        <v>0</v>
      </c>
      <c r="I103" s="179">
        <v>0</v>
      </c>
      <c r="J103" s="80">
        <f t="shared" si="25"/>
        <v>0</v>
      </c>
      <c r="K103" s="179">
        <v>0</v>
      </c>
      <c r="L103" s="80">
        <f t="shared" si="26"/>
        <v>0</v>
      </c>
      <c r="M103" s="179">
        <v>0</v>
      </c>
      <c r="N103" s="80">
        <f t="shared" si="27"/>
        <v>0</v>
      </c>
      <c r="O103" s="179">
        <v>0</v>
      </c>
      <c r="P103" s="80">
        <f t="shared" si="28"/>
        <v>0</v>
      </c>
      <c r="Q103" s="179">
        <v>0</v>
      </c>
      <c r="R103" s="80">
        <f t="shared" si="29"/>
        <v>0</v>
      </c>
      <c r="S103" s="179">
        <v>0</v>
      </c>
      <c r="T103" s="80">
        <f t="shared" si="30"/>
        <v>0</v>
      </c>
      <c r="U103" s="179">
        <v>0</v>
      </c>
      <c r="V103" s="80">
        <f t="shared" si="31"/>
        <v>0</v>
      </c>
      <c r="X103" s="200"/>
    </row>
    <row r="104" spans="1:24" ht="12.75" customHeight="1">
      <c r="A104" s="117" t="s">
        <v>433</v>
      </c>
      <c r="B104" s="35"/>
      <c r="C104" s="179">
        <v>0</v>
      </c>
      <c r="D104" s="80">
        <f t="shared" si="32"/>
        <v>0</v>
      </c>
      <c r="E104" s="179">
        <v>0</v>
      </c>
      <c r="F104" s="80">
        <f t="shared" si="23"/>
        <v>0</v>
      </c>
      <c r="G104" s="179">
        <v>0</v>
      </c>
      <c r="H104" s="80">
        <f t="shared" si="24"/>
        <v>0</v>
      </c>
      <c r="I104" s="179">
        <v>0</v>
      </c>
      <c r="J104" s="80">
        <f t="shared" si="25"/>
        <v>0</v>
      </c>
      <c r="K104" s="179">
        <v>0</v>
      </c>
      <c r="L104" s="80">
        <f t="shared" si="26"/>
        <v>0</v>
      </c>
      <c r="M104" s="179">
        <v>0</v>
      </c>
      <c r="N104" s="80">
        <f t="shared" si="27"/>
        <v>0</v>
      </c>
      <c r="O104" s="179">
        <v>0</v>
      </c>
      <c r="P104" s="80">
        <f t="shared" si="28"/>
        <v>0</v>
      </c>
      <c r="Q104" s="179">
        <v>0</v>
      </c>
      <c r="R104" s="80">
        <f t="shared" si="29"/>
        <v>0</v>
      </c>
      <c r="S104" s="179">
        <v>0</v>
      </c>
      <c r="T104" s="80">
        <f t="shared" si="30"/>
        <v>0</v>
      </c>
      <c r="U104" s="179">
        <v>0</v>
      </c>
      <c r="V104" s="80">
        <f t="shared" si="31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21867.744081265606</v>
      </c>
      <c r="D105" s="83">
        <f t="shared" si="32"/>
        <v>9.9647956624586947E-2</v>
      </c>
      <c r="E105" s="82">
        <f>SUM(E52:E104)</f>
        <v>22593.965172572702</v>
      </c>
      <c r="F105" s="83">
        <f t="shared" si="23"/>
        <v>9.3750892832251881E-2</v>
      </c>
      <c r="G105" s="82">
        <f>SUM(G52:G104)</f>
        <v>23347.186791533717</v>
      </c>
      <c r="H105" s="83">
        <f t="shared" si="24"/>
        <v>9.4976758569415495E-2</v>
      </c>
      <c r="I105" s="82">
        <f>SUM(I52:I104)</f>
        <v>23811.015393499227</v>
      </c>
      <c r="J105" s="83">
        <f t="shared" si="25"/>
        <v>9.4964334629911037E-2</v>
      </c>
      <c r="K105" s="82">
        <f>SUM(K52:K104)</f>
        <v>24268.30218070203</v>
      </c>
      <c r="L105" s="83">
        <f t="shared" si="26"/>
        <v>9.489030359507164E-2</v>
      </c>
      <c r="M105" s="82">
        <f>SUM(M52:M104)</f>
        <v>24756.119300069131</v>
      </c>
      <c r="N105" s="83">
        <f t="shared" si="27"/>
        <v>9.4899699508446372E-2</v>
      </c>
      <c r="O105" s="82">
        <f>SUM(O52:O104)</f>
        <v>25253.915950299383</v>
      </c>
      <c r="P105" s="83">
        <f t="shared" si="28"/>
        <v>9.4909749979424418E-2</v>
      </c>
      <c r="Q105" s="82">
        <f>SUM(Q52:Q104)</f>
        <v>25761.815987919268</v>
      </c>
      <c r="R105" s="83">
        <f t="shared" si="29"/>
        <v>9.492014668223657E-2</v>
      </c>
      <c r="S105" s="82">
        <f>SUM(S52:S104)</f>
        <v>26279.94769584278</v>
      </c>
      <c r="T105" s="83">
        <f t="shared" si="30"/>
        <v>9.4930605643390883E-2</v>
      </c>
      <c r="U105" s="82">
        <f>SUM(U52:U104)</f>
        <v>26901.790650189345</v>
      </c>
      <c r="V105" s="83">
        <f t="shared" si="31"/>
        <v>9.5271449326592442E-2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51324.939918734388</v>
      </c>
      <c r="D107" s="83">
        <f>IFERROR(C107/C$28,0)</f>
        <v>0.23387988115167185</v>
      </c>
      <c r="E107" s="82">
        <f>E28-E33-E46-E105</f>
        <v>57569.149035427297</v>
      </c>
      <c r="F107" s="83">
        <f>IFERROR(E107/E$28,0)</f>
        <v>0.23887613707646183</v>
      </c>
      <c r="G107" s="82">
        <f>G28-G33-G46-G105</f>
        <v>62589.566413746274</v>
      </c>
      <c r="H107" s="83">
        <f>IFERROR(G107/G$28,0)</f>
        <v>0.25461543574056739</v>
      </c>
      <c r="I107" s="82">
        <f>I28-I33-I46-I105</f>
        <v>63477.377914349723</v>
      </c>
      <c r="J107" s="83">
        <f>IFERROR(I107/I$28,0)</f>
        <v>0.25316379239053333</v>
      </c>
      <c r="K107" s="82">
        <f>K28-K33-K46-K105</f>
        <v>64629.82775984316</v>
      </c>
      <c r="L107" s="83">
        <f>IFERROR(K107/K$28,0)</f>
        <v>0.25270593434036842</v>
      </c>
      <c r="M107" s="82">
        <f>M28-M33-M46-M105</f>
        <v>65779.584224989667</v>
      </c>
      <c r="N107" s="83">
        <f>IFERROR(M107/M$28,0)</f>
        <v>0.25215837349453341</v>
      </c>
      <c r="O107" s="82">
        <f>O28-O33-O46-O105</f>
        <v>66947.645905605925</v>
      </c>
      <c r="P107" s="83">
        <f>IFERROR(O107/O$28,0)</f>
        <v>0.25160392341199544</v>
      </c>
      <c r="Q107" s="82">
        <f>Q28-Q33-Q46-Q105</f>
        <v>68134.342971958045</v>
      </c>
      <c r="R107" s="83">
        <f>IFERROR(Q107/Q$28,0)</f>
        <v>0.25104293237824749</v>
      </c>
      <c r="S107" s="82">
        <f>S28-S33-S46-S105</f>
        <v>69340.007456757376</v>
      </c>
      <c r="T107" s="83">
        <f>IFERROR(S107/S$28,0)</f>
        <v>0.25047572313960503</v>
      </c>
      <c r="U107" s="82">
        <f>U28-U33-U46-U105</f>
        <v>70471.626444326204</v>
      </c>
      <c r="V107" s="83">
        <f>IFERROR(U107/U$28,0)</f>
        <v>0.24957201083958033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33">IFERROR(C111/C$28,0)</f>
        <v>0</v>
      </c>
      <c r="E111" s="79">
        <f>E59</f>
        <v>0</v>
      </c>
      <c r="F111" s="80">
        <f t="shared" ref="F111:F116" si="34">IFERROR(E111/E$28,0)</f>
        <v>0</v>
      </c>
      <c r="G111" s="79">
        <f>G59</f>
        <v>0</v>
      </c>
      <c r="H111" s="80">
        <f t="shared" ref="H111:H116" si="35">IFERROR(G111/G$28,0)</f>
        <v>0</v>
      </c>
      <c r="I111" s="79">
        <f>I59</f>
        <v>0</v>
      </c>
      <c r="J111" s="80">
        <f t="shared" ref="J111:J116" si="36">IFERROR(I111/I$28,0)</f>
        <v>0</v>
      </c>
      <c r="K111" s="79">
        <f>K59</f>
        <v>0</v>
      </c>
      <c r="L111" s="80">
        <f t="shared" ref="L111:L116" si="37">IFERROR(K111/K$28,0)</f>
        <v>0</v>
      </c>
      <c r="M111" s="79">
        <f>M59</f>
        <v>0</v>
      </c>
      <c r="N111" s="80">
        <f t="shared" ref="N111:N116" si="38">IFERROR(M111/M$28,0)</f>
        <v>0</v>
      </c>
      <c r="O111" s="79">
        <f>O59</f>
        <v>0</v>
      </c>
      <c r="P111" s="80">
        <f t="shared" ref="P111:P116" si="39">IFERROR(O111/O$28,0)</f>
        <v>0</v>
      </c>
      <c r="Q111" s="79">
        <f>Q59</f>
        <v>0</v>
      </c>
      <c r="R111" s="80">
        <f t="shared" ref="R111:R116" si="40">IFERROR(Q111/Q$28,0)</f>
        <v>0</v>
      </c>
      <c r="S111" s="79">
        <f>S59</f>
        <v>0</v>
      </c>
      <c r="T111" s="80">
        <f t="shared" ref="T111:T116" si="41">IFERROR(S111/S$28,0)</f>
        <v>0</v>
      </c>
      <c r="U111" s="79">
        <f>U59</f>
        <v>0</v>
      </c>
      <c r="V111" s="80">
        <f t="shared" ref="V111:V116" si="42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33"/>
        <v>0</v>
      </c>
      <c r="E112" s="79">
        <f>E62</f>
        <v>0</v>
      </c>
      <c r="F112" s="80">
        <f t="shared" si="34"/>
        <v>0</v>
      </c>
      <c r="G112" s="79">
        <f>G62</f>
        <v>0</v>
      </c>
      <c r="H112" s="80">
        <f t="shared" si="35"/>
        <v>0</v>
      </c>
      <c r="I112" s="79">
        <f>I62</f>
        <v>0</v>
      </c>
      <c r="J112" s="80">
        <f t="shared" si="36"/>
        <v>0</v>
      </c>
      <c r="K112" s="79">
        <f>K62</f>
        <v>0</v>
      </c>
      <c r="L112" s="80">
        <f t="shared" si="37"/>
        <v>0</v>
      </c>
      <c r="M112" s="79">
        <f>M62</f>
        <v>0</v>
      </c>
      <c r="N112" s="80">
        <f t="shared" si="38"/>
        <v>0</v>
      </c>
      <c r="O112" s="79">
        <f>O62</f>
        <v>0</v>
      </c>
      <c r="P112" s="80">
        <f t="shared" si="39"/>
        <v>0</v>
      </c>
      <c r="Q112" s="79">
        <f>Q62</f>
        <v>0</v>
      </c>
      <c r="R112" s="80">
        <f t="shared" si="40"/>
        <v>0</v>
      </c>
      <c r="S112" s="79">
        <f>S62</f>
        <v>0</v>
      </c>
      <c r="T112" s="80">
        <f t="shared" si="41"/>
        <v>0</v>
      </c>
      <c r="U112" s="79">
        <f>U62</f>
        <v>0</v>
      </c>
      <c r="V112" s="80">
        <f t="shared" si="42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33"/>
        <v>0</v>
      </c>
      <c r="E113" s="111">
        <v>0</v>
      </c>
      <c r="F113" s="80">
        <f t="shared" si="34"/>
        <v>0</v>
      </c>
      <c r="G113" s="111">
        <v>0</v>
      </c>
      <c r="H113" s="80">
        <f t="shared" si="35"/>
        <v>0</v>
      </c>
      <c r="I113" s="111">
        <v>0</v>
      </c>
      <c r="J113" s="80">
        <f t="shared" si="36"/>
        <v>0</v>
      </c>
      <c r="K113" s="111">
        <v>0</v>
      </c>
      <c r="L113" s="80">
        <f t="shared" si="37"/>
        <v>0</v>
      </c>
      <c r="M113" s="111">
        <v>0</v>
      </c>
      <c r="N113" s="80">
        <f t="shared" si="38"/>
        <v>0</v>
      </c>
      <c r="O113" s="111">
        <v>0</v>
      </c>
      <c r="P113" s="80">
        <f t="shared" si="39"/>
        <v>0</v>
      </c>
      <c r="Q113" s="111">
        <v>0</v>
      </c>
      <c r="R113" s="80">
        <f t="shared" si="40"/>
        <v>0</v>
      </c>
      <c r="S113" s="111">
        <v>0</v>
      </c>
      <c r="T113" s="80">
        <f t="shared" si="41"/>
        <v>0</v>
      </c>
      <c r="U113" s="111">
        <v>0</v>
      </c>
      <c r="V113" s="80">
        <f t="shared" si="42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33"/>
        <v>0</v>
      </c>
      <c r="E114" s="111">
        <v>0</v>
      </c>
      <c r="F114" s="80">
        <f t="shared" si="34"/>
        <v>0</v>
      </c>
      <c r="G114" s="111">
        <v>0</v>
      </c>
      <c r="H114" s="80">
        <f t="shared" si="35"/>
        <v>0</v>
      </c>
      <c r="I114" s="111">
        <v>0</v>
      </c>
      <c r="J114" s="80">
        <f t="shared" si="36"/>
        <v>0</v>
      </c>
      <c r="K114" s="111">
        <v>0</v>
      </c>
      <c r="L114" s="80">
        <f t="shared" si="37"/>
        <v>0</v>
      </c>
      <c r="M114" s="111">
        <v>0</v>
      </c>
      <c r="N114" s="80">
        <f t="shared" si="38"/>
        <v>0</v>
      </c>
      <c r="O114" s="111">
        <v>0</v>
      </c>
      <c r="P114" s="80">
        <f t="shared" si="39"/>
        <v>0</v>
      </c>
      <c r="Q114" s="111">
        <v>0</v>
      </c>
      <c r="R114" s="80">
        <f t="shared" si="40"/>
        <v>0</v>
      </c>
      <c r="S114" s="111">
        <v>0</v>
      </c>
      <c r="T114" s="80">
        <f t="shared" si="41"/>
        <v>0</v>
      </c>
      <c r="U114" s="111">
        <v>0</v>
      </c>
      <c r="V114" s="80">
        <f t="shared" si="42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33"/>
        <v>0</v>
      </c>
      <c r="E115" s="112">
        <v>0</v>
      </c>
      <c r="F115" s="80">
        <f t="shared" si="34"/>
        <v>0</v>
      </c>
      <c r="G115" s="112">
        <v>0</v>
      </c>
      <c r="H115" s="80">
        <f t="shared" si="35"/>
        <v>0</v>
      </c>
      <c r="I115" s="112">
        <v>0</v>
      </c>
      <c r="J115" s="80">
        <f t="shared" si="36"/>
        <v>0</v>
      </c>
      <c r="K115" s="112">
        <v>0</v>
      </c>
      <c r="L115" s="80">
        <f t="shared" si="37"/>
        <v>0</v>
      </c>
      <c r="M115" s="112">
        <v>0</v>
      </c>
      <c r="N115" s="80">
        <f t="shared" si="38"/>
        <v>0</v>
      </c>
      <c r="O115" s="112">
        <v>0</v>
      </c>
      <c r="P115" s="80">
        <f t="shared" si="39"/>
        <v>0</v>
      </c>
      <c r="Q115" s="112">
        <v>0</v>
      </c>
      <c r="R115" s="80">
        <f t="shared" si="40"/>
        <v>0</v>
      </c>
      <c r="S115" s="112">
        <v>0</v>
      </c>
      <c r="T115" s="80">
        <f t="shared" si="41"/>
        <v>0</v>
      </c>
      <c r="U115" s="112">
        <v>0</v>
      </c>
      <c r="V115" s="80">
        <f t="shared" si="42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33"/>
        <v>0</v>
      </c>
      <c r="E116" s="85">
        <f>SUM(E111:E115)</f>
        <v>0</v>
      </c>
      <c r="F116" s="83">
        <f t="shared" si="34"/>
        <v>0</v>
      </c>
      <c r="G116" s="85">
        <f>SUM(G111:G115)</f>
        <v>0</v>
      </c>
      <c r="H116" s="83">
        <f t="shared" si="35"/>
        <v>0</v>
      </c>
      <c r="I116" s="85">
        <f>SUM(I111:I115)</f>
        <v>0</v>
      </c>
      <c r="J116" s="83">
        <f t="shared" si="36"/>
        <v>0</v>
      </c>
      <c r="K116" s="85">
        <f>SUM(K111:K115)</f>
        <v>0</v>
      </c>
      <c r="L116" s="83">
        <f t="shared" si="37"/>
        <v>0</v>
      </c>
      <c r="M116" s="85">
        <f>SUM(M111:M115)</f>
        <v>0</v>
      </c>
      <c r="N116" s="83">
        <f t="shared" si="38"/>
        <v>0</v>
      </c>
      <c r="O116" s="85">
        <f>SUM(O111:O115)</f>
        <v>0</v>
      </c>
      <c r="P116" s="83">
        <f t="shared" si="39"/>
        <v>0</v>
      </c>
      <c r="Q116" s="85">
        <f>SUM(Q111:Q115)</f>
        <v>0</v>
      </c>
      <c r="R116" s="83">
        <f t="shared" si="40"/>
        <v>0</v>
      </c>
      <c r="S116" s="85">
        <f>SUM(S111:S115)</f>
        <v>0</v>
      </c>
      <c r="T116" s="83">
        <f t="shared" si="41"/>
        <v>0</v>
      </c>
      <c r="U116" s="85">
        <f>SUM(U111:U115)</f>
        <v>0</v>
      </c>
      <c r="V116" s="83">
        <f t="shared" si="42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 tint="0.59999389629810485"/>
  </sheetPr>
  <dimension ref="A1:X119"/>
  <sheetViews>
    <sheetView topLeftCell="A9" zoomScale="70" zoomScaleNormal="70" workbookViewId="0" xr3:uid="{C67EF94B-0B3B-5838-830C-E3A509766221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38.28515625" style="2" customWidth="1"/>
    <col min="3" max="3" width="12.7109375" style="2" customWidth="1"/>
    <col min="4" max="4" width="8.7109375" style="2" customWidth="1"/>
    <col min="5" max="5" width="14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453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Starbucks (Green Library) &amp; Starbucks Truck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A6" s="1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285</v>
      </c>
      <c r="E8" s="109">
        <f>+C8</f>
        <v>285</v>
      </c>
      <c r="G8" s="109">
        <f>+E8</f>
        <v>285</v>
      </c>
      <c r="I8" s="109">
        <f>+G8</f>
        <v>285</v>
      </c>
      <c r="K8" s="109">
        <f>+I8</f>
        <v>285</v>
      </c>
      <c r="M8" s="109">
        <f>+K8</f>
        <v>285</v>
      </c>
      <c r="O8" s="109">
        <f>+M8</f>
        <v>285</v>
      </c>
      <c r="Q8" s="109">
        <f>+O8</f>
        <v>285</v>
      </c>
      <c r="S8" s="109">
        <f>+Q8</f>
        <v>285</v>
      </c>
      <c r="U8" s="109">
        <f>+S8</f>
        <v>285</v>
      </c>
    </row>
    <row r="10" spans="1:22" ht="12.75" customHeight="1">
      <c r="A10" s="2" t="s">
        <v>449</v>
      </c>
      <c r="C10" s="209">
        <f>+C14/C8/C12</f>
        <v>1244.019138755981</v>
      </c>
      <c r="D10" s="186"/>
      <c r="E10" s="209">
        <f>+E14/E8/E12</f>
        <v>1181.7107535678574</v>
      </c>
      <c r="F10" s="186"/>
      <c r="G10" s="209">
        <f>+G14/G8/G12</f>
        <v>1201.1957604855513</v>
      </c>
      <c r="H10" s="186"/>
      <c r="I10" s="209">
        <f>+I14/I8/I12</f>
        <v>1221.016520718606</v>
      </c>
      <c r="J10" s="186"/>
      <c r="K10" s="209">
        <f>+K14/K8/K12</f>
        <v>1236.9500582802834</v>
      </c>
      <c r="L10" s="186"/>
      <c r="M10" s="209">
        <f>+M14/M8/M12</f>
        <v>1253.149708789741</v>
      </c>
      <c r="N10" s="186"/>
      <c r="O10" s="209">
        <f>+O14/O8/O12</f>
        <v>1280.3791651739521</v>
      </c>
      <c r="P10" s="186"/>
      <c r="Q10" s="209">
        <f>+Q14/Q8/Q12</f>
        <v>1292.8392308753096</v>
      </c>
      <c r="R10" s="186"/>
      <c r="S10" s="209">
        <f>+S14/S8/S12</f>
        <v>1318.6960154928158</v>
      </c>
      <c r="T10" s="186"/>
      <c r="U10" s="209">
        <f>+U14/U8/U12</f>
        <v>1345.0699358026723</v>
      </c>
    </row>
    <row r="12" spans="1:22" ht="12.75" customHeight="1">
      <c r="A12" s="2" t="s">
        <v>450</v>
      </c>
      <c r="C12" s="110">
        <v>5.5</v>
      </c>
      <c r="E12" s="110">
        <v>5.79</v>
      </c>
      <c r="G12" s="110">
        <v>5.81</v>
      </c>
      <c r="I12" s="110">
        <v>5.83</v>
      </c>
      <c r="K12" s="110">
        <v>5.87</v>
      </c>
      <c r="M12" s="110">
        <v>5.91</v>
      </c>
      <c r="O12" s="110">
        <v>5.9</v>
      </c>
      <c r="Q12" s="110">
        <v>5.96</v>
      </c>
      <c r="S12" s="110">
        <v>5.96</v>
      </c>
      <c r="U12" s="110">
        <v>5.96</v>
      </c>
    </row>
    <row r="14" spans="1:22" ht="12.75" customHeight="1">
      <c r="A14" s="2" t="s">
        <v>451</v>
      </c>
      <c r="C14" s="206">
        <f>1650000+300000</f>
        <v>1950000</v>
      </c>
      <c r="E14" s="206">
        <v>1950000</v>
      </c>
      <c r="G14" s="206">
        <f>+E14*1.02</f>
        <v>1989000</v>
      </c>
      <c r="I14" s="206">
        <f>+G14*1.02</f>
        <v>2028780</v>
      </c>
      <c r="K14" s="206">
        <f>+I14*1.02</f>
        <v>2069355.6</v>
      </c>
      <c r="M14" s="206">
        <f>+K14*1.02</f>
        <v>2110742.7120000003</v>
      </c>
      <c r="O14" s="206">
        <f>+M14*1.02</f>
        <v>2152957.5662400005</v>
      </c>
      <c r="Q14" s="206">
        <f>+O14*1.02</f>
        <v>2196016.7175648008</v>
      </c>
      <c r="S14" s="206">
        <f>+Q14*1.02</f>
        <v>2239937.0519160968</v>
      </c>
      <c r="U14" s="206">
        <f>+S14*1.02</f>
        <v>2284735.7929544188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4">
        <f>+C14-C20</f>
        <v>1708590</v>
      </c>
      <c r="D19" s="80">
        <f>IFERROR(C19/C$28,0)</f>
        <v>0.87619999999999998</v>
      </c>
      <c r="E19" s="204">
        <f>+E14-E20</f>
        <v>911234.99999999988</v>
      </c>
      <c r="F19" s="80">
        <f>IFERROR(E19/E$28,0)</f>
        <v>0.46729999999999994</v>
      </c>
      <c r="G19" s="111">
        <f>E19*1.02</f>
        <v>929459.7</v>
      </c>
      <c r="H19" s="80">
        <f>IFERROR(G19/G$28,0)</f>
        <v>0.46729999999999999</v>
      </c>
      <c r="I19" s="111">
        <f>G19*1.02</f>
        <v>948048.89399999997</v>
      </c>
      <c r="J19" s="80">
        <f>IFERROR(I19/I$28,0)</f>
        <v>0.46729999999999999</v>
      </c>
      <c r="K19" s="111">
        <f>I19*1.02</f>
        <v>967009.87187999999</v>
      </c>
      <c r="L19" s="80">
        <f>IFERROR(K19/K$28,0)</f>
        <v>0.46729999999999999</v>
      </c>
      <c r="M19" s="111">
        <f>K19*1.02</f>
        <v>986350.06931759999</v>
      </c>
      <c r="N19" s="80">
        <f>IFERROR(M19/M$28,0)</f>
        <v>0.46729999999999994</v>
      </c>
      <c r="O19" s="111">
        <f>M19*1.02</f>
        <v>1006077.070703952</v>
      </c>
      <c r="P19" s="80">
        <f>IFERROR(O19/O$28,0)</f>
        <v>0.46729999999999999</v>
      </c>
      <c r="Q19" s="111">
        <f>O19*1.02</f>
        <v>1026198.612118031</v>
      </c>
      <c r="R19" s="80">
        <f>IFERROR(Q19/Q$28,0)</f>
        <v>0.46729999999999994</v>
      </c>
      <c r="S19" s="111">
        <f>Q19*1.02</f>
        <v>1046722.5843603916</v>
      </c>
      <c r="T19" s="80">
        <f>IFERROR(S19/S$28,0)</f>
        <v>0.46729999999999988</v>
      </c>
      <c r="U19" s="111">
        <f>S19*1.02</f>
        <v>1067657.0360475995</v>
      </c>
      <c r="V19" s="80">
        <f>IFERROR(U19/U$28,0)</f>
        <v>0.46729999999999999</v>
      </c>
    </row>
    <row r="20" spans="1:24" ht="12.75" customHeight="1">
      <c r="A20" s="2" t="s">
        <v>357</v>
      </c>
      <c r="B20" s="35"/>
      <c r="C20" s="111">
        <f>+C14*12.38%</f>
        <v>241410</v>
      </c>
      <c r="D20" s="80">
        <f>IFERROR(C20/C$28,0)</f>
        <v>0.12379999999999999</v>
      </c>
      <c r="E20" s="111">
        <f>+E14*53.27%</f>
        <v>1038765.0000000001</v>
      </c>
      <c r="F20" s="80">
        <f>IFERROR(E20/E$28,0)</f>
        <v>0.53270000000000006</v>
      </c>
      <c r="G20" s="111">
        <f t="shared" ref="G20:U21" si="0">E20*1.02</f>
        <v>1059540.3</v>
      </c>
      <c r="H20" s="80">
        <f>IFERROR(G20/G$28,0)</f>
        <v>0.53270000000000006</v>
      </c>
      <c r="I20" s="111">
        <f t="shared" si="0"/>
        <v>1080731.1060000001</v>
      </c>
      <c r="J20" s="80">
        <f>IFERROR(I20/I$28,0)</f>
        <v>0.53270000000000006</v>
      </c>
      <c r="K20" s="111">
        <f t="shared" si="0"/>
        <v>1102345.7281200001</v>
      </c>
      <c r="L20" s="80">
        <f>IFERROR(K20/K$28,0)</f>
        <v>0.53270000000000006</v>
      </c>
      <c r="M20" s="111">
        <f t="shared" si="0"/>
        <v>1124392.6426824001</v>
      </c>
      <c r="N20" s="80">
        <f>IFERROR(M20/M$28,0)</f>
        <v>0.53269999999999995</v>
      </c>
      <c r="O20" s="111">
        <f t="shared" si="0"/>
        <v>1146880.4955360482</v>
      </c>
      <c r="P20" s="80">
        <f>IFERROR(O20/O$28,0)</f>
        <v>0.53270000000000006</v>
      </c>
      <c r="Q20" s="111">
        <f t="shared" si="0"/>
        <v>1169818.1054467692</v>
      </c>
      <c r="R20" s="80">
        <f>IFERROR(Q20/Q$28,0)</f>
        <v>0.53270000000000006</v>
      </c>
      <c r="S20" s="111">
        <f t="shared" si="0"/>
        <v>1193214.4675557045</v>
      </c>
      <c r="T20" s="80">
        <f>IFERROR(S20/S$28,0)</f>
        <v>0.53269999999999995</v>
      </c>
      <c r="U20" s="111">
        <f t="shared" si="0"/>
        <v>1217078.7569068186</v>
      </c>
      <c r="V20" s="80">
        <f>IFERROR(U20/U$28,0)</f>
        <v>0.53270000000000006</v>
      </c>
    </row>
    <row r="21" spans="1:24" ht="12.75" customHeight="1">
      <c r="A21" s="2" t="s">
        <v>358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364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365</v>
      </c>
      <c r="B28" s="53"/>
      <c r="C28" s="82">
        <f>SUM(C19:C27)</f>
        <v>1950000</v>
      </c>
      <c r="D28" s="83">
        <f t="shared" si="1"/>
        <v>1</v>
      </c>
      <c r="E28" s="82">
        <f>SUM(E19:E27)</f>
        <v>1950000</v>
      </c>
      <c r="F28" s="83">
        <f t="shared" si="2"/>
        <v>1</v>
      </c>
      <c r="G28" s="82">
        <f>SUM(G19:G27)</f>
        <v>1989000</v>
      </c>
      <c r="H28" s="83">
        <f t="shared" si="3"/>
        <v>1</v>
      </c>
      <c r="I28" s="82">
        <f>SUM(I19:I27)</f>
        <v>2028780</v>
      </c>
      <c r="J28" s="83">
        <f t="shared" si="4"/>
        <v>1</v>
      </c>
      <c r="K28" s="82">
        <f>SUM(K19:K27)</f>
        <v>2069355.6</v>
      </c>
      <c r="L28" s="83">
        <f t="shared" si="5"/>
        <v>1</v>
      </c>
      <c r="M28" s="82">
        <f>SUM(M19:M27)</f>
        <v>2110742.7120000003</v>
      </c>
      <c r="N28" s="83">
        <f t="shared" si="6"/>
        <v>1</v>
      </c>
      <c r="O28" s="82">
        <f>SUM(O19:O27)</f>
        <v>2152957.5662400001</v>
      </c>
      <c r="P28" s="83">
        <f t="shared" si="7"/>
        <v>1</v>
      </c>
      <c r="Q28" s="82">
        <f>SUM(Q19:Q27)</f>
        <v>2196016.7175648003</v>
      </c>
      <c r="R28" s="83">
        <f t="shared" si="8"/>
        <v>1</v>
      </c>
      <c r="S28" s="82">
        <f>SUM(S19:S27)</f>
        <v>2239937.0519160964</v>
      </c>
      <c r="T28" s="83">
        <f t="shared" si="9"/>
        <v>1</v>
      </c>
      <c r="U28" s="82">
        <f>SUM(U19:U27)</f>
        <v>2284735.7929544179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0.32500000000000001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633750</v>
      </c>
      <c r="D31" s="80">
        <f>IFERROR(C31/C$28,0)</f>
        <v>0.32500000000000001</v>
      </c>
      <c r="E31" s="179">
        <f>$C$30*E14</f>
        <v>633750</v>
      </c>
      <c r="F31" s="80">
        <f>IFERROR(E31/E$28,0)</f>
        <v>0.32500000000000001</v>
      </c>
      <c r="G31" s="179">
        <f>$C$30*G14</f>
        <v>646425</v>
      </c>
      <c r="H31" s="80">
        <f>IFERROR(G31/G$28,0)</f>
        <v>0.32500000000000001</v>
      </c>
      <c r="I31" s="179">
        <f>$C$30*I14</f>
        <v>659353.5</v>
      </c>
      <c r="J31" s="80">
        <f>IFERROR(I31/I$28,0)</f>
        <v>0.32500000000000001</v>
      </c>
      <c r="K31" s="179">
        <f>$C$30*K14</f>
        <v>672540.57000000007</v>
      </c>
      <c r="L31" s="80">
        <f>IFERROR(K31/K$28,0)</f>
        <v>0.32500000000000001</v>
      </c>
      <c r="M31" s="179">
        <f>$C$30*M14</f>
        <v>685991.38140000007</v>
      </c>
      <c r="N31" s="80">
        <f>IFERROR(M31/M$28,0)</f>
        <v>0.32500000000000001</v>
      </c>
      <c r="O31" s="179">
        <f>$C$30*O14</f>
        <v>699711.20902800024</v>
      </c>
      <c r="P31" s="80">
        <f>IFERROR(O31/O$28,0)</f>
        <v>0.32500000000000012</v>
      </c>
      <c r="Q31" s="179">
        <f>$C$30*Q14</f>
        <v>713705.43320856022</v>
      </c>
      <c r="R31" s="80">
        <f>IFERROR(Q31/Q$28,0)</f>
        <v>0.32500000000000007</v>
      </c>
      <c r="S31" s="179">
        <f>$C$30*S14</f>
        <v>727979.54187273153</v>
      </c>
      <c r="T31" s="80">
        <f>IFERROR(S31/S$28,0)</f>
        <v>0.32500000000000007</v>
      </c>
      <c r="U31" s="179">
        <f>$C$30*U14</f>
        <v>742539.13271018618</v>
      </c>
      <c r="V31" s="80">
        <f>IFERROR(U31/U$28,0)</f>
        <v>0.32500000000000018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633750</v>
      </c>
      <c r="D33" s="83">
        <f>IFERROR(C33/C$28,0)</f>
        <v>0.32500000000000001</v>
      </c>
      <c r="E33" s="82">
        <f>SUM(E31:E32)</f>
        <v>633750</v>
      </c>
      <c r="F33" s="83">
        <f>IFERROR(E33/E$28,0)</f>
        <v>0.32500000000000001</v>
      </c>
      <c r="G33" s="82">
        <f>SUM(G31:G32)</f>
        <v>646425</v>
      </c>
      <c r="H33" s="83">
        <f>IFERROR(G33/G$28,0)</f>
        <v>0.32500000000000001</v>
      </c>
      <c r="I33" s="82">
        <f>SUM(I31:I32)</f>
        <v>659353.5</v>
      </c>
      <c r="J33" s="83">
        <f>IFERROR(I33/I$28,0)</f>
        <v>0.32500000000000001</v>
      </c>
      <c r="K33" s="82">
        <f>SUM(K31:K32)</f>
        <v>672540.57000000007</v>
      </c>
      <c r="L33" s="83">
        <f>IFERROR(K33/K$28,0)</f>
        <v>0.32500000000000001</v>
      </c>
      <c r="M33" s="82">
        <f>SUM(M31:M32)</f>
        <v>685991.38140000007</v>
      </c>
      <c r="N33" s="83">
        <f>IFERROR(M33/M$28,0)</f>
        <v>0.32500000000000001</v>
      </c>
      <c r="O33" s="82">
        <f>SUM(O31:O32)</f>
        <v>699711.20902800024</v>
      </c>
      <c r="P33" s="83">
        <f>IFERROR(O33/O$28,0)</f>
        <v>0.32500000000000012</v>
      </c>
      <c r="Q33" s="82">
        <f>SUM(Q31:Q32)</f>
        <v>713705.43320856022</v>
      </c>
      <c r="R33" s="83">
        <f>IFERROR(Q33/Q$28,0)</f>
        <v>0.32500000000000007</v>
      </c>
      <c r="S33" s="82">
        <f>SUM(S31:S32)</f>
        <v>727979.54187273153</v>
      </c>
      <c r="T33" s="83">
        <f>IFERROR(S33/S$28,0)</f>
        <v>0.32500000000000007</v>
      </c>
      <c r="U33" s="82">
        <f>SUM(U31:U32)</f>
        <v>742539.13271018618</v>
      </c>
      <c r="V33" s="83">
        <f>IFERROR(U33/U$28,0)</f>
        <v>0.32500000000000018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>
        <v>50000</v>
      </c>
      <c r="D36" s="80">
        <f t="shared" ref="D36:D46" si="11">IFERROR(C36/C$28,0)</f>
        <v>2.564102564102564E-2</v>
      </c>
      <c r="E36" s="179">
        <f>+C36*1.025</f>
        <v>51249.999999999993</v>
      </c>
      <c r="F36" s="80">
        <f t="shared" ref="F36:F46" si="12">IFERROR(E36/E$28,0)</f>
        <v>2.6282051282051279E-2</v>
      </c>
      <c r="G36" s="179">
        <f>+E36*1.025</f>
        <v>52531.249999999985</v>
      </c>
      <c r="H36" s="80">
        <f t="shared" ref="H36:H46" si="13">IFERROR(G36/G$28,0)</f>
        <v>2.6410884866767213E-2</v>
      </c>
      <c r="I36" s="179">
        <f>+G36*1.025</f>
        <v>53844.531249999978</v>
      </c>
      <c r="J36" s="80">
        <f t="shared" ref="J36:J46" si="14">IFERROR(I36/I$28,0)</f>
        <v>2.6540349988663128E-2</v>
      </c>
      <c r="K36" s="179">
        <f>+I36*1.025</f>
        <v>55190.644531249971</v>
      </c>
      <c r="L36" s="80">
        <f t="shared" ref="L36:L46" si="15">IFERROR(K36/K$28,0)</f>
        <v>2.667044974350951E-2</v>
      </c>
      <c r="M36" s="179">
        <f>+K36*1.025</f>
        <v>56570.410644531214</v>
      </c>
      <c r="N36" s="80">
        <f t="shared" ref="N36:N46" si="16">IFERROR(M36/M$28,0)</f>
        <v>2.6801187242252198E-2</v>
      </c>
      <c r="O36" s="179">
        <f>+M36*1.025</f>
        <v>57984.670910644491</v>
      </c>
      <c r="P36" s="80">
        <f t="shared" ref="P36:P46" si="17">IFERROR(O36/O$28,0)</f>
        <v>2.693256561108677E-2</v>
      </c>
      <c r="Q36" s="179">
        <f>+O36*1.025</f>
        <v>59434.287683410599</v>
      </c>
      <c r="R36" s="80">
        <f t="shared" ref="R36:R46" si="18">IFERROR(Q36/Q$28,0)</f>
        <v>2.706458799153327E-2</v>
      </c>
      <c r="S36" s="179">
        <f>+Q36*1.025</f>
        <v>60920.144875495862</v>
      </c>
      <c r="T36" s="80">
        <f t="shared" ref="T36:T46" si="19">IFERROR(S36/S$28,0)</f>
        <v>2.7197257540511371E-2</v>
      </c>
      <c r="U36" s="179">
        <f>+S36*1.025</f>
        <v>62443.148497383256</v>
      </c>
      <c r="V36" s="80">
        <f t="shared" ref="V36:V46" si="20">IFERROR(U36/U$28,0)</f>
        <v>2.7330577430415844E-2</v>
      </c>
    </row>
    <row r="37" spans="1:22" ht="12.75" customHeight="1">
      <c r="A37" s="2" t="s">
        <v>372</v>
      </c>
      <c r="B37" s="35"/>
      <c r="C37" s="179">
        <v>98568</v>
      </c>
      <c r="D37" s="80">
        <f t="shared" si="11"/>
        <v>5.0547692307692307E-2</v>
      </c>
      <c r="E37" s="179">
        <f>+C37*1.112</f>
        <v>109607.61600000001</v>
      </c>
      <c r="F37" s="80">
        <f t="shared" si="12"/>
        <v>5.6209033846153854E-2</v>
      </c>
      <c r="G37" s="179">
        <f>+E37*1.035</f>
        <v>113443.88256</v>
      </c>
      <c r="H37" s="80">
        <f t="shared" si="13"/>
        <v>5.7035637285067872E-2</v>
      </c>
      <c r="I37" s="179">
        <f>+G37*1.032</f>
        <v>117074.08680192</v>
      </c>
      <c r="J37" s="80">
        <f t="shared" si="14"/>
        <v>5.7706644782539257E-2</v>
      </c>
      <c r="K37" s="179">
        <f>+I37*1.025</f>
        <v>120000.93897196799</v>
      </c>
      <c r="L37" s="80">
        <f t="shared" si="15"/>
        <v>5.7989520492257585E-2</v>
      </c>
      <c r="M37" s="179">
        <f>+K37*1.025</f>
        <v>123000.96244626718</v>
      </c>
      <c r="N37" s="80">
        <f t="shared" si="16"/>
        <v>5.8273782847611776E-2</v>
      </c>
      <c r="O37" s="179">
        <f>+M37*1.025</f>
        <v>126075.98650742385</v>
      </c>
      <c r="P37" s="80">
        <f t="shared" si="17"/>
        <v>5.8559438645884386E-2</v>
      </c>
      <c r="Q37" s="179">
        <f>+O37*1.025</f>
        <v>129227.88617010943</v>
      </c>
      <c r="R37" s="80">
        <f t="shared" si="18"/>
        <v>5.8846494717677923E-2</v>
      </c>
      <c r="S37" s="179">
        <f>+Q37*1.025</f>
        <v>132458.58332436215</v>
      </c>
      <c r="T37" s="80">
        <f t="shared" si="19"/>
        <v>5.9134957927078291E-2</v>
      </c>
      <c r="U37" s="179">
        <f>+S37*1.025</f>
        <v>135770.04790747119</v>
      </c>
      <c r="V37" s="80">
        <f t="shared" si="20"/>
        <v>5.9424835171818881E-2</v>
      </c>
    </row>
    <row r="38" spans="1:22" ht="12.75" customHeight="1">
      <c r="A38" s="2" t="s">
        <v>373</v>
      </c>
      <c r="B38" s="35"/>
      <c r="C38" s="179">
        <v>60566</v>
      </c>
      <c r="D38" s="80">
        <f t="shared" si="11"/>
        <v>3.1059487179487179E-2</v>
      </c>
      <c r="E38" s="179">
        <f t="shared" ref="E38:E39" si="21">+C38*1.112</f>
        <v>67349.392000000007</v>
      </c>
      <c r="F38" s="80">
        <f t="shared" si="12"/>
        <v>3.4538149743589749E-2</v>
      </c>
      <c r="G38" s="179">
        <f>+E38*1.035</f>
        <v>69706.620720000006</v>
      </c>
      <c r="H38" s="80">
        <f t="shared" si="13"/>
        <v>3.5046063710407242E-2</v>
      </c>
      <c r="I38" s="179">
        <f>+G38*1.032</f>
        <v>71937.232583040008</v>
      </c>
      <c r="J38" s="80">
        <f t="shared" si="14"/>
        <v>3.545837034229439E-2</v>
      </c>
      <c r="K38" s="179">
        <f>+I38*1.025</f>
        <v>73735.663397616008</v>
      </c>
      <c r="L38" s="80">
        <f t="shared" si="15"/>
        <v>3.5632185883187985E-2</v>
      </c>
      <c r="M38" s="179">
        <f>+K38*1.025</f>
        <v>75579.054982556409</v>
      </c>
      <c r="N38" s="80">
        <f t="shared" si="16"/>
        <v>3.5806853461046749E-2</v>
      </c>
      <c r="O38" s="179">
        <f>+M38*1.025</f>
        <v>77468.531357120315</v>
      </c>
      <c r="P38" s="80">
        <f t="shared" si="17"/>
        <v>3.5982377252522471E-2</v>
      </c>
      <c r="Q38" s="179">
        <f>+O38*1.025</f>
        <v>79405.24464104831</v>
      </c>
      <c r="R38" s="80">
        <f t="shared" si="18"/>
        <v>3.6158761454740708E-2</v>
      </c>
      <c r="S38" s="179">
        <f>+Q38*1.025</f>
        <v>81390.375757074507</v>
      </c>
      <c r="T38" s="80">
        <f t="shared" si="19"/>
        <v>3.6336010285401198E-2</v>
      </c>
      <c r="U38" s="179">
        <f>+S38*1.025</f>
        <v>83425.135151001363</v>
      </c>
      <c r="V38" s="80">
        <f t="shared" si="20"/>
        <v>3.6514127982878654E-2</v>
      </c>
    </row>
    <row r="39" spans="1:22" ht="12.75" customHeight="1">
      <c r="A39" s="2" t="s">
        <v>374</v>
      </c>
      <c r="B39" s="35"/>
      <c r="C39" s="179">
        <v>170826</v>
      </c>
      <c r="D39" s="80">
        <f t="shared" si="11"/>
        <v>8.7603076923076922E-2</v>
      </c>
      <c r="E39" s="179">
        <f t="shared" si="21"/>
        <v>189958.51200000002</v>
      </c>
      <c r="F39" s="80">
        <f t="shared" si="12"/>
        <v>9.7414621538461546E-2</v>
      </c>
      <c r="G39" s="179">
        <f>+E39*1.035</f>
        <v>196607.05992</v>
      </c>
      <c r="H39" s="80">
        <f t="shared" si="13"/>
        <v>9.8847189502262442E-2</v>
      </c>
      <c r="I39" s="179">
        <f>+G39*1.032</f>
        <v>202898.48583744001</v>
      </c>
      <c r="J39" s="80">
        <f t="shared" si="14"/>
        <v>0.10001009761405377</v>
      </c>
      <c r="K39" s="179">
        <f>+I39*1.025</f>
        <v>207970.94798337598</v>
      </c>
      <c r="L39" s="80">
        <f t="shared" si="15"/>
        <v>0.10050034319059323</v>
      </c>
      <c r="M39" s="179">
        <f>+K39*1.025</f>
        <v>213170.22168296037</v>
      </c>
      <c r="N39" s="80">
        <f t="shared" si="16"/>
        <v>0.10099299193172358</v>
      </c>
      <c r="O39" s="179">
        <f>+M39*1.025</f>
        <v>218499.47722503435</v>
      </c>
      <c r="P39" s="80">
        <f t="shared" si="17"/>
        <v>0.1014880556176634</v>
      </c>
      <c r="Q39" s="179">
        <f>+O39*1.025</f>
        <v>223961.96415566019</v>
      </c>
      <c r="R39" s="80">
        <f t="shared" si="18"/>
        <v>0.10198554608637742</v>
      </c>
      <c r="S39" s="179">
        <f>+Q39*1.025</f>
        <v>229561.01325955166</v>
      </c>
      <c r="T39" s="80">
        <f t="shared" si="19"/>
        <v>0.10248547523385963</v>
      </c>
      <c r="U39" s="179">
        <f>+S39*1.025</f>
        <v>235300.03859104044</v>
      </c>
      <c r="V39" s="80">
        <f t="shared" si="20"/>
        <v>0.10298785501441779</v>
      </c>
    </row>
    <row r="40" spans="1:22" ht="12.75" customHeight="1">
      <c r="A40" s="2" t="s">
        <v>375</v>
      </c>
      <c r="B40" s="35"/>
      <c r="C40" s="179">
        <f>C36*0.124</f>
        <v>6200</v>
      </c>
      <c r="D40" s="80">
        <f t="shared" si="11"/>
        <v>3.1794871794871794E-3</v>
      </c>
      <c r="E40" s="179">
        <f>E36*0.124</f>
        <v>6354.9999999999991</v>
      </c>
      <c r="F40" s="80">
        <f t="shared" si="12"/>
        <v>3.2589743589743585E-3</v>
      </c>
      <c r="G40" s="179">
        <f>G36*0.124</f>
        <v>6513.8749999999982</v>
      </c>
      <c r="H40" s="80">
        <f t="shared" si="13"/>
        <v>3.2749497234791343E-3</v>
      </c>
      <c r="I40" s="179">
        <f>I36*0.124</f>
        <v>6676.7218749999975</v>
      </c>
      <c r="J40" s="80">
        <f t="shared" si="14"/>
        <v>3.2910033985942277E-3</v>
      </c>
      <c r="K40" s="179">
        <f>K36*0.124</f>
        <v>6843.6399218749966</v>
      </c>
      <c r="L40" s="80">
        <f t="shared" si="15"/>
        <v>3.3071357681951795E-3</v>
      </c>
      <c r="M40" s="179">
        <f>M36*0.124</f>
        <v>7014.7309199218707</v>
      </c>
      <c r="N40" s="80">
        <f t="shared" si="16"/>
        <v>3.3233472180392728E-3</v>
      </c>
      <c r="O40" s="179">
        <f>O36*0.124</f>
        <v>7190.0991929199172</v>
      </c>
      <c r="P40" s="80">
        <f t="shared" si="17"/>
        <v>3.3396381357747597E-3</v>
      </c>
      <c r="Q40" s="179">
        <f>Q36*0.124</f>
        <v>7369.8516727429142</v>
      </c>
      <c r="R40" s="80">
        <f t="shared" si="18"/>
        <v>3.3560089109501254E-3</v>
      </c>
      <c r="S40" s="179">
        <f>S36*0.124</f>
        <v>7554.0979645614871</v>
      </c>
      <c r="T40" s="80">
        <f t="shared" si="19"/>
        <v>3.3724599350234102E-3</v>
      </c>
      <c r="U40" s="179">
        <f>U36*0.124</f>
        <v>7742.950413675524</v>
      </c>
      <c r="V40" s="80">
        <f t="shared" si="20"/>
        <v>3.3889916013715646E-3</v>
      </c>
    </row>
    <row r="41" spans="1:22" ht="12.75" customHeight="1">
      <c r="A41" s="2" t="s">
        <v>376</v>
      </c>
      <c r="B41" s="35"/>
      <c r="C41" s="179">
        <f>C37*0.124</f>
        <v>12222.432000000001</v>
      </c>
      <c r="D41" s="80">
        <f t="shared" si="11"/>
        <v>6.2679138461538466E-3</v>
      </c>
      <c r="E41" s="179">
        <f>E37*0.124</f>
        <v>13591.344384000002</v>
      </c>
      <c r="F41" s="80">
        <f t="shared" si="12"/>
        <v>6.9699201969230778E-3</v>
      </c>
      <c r="G41" s="179">
        <f>G37*0.124</f>
        <v>14067.041437439999</v>
      </c>
      <c r="H41" s="80">
        <f t="shared" si="13"/>
        <v>7.072419023348416E-3</v>
      </c>
      <c r="I41" s="179">
        <f>I37*0.124</f>
        <v>14517.18676343808</v>
      </c>
      <c r="J41" s="80">
        <f t="shared" si="14"/>
        <v>7.1556239530348679E-3</v>
      </c>
      <c r="K41" s="179">
        <f>K37*0.124</f>
        <v>14880.11643252403</v>
      </c>
      <c r="L41" s="80">
        <f t="shared" si="15"/>
        <v>7.1907005410399398E-3</v>
      </c>
      <c r="M41" s="179">
        <f>M37*0.124</f>
        <v>15252.11934333713</v>
      </c>
      <c r="N41" s="80">
        <f t="shared" si="16"/>
        <v>7.2259490731038604E-3</v>
      </c>
      <c r="O41" s="179">
        <f>O37*0.124</f>
        <v>15633.422326920558</v>
      </c>
      <c r="P41" s="80">
        <f t="shared" si="17"/>
        <v>7.2613703920896642E-3</v>
      </c>
      <c r="Q41" s="179">
        <f>Q37*0.124</f>
        <v>16024.25788509357</v>
      </c>
      <c r="R41" s="80">
        <f t="shared" si="18"/>
        <v>7.2969653449920626E-3</v>
      </c>
      <c r="S41" s="179">
        <f>S37*0.124</f>
        <v>16424.864332220906</v>
      </c>
      <c r="T41" s="80">
        <f t="shared" si="19"/>
        <v>7.3327347829577087E-3</v>
      </c>
      <c r="U41" s="179">
        <f>U37*0.124</f>
        <v>16835.485940526429</v>
      </c>
      <c r="V41" s="80">
        <f t="shared" si="20"/>
        <v>7.3686795613055415E-3</v>
      </c>
    </row>
    <row r="42" spans="1:22" ht="12.75" customHeight="1">
      <c r="A42" s="2" t="s">
        <v>377</v>
      </c>
      <c r="B42" s="35"/>
      <c r="C42" s="179"/>
      <c r="D42" s="80">
        <f t="shared" si="11"/>
        <v>0</v>
      </c>
      <c r="E42" s="179"/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79"/>
      <c r="D43" s="80">
        <f t="shared" si="11"/>
        <v>0</v>
      </c>
      <c r="E43" s="179"/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79"/>
      <c r="D44" s="80">
        <f t="shared" si="11"/>
        <v>0</v>
      </c>
      <c r="E44" s="179"/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82">
        <f>SUM(C36:C39)*0.094</f>
        <v>35716.239999999998</v>
      </c>
      <c r="D45" s="80">
        <f t="shared" si="11"/>
        <v>1.8316020512820511E-2</v>
      </c>
      <c r="E45" s="182">
        <f>SUM(E36:E39)*0.094</f>
        <v>39307.558880000004</v>
      </c>
      <c r="F45" s="80">
        <f t="shared" si="12"/>
        <v>2.0157722502564104E-2</v>
      </c>
      <c r="G45" s="182">
        <f>SUM(G36:G39)*0.094</f>
        <v>40635.148440799996</v>
      </c>
      <c r="H45" s="80">
        <f t="shared" si="13"/>
        <v>2.0429938884263445E-2</v>
      </c>
      <c r="I45" s="182">
        <f>SUM(I36:I39)*0.094</f>
        <v>41900.907628405599</v>
      </c>
      <c r="J45" s="80">
        <f t="shared" si="14"/>
        <v>2.0653253496389752E-2</v>
      </c>
      <c r="K45" s="182">
        <f>SUM(K36:K39)*0.094</f>
        <v>42948.430319115738</v>
      </c>
      <c r="L45" s="80">
        <f t="shared" si="15"/>
        <v>2.0754494935097543E-2</v>
      </c>
      <c r="M45" s="182">
        <f>SUM(M36:M39)*0.094</f>
        <v>44022.141077093627</v>
      </c>
      <c r="N45" s="80">
        <f t="shared" si="16"/>
        <v>2.0856232655367624E-2</v>
      </c>
      <c r="O45" s="182">
        <f>SUM(O36:O39)*0.094</f>
        <v>45122.694604020966</v>
      </c>
      <c r="P45" s="80">
        <f t="shared" si="17"/>
        <v>2.0958469089952761E-2</v>
      </c>
      <c r="Q45" s="182">
        <f>SUM(Q36:Q39)*0.094</f>
        <v>46250.761969121479</v>
      </c>
      <c r="R45" s="80">
        <f t="shared" si="18"/>
        <v>2.1061206683530953E-2</v>
      </c>
      <c r="S45" s="182">
        <f>SUM(S36:S39)*0.094</f>
        <v>47407.031018349517</v>
      </c>
      <c r="T45" s="80">
        <f t="shared" si="19"/>
        <v>2.1164447892763949E-2</v>
      </c>
      <c r="U45" s="182">
        <f>SUM(U36:U39)*0.094</f>
        <v>48592.206793808247</v>
      </c>
      <c r="V45" s="80">
        <f t="shared" si="20"/>
        <v>2.1268195186355931E-2</v>
      </c>
    </row>
    <row r="46" spans="1:22" ht="12.75" customHeight="1">
      <c r="A46" s="1" t="s">
        <v>381</v>
      </c>
      <c r="B46" s="53"/>
      <c r="C46" s="82">
        <f>SUM(C36:C45)</f>
        <v>434098.67200000002</v>
      </c>
      <c r="D46" s="83">
        <f t="shared" si="11"/>
        <v>0.22261470358974361</v>
      </c>
      <c r="E46" s="82">
        <f>SUM(E36:E45)</f>
        <v>477419.42326400004</v>
      </c>
      <c r="F46" s="83">
        <f t="shared" si="12"/>
        <v>0.24483047346871797</v>
      </c>
      <c r="G46" s="82">
        <f>SUM(G36:G45)</f>
        <v>493504.87807823997</v>
      </c>
      <c r="H46" s="83">
        <f t="shared" si="13"/>
        <v>0.24811708299559576</v>
      </c>
      <c r="I46" s="82">
        <f>SUM(I36:I45)</f>
        <v>508849.1527392437</v>
      </c>
      <c r="J46" s="83">
        <f t="shared" si="14"/>
        <v>0.25081534357556939</v>
      </c>
      <c r="K46" s="82">
        <f>SUM(K36:K45)</f>
        <v>521570.38155772473</v>
      </c>
      <c r="L46" s="83">
        <f t="shared" si="15"/>
        <v>0.25204483055388099</v>
      </c>
      <c r="M46" s="82">
        <f>SUM(M36:M45)</f>
        <v>534609.64109666785</v>
      </c>
      <c r="N46" s="83">
        <f t="shared" si="16"/>
        <v>0.2532803444291451</v>
      </c>
      <c r="O46" s="82">
        <f>SUM(O36:O45)</f>
        <v>547974.8821240844</v>
      </c>
      <c r="P46" s="83">
        <f t="shared" si="17"/>
        <v>0.25452191474497415</v>
      </c>
      <c r="Q46" s="82">
        <f>SUM(Q36:Q45)</f>
        <v>561674.25417718652</v>
      </c>
      <c r="R46" s="83">
        <f t="shared" si="18"/>
        <v>0.25576957118980248</v>
      </c>
      <c r="S46" s="82">
        <f>SUM(S36:S45)</f>
        <v>575716.11053161602</v>
      </c>
      <c r="T46" s="83">
        <f t="shared" si="19"/>
        <v>0.25702334359759554</v>
      </c>
      <c r="U46" s="82">
        <f>SUM(U36:U45)</f>
        <v>590109.01329490647</v>
      </c>
      <c r="V46" s="83">
        <f t="shared" si="20"/>
        <v>0.25828326194856421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83" si="22">IFERROR(C52/C$28,0)</f>
        <v>0</v>
      </c>
      <c r="E52" s="179">
        <v>0</v>
      </c>
      <c r="F52" s="80">
        <f t="shared" ref="F52:F105" si="23">IFERROR(E52/E$28,0)</f>
        <v>0</v>
      </c>
      <c r="G52" s="179">
        <v>0</v>
      </c>
      <c r="H52" s="80">
        <f t="shared" ref="H52:H105" si="24">IFERROR(G52/G$28,0)</f>
        <v>0</v>
      </c>
      <c r="I52" s="179">
        <v>0</v>
      </c>
      <c r="J52" s="80">
        <f t="shared" ref="J52:J105" si="25">IFERROR(I52/I$28,0)</f>
        <v>0</v>
      </c>
      <c r="K52" s="179">
        <v>0</v>
      </c>
      <c r="L52" s="80">
        <f t="shared" ref="L52:L105" si="26">IFERROR(K52/K$28,0)</f>
        <v>0</v>
      </c>
      <c r="M52" s="179">
        <v>0</v>
      </c>
      <c r="N52" s="80">
        <f t="shared" ref="N52:N105" si="27">IFERROR(M52/M$28,0)</f>
        <v>0</v>
      </c>
      <c r="O52" s="179">
        <v>0</v>
      </c>
      <c r="P52" s="80">
        <f t="shared" ref="P52:P105" si="28">IFERROR(O52/O$28,0)</f>
        <v>0</v>
      </c>
      <c r="Q52" s="179">
        <v>0</v>
      </c>
      <c r="R52" s="80">
        <f t="shared" ref="R52:R105" si="29">IFERROR(Q52/Q$28,0)</f>
        <v>0</v>
      </c>
      <c r="S52" s="179">
        <v>0</v>
      </c>
      <c r="T52" s="80">
        <f t="shared" ref="T52:T105" si="30">IFERROR(S52/S$28,0)</f>
        <v>0</v>
      </c>
      <c r="U52" s="179">
        <v>0</v>
      </c>
      <c r="V52" s="80">
        <f t="shared" ref="V52:V105" si="31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2"/>
        <v>0</v>
      </c>
      <c r="E53" s="179">
        <v>0</v>
      </c>
      <c r="F53" s="80">
        <f t="shared" si="23"/>
        <v>0</v>
      </c>
      <c r="G53" s="179">
        <v>0</v>
      </c>
      <c r="H53" s="80">
        <f t="shared" si="24"/>
        <v>0</v>
      </c>
      <c r="I53" s="179">
        <v>0</v>
      </c>
      <c r="J53" s="80">
        <f t="shared" si="25"/>
        <v>0</v>
      </c>
      <c r="K53" s="179">
        <v>0</v>
      </c>
      <c r="L53" s="80">
        <f t="shared" si="26"/>
        <v>0</v>
      </c>
      <c r="M53" s="179">
        <v>0</v>
      </c>
      <c r="N53" s="80">
        <f t="shared" si="27"/>
        <v>0</v>
      </c>
      <c r="O53" s="179">
        <v>0</v>
      </c>
      <c r="P53" s="80">
        <f t="shared" si="28"/>
        <v>0</v>
      </c>
      <c r="Q53" s="179">
        <v>0</v>
      </c>
      <c r="R53" s="80">
        <f t="shared" si="29"/>
        <v>0</v>
      </c>
      <c r="S53" s="179">
        <v>0</v>
      </c>
      <c r="T53" s="80">
        <f t="shared" si="30"/>
        <v>0</v>
      </c>
      <c r="U53" s="179">
        <v>0</v>
      </c>
      <c r="V53" s="80">
        <f t="shared" si="31"/>
        <v>0</v>
      </c>
      <c r="X53" s="200"/>
    </row>
    <row r="54" spans="1:24" ht="12.75" customHeight="1">
      <c r="A54" s="2" t="s">
        <v>385</v>
      </c>
      <c r="B54" s="35"/>
      <c r="C54" s="179">
        <v>1365</v>
      </c>
      <c r="D54" s="80">
        <f t="shared" si="22"/>
        <v>6.9999999999999999E-4</v>
      </c>
      <c r="E54" s="179">
        <v>1365.0000000000002</v>
      </c>
      <c r="F54" s="80">
        <f t="shared" si="23"/>
        <v>7.000000000000001E-4</v>
      </c>
      <c r="G54" s="179">
        <v>1392.3000000000002</v>
      </c>
      <c r="H54" s="80">
        <f t="shared" si="24"/>
        <v>7.000000000000001E-4</v>
      </c>
      <c r="I54" s="179">
        <v>1420.1459999999997</v>
      </c>
      <c r="J54" s="80">
        <f t="shared" si="25"/>
        <v>6.9999999999999988E-4</v>
      </c>
      <c r="K54" s="179">
        <v>1448.54892</v>
      </c>
      <c r="L54" s="80">
        <f t="shared" si="26"/>
        <v>6.9999999999999999E-4</v>
      </c>
      <c r="M54" s="179">
        <v>1477.5198984000001</v>
      </c>
      <c r="N54" s="80">
        <f t="shared" si="27"/>
        <v>6.9999999999999999E-4</v>
      </c>
      <c r="O54" s="179">
        <v>1507.0702963679998</v>
      </c>
      <c r="P54" s="80">
        <f t="shared" si="28"/>
        <v>6.9999999999999988E-4</v>
      </c>
      <c r="Q54" s="179">
        <v>1537.2117022953603</v>
      </c>
      <c r="R54" s="80">
        <f t="shared" si="29"/>
        <v>6.9999999999999999E-4</v>
      </c>
      <c r="S54" s="179">
        <v>1567.9559363412673</v>
      </c>
      <c r="T54" s="80">
        <f t="shared" si="30"/>
        <v>6.9999999999999988E-4</v>
      </c>
      <c r="U54" s="179">
        <v>1599.3150550680925</v>
      </c>
      <c r="V54" s="80">
        <f t="shared" si="31"/>
        <v>6.9999999999999999E-4</v>
      </c>
      <c r="X54" s="200"/>
    </row>
    <row r="55" spans="1:24" ht="12.75" customHeight="1">
      <c r="A55" s="2" t="s">
        <v>386</v>
      </c>
      <c r="B55" s="35"/>
      <c r="C55" s="179">
        <v>136500</v>
      </c>
      <c r="D55" s="80">
        <f t="shared" si="22"/>
        <v>7.0000000000000007E-2</v>
      </c>
      <c r="E55" s="179">
        <v>136500</v>
      </c>
      <c r="F55" s="80">
        <f t="shared" si="23"/>
        <v>7.0000000000000007E-2</v>
      </c>
      <c r="G55" s="179">
        <v>139230</v>
      </c>
      <c r="H55" s="80">
        <f t="shared" si="24"/>
        <v>7.0000000000000007E-2</v>
      </c>
      <c r="I55" s="179">
        <v>142014.6</v>
      </c>
      <c r="J55" s="80">
        <f t="shared" si="25"/>
        <v>7.0000000000000007E-2</v>
      </c>
      <c r="K55" s="179">
        <v>144854.89200000002</v>
      </c>
      <c r="L55" s="80">
        <f t="shared" si="26"/>
        <v>7.0000000000000007E-2</v>
      </c>
      <c r="M55" s="179">
        <v>147751.98984000002</v>
      </c>
      <c r="N55" s="80">
        <f t="shared" si="27"/>
        <v>7.0000000000000007E-2</v>
      </c>
      <c r="O55" s="179">
        <v>150707.02963680003</v>
      </c>
      <c r="P55" s="80">
        <f t="shared" si="28"/>
        <v>7.0000000000000007E-2</v>
      </c>
      <c r="Q55" s="179">
        <v>153721.17022953604</v>
      </c>
      <c r="R55" s="80">
        <f t="shared" si="29"/>
        <v>7.0000000000000007E-2</v>
      </c>
      <c r="S55" s="179">
        <v>156795.59363412677</v>
      </c>
      <c r="T55" s="80">
        <f t="shared" si="30"/>
        <v>7.0000000000000007E-2</v>
      </c>
      <c r="U55" s="179">
        <v>159931.50550680928</v>
      </c>
      <c r="V55" s="80">
        <f t="shared" si="31"/>
        <v>7.0000000000000007E-2</v>
      </c>
      <c r="X55" s="200"/>
    </row>
    <row r="56" spans="1:24" ht="12.75" customHeight="1">
      <c r="A56" s="2" t="s">
        <v>387</v>
      </c>
      <c r="B56" s="35"/>
      <c r="C56" s="179">
        <v>994.50000000000011</v>
      </c>
      <c r="D56" s="80">
        <f t="shared" si="22"/>
        <v>5.1000000000000004E-4</v>
      </c>
      <c r="E56" s="179">
        <v>994.50000000000023</v>
      </c>
      <c r="F56" s="80">
        <f t="shared" si="23"/>
        <v>5.1000000000000015E-4</v>
      </c>
      <c r="G56" s="179">
        <v>1014.3900000000001</v>
      </c>
      <c r="H56" s="80">
        <f t="shared" si="24"/>
        <v>5.1000000000000004E-4</v>
      </c>
      <c r="I56" s="179">
        <v>1034.6778000000002</v>
      </c>
      <c r="J56" s="80">
        <f t="shared" si="25"/>
        <v>5.1000000000000004E-4</v>
      </c>
      <c r="K56" s="179">
        <v>1055.3713560000001</v>
      </c>
      <c r="L56" s="80">
        <f t="shared" si="26"/>
        <v>5.1000000000000004E-4</v>
      </c>
      <c r="M56" s="179">
        <v>1076.4787831200001</v>
      </c>
      <c r="N56" s="80">
        <f t="shared" si="27"/>
        <v>5.1000000000000004E-4</v>
      </c>
      <c r="O56" s="179">
        <v>1098.0083587824001</v>
      </c>
      <c r="P56" s="80">
        <f t="shared" si="28"/>
        <v>5.1000000000000004E-4</v>
      </c>
      <c r="Q56" s="179">
        <v>1119.9685259580483</v>
      </c>
      <c r="R56" s="80">
        <f t="shared" si="29"/>
        <v>5.1000000000000004E-4</v>
      </c>
      <c r="S56" s="179">
        <v>1142.3678964772093</v>
      </c>
      <c r="T56" s="80">
        <f t="shared" si="30"/>
        <v>5.1000000000000004E-4</v>
      </c>
      <c r="U56" s="179">
        <v>1165.215254406753</v>
      </c>
      <c r="V56" s="80">
        <f t="shared" si="31"/>
        <v>5.0999999999999993E-4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2"/>
        <v>0</v>
      </c>
      <c r="E57" s="179">
        <v>0</v>
      </c>
      <c r="F57" s="80">
        <f t="shared" si="23"/>
        <v>0</v>
      </c>
      <c r="G57" s="179">
        <v>0</v>
      </c>
      <c r="H57" s="80">
        <f t="shared" si="24"/>
        <v>0</v>
      </c>
      <c r="I57" s="179">
        <v>0</v>
      </c>
      <c r="J57" s="80">
        <f t="shared" si="25"/>
        <v>0</v>
      </c>
      <c r="K57" s="179">
        <v>0</v>
      </c>
      <c r="L57" s="80">
        <f t="shared" si="26"/>
        <v>0</v>
      </c>
      <c r="M57" s="179">
        <v>0</v>
      </c>
      <c r="N57" s="80">
        <f t="shared" si="27"/>
        <v>0</v>
      </c>
      <c r="O57" s="179">
        <v>0</v>
      </c>
      <c r="P57" s="80">
        <f t="shared" si="28"/>
        <v>0</v>
      </c>
      <c r="Q57" s="179">
        <v>0</v>
      </c>
      <c r="R57" s="80">
        <f t="shared" si="29"/>
        <v>0</v>
      </c>
      <c r="S57" s="179">
        <v>0</v>
      </c>
      <c r="T57" s="80">
        <f t="shared" si="30"/>
        <v>0</v>
      </c>
      <c r="U57" s="179">
        <v>0</v>
      </c>
      <c r="V57" s="80">
        <f t="shared" si="31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2"/>
        <v>0</v>
      </c>
      <c r="E58" s="179">
        <v>0</v>
      </c>
      <c r="F58" s="80">
        <f t="shared" si="23"/>
        <v>0</v>
      </c>
      <c r="G58" s="179">
        <v>0</v>
      </c>
      <c r="H58" s="80">
        <f t="shared" si="24"/>
        <v>0</v>
      </c>
      <c r="I58" s="179">
        <v>0</v>
      </c>
      <c r="J58" s="80">
        <f t="shared" si="25"/>
        <v>0</v>
      </c>
      <c r="K58" s="179">
        <v>0</v>
      </c>
      <c r="L58" s="80">
        <f t="shared" si="26"/>
        <v>0</v>
      </c>
      <c r="M58" s="179">
        <v>0</v>
      </c>
      <c r="N58" s="80">
        <f t="shared" si="27"/>
        <v>0</v>
      </c>
      <c r="O58" s="179">
        <v>0</v>
      </c>
      <c r="P58" s="80">
        <f t="shared" si="28"/>
        <v>0</v>
      </c>
      <c r="Q58" s="179">
        <v>0</v>
      </c>
      <c r="R58" s="80">
        <f t="shared" si="29"/>
        <v>0</v>
      </c>
      <c r="S58" s="179">
        <v>0</v>
      </c>
      <c r="T58" s="80">
        <f t="shared" si="30"/>
        <v>0</v>
      </c>
      <c r="U58" s="179">
        <v>0</v>
      </c>
      <c r="V58" s="80">
        <f t="shared" si="31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2"/>
        <v>0</v>
      </c>
      <c r="E59" s="179">
        <v>0</v>
      </c>
      <c r="F59" s="80">
        <f t="shared" si="23"/>
        <v>0</v>
      </c>
      <c r="G59" s="179">
        <v>0</v>
      </c>
      <c r="H59" s="80">
        <f t="shared" si="24"/>
        <v>0</v>
      </c>
      <c r="I59" s="179">
        <v>0</v>
      </c>
      <c r="J59" s="80">
        <f t="shared" si="25"/>
        <v>0</v>
      </c>
      <c r="K59" s="179">
        <v>0</v>
      </c>
      <c r="L59" s="80">
        <f t="shared" si="26"/>
        <v>0</v>
      </c>
      <c r="M59" s="179">
        <v>0</v>
      </c>
      <c r="N59" s="80">
        <f t="shared" si="27"/>
        <v>0</v>
      </c>
      <c r="O59" s="179">
        <v>0</v>
      </c>
      <c r="P59" s="80">
        <f t="shared" si="28"/>
        <v>0</v>
      </c>
      <c r="Q59" s="179">
        <v>0</v>
      </c>
      <c r="R59" s="80">
        <f t="shared" si="29"/>
        <v>0</v>
      </c>
      <c r="S59" s="179">
        <v>0</v>
      </c>
      <c r="T59" s="80">
        <f t="shared" si="30"/>
        <v>0</v>
      </c>
      <c r="U59" s="179">
        <v>0</v>
      </c>
      <c r="V59" s="80">
        <f t="shared" si="31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2"/>
        <v>0</v>
      </c>
      <c r="E60" s="179">
        <v>0</v>
      </c>
      <c r="F60" s="80">
        <f t="shared" si="23"/>
        <v>0</v>
      </c>
      <c r="G60" s="179">
        <v>0</v>
      </c>
      <c r="H60" s="80">
        <f t="shared" si="24"/>
        <v>0</v>
      </c>
      <c r="I60" s="179">
        <v>0</v>
      </c>
      <c r="J60" s="80">
        <f t="shared" si="25"/>
        <v>0</v>
      </c>
      <c r="K60" s="179">
        <v>0</v>
      </c>
      <c r="L60" s="80">
        <f t="shared" si="26"/>
        <v>0</v>
      </c>
      <c r="M60" s="179">
        <v>0</v>
      </c>
      <c r="N60" s="80">
        <f t="shared" si="27"/>
        <v>0</v>
      </c>
      <c r="O60" s="179">
        <v>0</v>
      </c>
      <c r="P60" s="80">
        <f t="shared" si="28"/>
        <v>0</v>
      </c>
      <c r="Q60" s="179">
        <v>0</v>
      </c>
      <c r="R60" s="80">
        <f t="shared" si="29"/>
        <v>0</v>
      </c>
      <c r="S60" s="179">
        <v>0</v>
      </c>
      <c r="T60" s="80">
        <f t="shared" si="30"/>
        <v>0</v>
      </c>
      <c r="U60" s="179">
        <v>0</v>
      </c>
      <c r="V60" s="80">
        <f t="shared" si="31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2"/>
        <v>0</v>
      </c>
      <c r="E61" s="179">
        <v>0</v>
      </c>
      <c r="F61" s="80">
        <f t="shared" si="23"/>
        <v>0</v>
      </c>
      <c r="G61" s="179">
        <v>0</v>
      </c>
      <c r="H61" s="80">
        <f t="shared" si="24"/>
        <v>0</v>
      </c>
      <c r="I61" s="179">
        <v>0</v>
      </c>
      <c r="J61" s="80">
        <f t="shared" si="25"/>
        <v>0</v>
      </c>
      <c r="K61" s="179">
        <v>0</v>
      </c>
      <c r="L61" s="80">
        <f t="shared" si="26"/>
        <v>0</v>
      </c>
      <c r="M61" s="179">
        <v>0</v>
      </c>
      <c r="N61" s="80">
        <f t="shared" si="27"/>
        <v>0</v>
      </c>
      <c r="O61" s="179">
        <v>0</v>
      </c>
      <c r="P61" s="80">
        <f t="shared" si="28"/>
        <v>0</v>
      </c>
      <c r="Q61" s="179">
        <v>0</v>
      </c>
      <c r="R61" s="80">
        <f t="shared" si="29"/>
        <v>0</v>
      </c>
      <c r="S61" s="179">
        <v>0</v>
      </c>
      <c r="T61" s="80">
        <f t="shared" si="30"/>
        <v>0</v>
      </c>
      <c r="U61" s="179">
        <v>0</v>
      </c>
      <c r="V61" s="80">
        <f t="shared" si="31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2"/>
        <v>0</v>
      </c>
      <c r="E62" s="179">
        <v>0</v>
      </c>
      <c r="F62" s="80">
        <f t="shared" si="23"/>
        <v>0</v>
      </c>
      <c r="G62" s="179">
        <v>0</v>
      </c>
      <c r="H62" s="80">
        <f t="shared" si="24"/>
        <v>0</v>
      </c>
      <c r="I62" s="179">
        <v>0</v>
      </c>
      <c r="J62" s="80">
        <f t="shared" si="25"/>
        <v>0</v>
      </c>
      <c r="K62" s="179">
        <v>0</v>
      </c>
      <c r="L62" s="80">
        <f t="shared" si="26"/>
        <v>0</v>
      </c>
      <c r="M62" s="179">
        <v>0</v>
      </c>
      <c r="N62" s="80">
        <f t="shared" si="27"/>
        <v>0</v>
      </c>
      <c r="O62" s="179">
        <v>0</v>
      </c>
      <c r="P62" s="80">
        <f t="shared" si="28"/>
        <v>0</v>
      </c>
      <c r="Q62" s="179">
        <v>0</v>
      </c>
      <c r="R62" s="80">
        <f t="shared" si="29"/>
        <v>0</v>
      </c>
      <c r="S62" s="179">
        <v>0</v>
      </c>
      <c r="T62" s="80">
        <f t="shared" si="30"/>
        <v>0</v>
      </c>
      <c r="U62" s="179">
        <v>0</v>
      </c>
      <c r="V62" s="80">
        <f t="shared" si="31"/>
        <v>0</v>
      </c>
      <c r="X62" s="200"/>
    </row>
    <row r="63" spans="1:24" ht="12.75" customHeight="1">
      <c r="A63" s="2" t="s">
        <v>394</v>
      </c>
      <c r="B63" s="35"/>
      <c r="C63" s="179">
        <v>26758.74932088374</v>
      </c>
      <c r="D63" s="80">
        <f t="shared" si="22"/>
        <v>1.3722435549171149E-2</v>
      </c>
      <c r="E63" s="179">
        <v>15126.774884965831</v>
      </c>
      <c r="F63" s="80">
        <f t="shared" si="23"/>
        <v>7.7573204538286316E-3</v>
      </c>
      <c r="G63" s="179">
        <v>17707.162841814723</v>
      </c>
      <c r="H63" s="80">
        <f t="shared" si="24"/>
        <v>8.9025454207213289E-3</v>
      </c>
      <c r="I63" s="179">
        <v>17903.29401923015</v>
      </c>
      <c r="J63" s="80">
        <f t="shared" si="25"/>
        <v>8.8246601500557732E-3</v>
      </c>
      <c r="K63" s="179">
        <v>18051.056508139871</v>
      </c>
      <c r="L63" s="80">
        <f t="shared" si="26"/>
        <v>8.7230326716876833E-3</v>
      </c>
      <c r="M63" s="179">
        <v>18373.375467650847</v>
      </c>
      <c r="N63" s="80">
        <f t="shared" si="27"/>
        <v>8.7046968648497435E-3</v>
      </c>
      <c r="O63" s="179">
        <v>18702.483325051981</v>
      </c>
      <c r="P63" s="80">
        <f t="shared" si="28"/>
        <v>8.686879675810168E-3</v>
      </c>
      <c r="Q63" s="179">
        <v>19037.866488010426</v>
      </c>
      <c r="R63" s="80">
        <f t="shared" si="29"/>
        <v>8.6692721124281037E-3</v>
      </c>
      <c r="S63" s="179">
        <v>19379.01594974101</v>
      </c>
      <c r="T63" s="80">
        <f t="shared" si="30"/>
        <v>8.6515895315735468E-3</v>
      </c>
      <c r="U63" s="179">
        <v>20480.72286683902</v>
      </c>
      <c r="V63" s="80">
        <f t="shared" si="31"/>
        <v>8.9641537240308933E-3</v>
      </c>
      <c r="X63" s="200"/>
    </row>
    <row r="64" spans="1:24" ht="12.75" customHeight="1">
      <c r="A64" s="2" t="s">
        <v>395</v>
      </c>
      <c r="B64" s="35"/>
      <c r="C64" s="179">
        <v>9359.9999999999982</v>
      </c>
      <c r="D64" s="80">
        <f t="shared" si="22"/>
        <v>4.7999999999999987E-3</v>
      </c>
      <c r="E64" s="179">
        <v>9360</v>
      </c>
      <c r="F64" s="80">
        <f t="shared" si="23"/>
        <v>4.7999999999999996E-3</v>
      </c>
      <c r="G64" s="179">
        <v>9547.1999999999989</v>
      </c>
      <c r="H64" s="80">
        <f t="shared" si="24"/>
        <v>4.7999999999999996E-3</v>
      </c>
      <c r="I64" s="179">
        <v>9738.1439999999984</v>
      </c>
      <c r="J64" s="80">
        <f t="shared" si="25"/>
        <v>4.7999999999999996E-3</v>
      </c>
      <c r="K64" s="179">
        <v>9932.9068799999986</v>
      </c>
      <c r="L64" s="80">
        <f t="shared" si="26"/>
        <v>4.7999999999999987E-3</v>
      </c>
      <c r="M64" s="179">
        <v>10131.5650176</v>
      </c>
      <c r="N64" s="80">
        <f t="shared" si="27"/>
        <v>4.7999999999999996E-3</v>
      </c>
      <c r="O64" s="179">
        <v>10334.196317951999</v>
      </c>
      <c r="P64" s="80">
        <f t="shared" si="28"/>
        <v>4.7999999999999996E-3</v>
      </c>
      <c r="Q64" s="179">
        <v>10540.88024431104</v>
      </c>
      <c r="R64" s="80">
        <f t="shared" si="29"/>
        <v>4.7999999999999996E-3</v>
      </c>
      <c r="S64" s="179">
        <v>10751.697849197262</v>
      </c>
      <c r="T64" s="80">
        <f t="shared" si="30"/>
        <v>4.7999999999999996E-3</v>
      </c>
      <c r="U64" s="179">
        <v>10966.731806181204</v>
      </c>
      <c r="V64" s="80">
        <f t="shared" si="31"/>
        <v>4.7999999999999996E-3</v>
      </c>
      <c r="X64" s="200"/>
    </row>
    <row r="65" spans="1:24" ht="12.75" customHeight="1">
      <c r="A65" s="2" t="s">
        <v>396</v>
      </c>
      <c r="B65" s="35"/>
      <c r="C65" s="179">
        <v>975</v>
      </c>
      <c r="D65" s="80">
        <f t="shared" si="22"/>
        <v>5.0000000000000001E-4</v>
      </c>
      <c r="E65" s="179">
        <v>975.00000000000011</v>
      </c>
      <c r="F65" s="80">
        <f t="shared" si="23"/>
        <v>5.0000000000000001E-4</v>
      </c>
      <c r="G65" s="179">
        <v>994.50000000000011</v>
      </c>
      <c r="H65" s="80">
        <f t="shared" si="24"/>
        <v>5.0000000000000001E-4</v>
      </c>
      <c r="I65" s="179">
        <v>1014.39</v>
      </c>
      <c r="J65" s="80">
        <f t="shared" si="25"/>
        <v>5.0000000000000001E-4</v>
      </c>
      <c r="K65" s="179">
        <v>1034.6777999999999</v>
      </c>
      <c r="L65" s="80">
        <f t="shared" si="26"/>
        <v>4.999999999999999E-4</v>
      </c>
      <c r="M65" s="179">
        <v>1055.3713560000001</v>
      </c>
      <c r="N65" s="80">
        <f t="shared" si="27"/>
        <v>5.0000000000000001E-4</v>
      </c>
      <c r="O65" s="179">
        <v>1076.4787831199999</v>
      </c>
      <c r="P65" s="80">
        <f t="shared" si="28"/>
        <v>4.999999999999999E-4</v>
      </c>
      <c r="Q65" s="179">
        <v>1098.0083587824004</v>
      </c>
      <c r="R65" s="80">
        <f t="shared" si="29"/>
        <v>5.0000000000000012E-4</v>
      </c>
      <c r="S65" s="179">
        <v>1119.9685259580483</v>
      </c>
      <c r="T65" s="80">
        <f t="shared" si="30"/>
        <v>5.0000000000000001E-4</v>
      </c>
      <c r="U65" s="179">
        <v>1142.3678964772089</v>
      </c>
      <c r="V65" s="80">
        <f t="shared" si="31"/>
        <v>5.0000000000000001E-4</v>
      </c>
      <c r="X65" s="200"/>
    </row>
    <row r="66" spans="1:24" ht="12.75" customHeight="1">
      <c r="A66" s="2" t="s">
        <v>397</v>
      </c>
      <c r="B66" s="35"/>
      <c r="C66" s="179">
        <v>5460</v>
      </c>
      <c r="D66" s="80">
        <f t="shared" si="22"/>
        <v>2.8E-3</v>
      </c>
      <c r="E66" s="179">
        <v>5460.0000000000009</v>
      </c>
      <c r="F66" s="80">
        <f t="shared" si="23"/>
        <v>2.8000000000000004E-3</v>
      </c>
      <c r="G66" s="179">
        <v>5569.2000000000007</v>
      </c>
      <c r="H66" s="80">
        <f t="shared" si="24"/>
        <v>2.8000000000000004E-3</v>
      </c>
      <c r="I66" s="179">
        <v>5680.5839999999989</v>
      </c>
      <c r="J66" s="80">
        <f t="shared" si="25"/>
        <v>2.7999999999999995E-3</v>
      </c>
      <c r="K66" s="179">
        <v>5794.1956799999998</v>
      </c>
      <c r="L66" s="80">
        <f t="shared" si="26"/>
        <v>2.8E-3</v>
      </c>
      <c r="M66" s="179">
        <v>5910.0795936000004</v>
      </c>
      <c r="N66" s="80">
        <f t="shared" si="27"/>
        <v>2.8E-3</v>
      </c>
      <c r="O66" s="179">
        <v>6028.2811854719994</v>
      </c>
      <c r="P66" s="80">
        <f t="shared" si="28"/>
        <v>2.7999999999999995E-3</v>
      </c>
      <c r="Q66" s="179">
        <v>6148.8468091814411</v>
      </c>
      <c r="R66" s="80">
        <f t="shared" si="29"/>
        <v>2.8E-3</v>
      </c>
      <c r="S66" s="179">
        <v>6271.823745365069</v>
      </c>
      <c r="T66" s="80">
        <f t="shared" si="30"/>
        <v>2.7999999999999995E-3</v>
      </c>
      <c r="U66" s="179">
        <v>6397.2602202723701</v>
      </c>
      <c r="V66" s="80">
        <f t="shared" si="31"/>
        <v>2.8E-3</v>
      </c>
      <c r="X66" s="200"/>
    </row>
    <row r="67" spans="1:24" ht="12.75" customHeight="1">
      <c r="A67" s="2" t="s">
        <v>398</v>
      </c>
      <c r="B67" s="35"/>
      <c r="C67" s="179">
        <v>29250</v>
      </c>
      <c r="D67" s="80">
        <f t="shared" si="22"/>
        <v>1.4999999999999999E-2</v>
      </c>
      <c r="E67" s="179">
        <v>29250</v>
      </c>
      <c r="F67" s="80">
        <f t="shared" si="23"/>
        <v>1.4999999999999999E-2</v>
      </c>
      <c r="G67" s="179">
        <v>29835.000000000004</v>
      </c>
      <c r="H67" s="80">
        <f t="shared" si="24"/>
        <v>1.5000000000000001E-2</v>
      </c>
      <c r="I67" s="179">
        <v>30431.699999999997</v>
      </c>
      <c r="J67" s="80">
        <f t="shared" si="25"/>
        <v>1.4999999999999998E-2</v>
      </c>
      <c r="K67" s="179">
        <v>31040.333999999999</v>
      </c>
      <c r="L67" s="80">
        <f t="shared" si="26"/>
        <v>1.4999999999999999E-2</v>
      </c>
      <c r="M67" s="179">
        <v>31661.140680000004</v>
      </c>
      <c r="N67" s="80">
        <f t="shared" si="27"/>
        <v>1.4999999999999999E-2</v>
      </c>
      <c r="O67" s="179">
        <v>32294.363493599998</v>
      </c>
      <c r="P67" s="80">
        <f t="shared" si="28"/>
        <v>1.4999999999999999E-2</v>
      </c>
      <c r="Q67" s="179">
        <v>32940.25076347201</v>
      </c>
      <c r="R67" s="80">
        <f t="shared" si="29"/>
        <v>1.5000000000000003E-2</v>
      </c>
      <c r="S67" s="179">
        <v>33599.055778741444</v>
      </c>
      <c r="T67" s="80">
        <f t="shared" si="30"/>
        <v>1.4999999999999999E-2</v>
      </c>
      <c r="U67" s="179">
        <v>34271.036894316261</v>
      </c>
      <c r="V67" s="80">
        <f t="shared" si="31"/>
        <v>1.4999999999999998E-2</v>
      </c>
      <c r="X67" s="200"/>
    </row>
    <row r="68" spans="1:24" ht="12.75" customHeight="1">
      <c r="A68" s="2" t="s">
        <v>399</v>
      </c>
      <c r="B68" s="35"/>
      <c r="C68" s="179">
        <v>3315</v>
      </c>
      <c r="D68" s="80">
        <f t="shared" si="22"/>
        <v>1.6999999999999999E-3</v>
      </c>
      <c r="E68" s="179">
        <v>3315</v>
      </c>
      <c r="F68" s="80">
        <f t="shared" si="23"/>
        <v>1.6999999999999999E-3</v>
      </c>
      <c r="G68" s="179">
        <v>3381.3</v>
      </c>
      <c r="H68" s="80">
        <f t="shared" si="24"/>
        <v>1.7000000000000001E-3</v>
      </c>
      <c r="I68" s="179">
        <v>3448.9259999999999</v>
      </c>
      <c r="J68" s="80">
        <f t="shared" si="25"/>
        <v>1.6999999999999999E-3</v>
      </c>
      <c r="K68" s="179">
        <v>3517.9045199999996</v>
      </c>
      <c r="L68" s="80">
        <f t="shared" si="26"/>
        <v>1.6999999999999997E-3</v>
      </c>
      <c r="M68" s="179">
        <v>3588.2626104000001</v>
      </c>
      <c r="N68" s="80">
        <f t="shared" si="27"/>
        <v>1.6999999999999999E-3</v>
      </c>
      <c r="O68" s="179">
        <v>3660.0278626079999</v>
      </c>
      <c r="P68" s="80">
        <f t="shared" si="28"/>
        <v>1.6999999999999999E-3</v>
      </c>
      <c r="Q68" s="179">
        <v>3733.2284198601606</v>
      </c>
      <c r="R68" s="80">
        <f t="shared" si="29"/>
        <v>1.7000000000000001E-3</v>
      </c>
      <c r="S68" s="179">
        <v>3807.8929882573634</v>
      </c>
      <c r="T68" s="80">
        <f t="shared" si="30"/>
        <v>1.6999999999999999E-3</v>
      </c>
      <c r="U68" s="179">
        <v>3884.0508480225099</v>
      </c>
      <c r="V68" s="80">
        <f t="shared" si="31"/>
        <v>1.6999999999999997E-3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2"/>
        <v>0</v>
      </c>
      <c r="E69" s="179">
        <v>0</v>
      </c>
      <c r="F69" s="80">
        <f t="shared" si="23"/>
        <v>0</v>
      </c>
      <c r="G69" s="179">
        <v>0</v>
      </c>
      <c r="H69" s="80">
        <f t="shared" si="24"/>
        <v>0</v>
      </c>
      <c r="I69" s="179">
        <v>0</v>
      </c>
      <c r="J69" s="80">
        <f t="shared" si="25"/>
        <v>0</v>
      </c>
      <c r="K69" s="179">
        <v>0</v>
      </c>
      <c r="L69" s="80">
        <f t="shared" si="26"/>
        <v>0</v>
      </c>
      <c r="M69" s="179">
        <v>0</v>
      </c>
      <c r="N69" s="80">
        <f t="shared" si="27"/>
        <v>0</v>
      </c>
      <c r="O69" s="179">
        <v>0</v>
      </c>
      <c r="P69" s="80">
        <f t="shared" si="28"/>
        <v>0</v>
      </c>
      <c r="Q69" s="179">
        <v>0</v>
      </c>
      <c r="R69" s="80">
        <f t="shared" si="29"/>
        <v>0</v>
      </c>
      <c r="S69" s="179">
        <v>0</v>
      </c>
      <c r="T69" s="80">
        <f t="shared" si="30"/>
        <v>0</v>
      </c>
      <c r="U69" s="179">
        <v>0</v>
      </c>
      <c r="V69" s="80">
        <f t="shared" si="31"/>
        <v>0</v>
      </c>
      <c r="X69" s="200"/>
    </row>
    <row r="70" spans="1:24" ht="12.75" customHeight="1">
      <c r="A70" s="2" t="s">
        <v>401</v>
      </c>
      <c r="B70" s="35"/>
      <c r="C70" s="179">
        <v>195.00000000000003</v>
      </c>
      <c r="D70" s="80">
        <f t="shared" si="22"/>
        <v>1.0000000000000002E-4</v>
      </c>
      <c r="E70" s="179">
        <v>195.00000000000003</v>
      </c>
      <c r="F70" s="80">
        <f t="shared" si="23"/>
        <v>1.0000000000000002E-4</v>
      </c>
      <c r="G70" s="179">
        <v>198.9</v>
      </c>
      <c r="H70" s="80">
        <f t="shared" si="24"/>
        <v>1E-4</v>
      </c>
      <c r="I70" s="179">
        <v>202.87800000000001</v>
      </c>
      <c r="J70" s="80">
        <f t="shared" si="25"/>
        <v>1E-4</v>
      </c>
      <c r="K70" s="179">
        <v>206.93556000000001</v>
      </c>
      <c r="L70" s="80">
        <f t="shared" si="26"/>
        <v>1E-4</v>
      </c>
      <c r="M70" s="179">
        <v>211.07427120000006</v>
      </c>
      <c r="N70" s="80">
        <f t="shared" si="27"/>
        <v>1.0000000000000002E-4</v>
      </c>
      <c r="O70" s="179">
        <v>215.29575662400001</v>
      </c>
      <c r="P70" s="80">
        <f t="shared" si="28"/>
        <v>1E-4</v>
      </c>
      <c r="Q70" s="179">
        <v>219.60167175648004</v>
      </c>
      <c r="R70" s="80">
        <f t="shared" si="29"/>
        <v>1E-4</v>
      </c>
      <c r="S70" s="179">
        <v>223.99370519160965</v>
      </c>
      <c r="T70" s="80">
        <f t="shared" si="30"/>
        <v>1E-4</v>
      </c>
      <c r="U70" s="179">
        <v>228.47357929544179</v>
      </c>
      <c r="V70" s="80">
        <f t="shared" si="31"/>
        <v>1E-4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2"/>
        <v>0</v>
      </c>
      <c r="E71" s="179">
        <v>0</v>
      </c>
      <c r="F71" s="80">
        <f t="shared" si="23"/>
        <v>0</v>
      </c>
      <c r="G71" s="179">
        <v>0</v>
      </c>
      <c r="H71" s="80">
        <f t="shared" si="24"/>
        <v>0</v>
      </c>
      <c r="I71" s="179">
        <v>0</v>
      </c>
      <c r="J71" s="80">
        <f t="shared" si="25"/>
        <v>0</v>
      </c>
      <c r="K71" s="179">
        <v>0</v>
      </c>
      <c r="L71" s="80">
        <f t="shared" si="26"/>
        <v>0</v>
      </c>
      <c r="M71" s="179">
        <v>0</v>
      </c>
      <c r="N71" s="80">
        <f t="shared" si="27"/>
        <v>0</v>
      </c>
      <c r="O71" s="179">
        <v>0</v>
      </c>
      <c r="P71" s="80">
        <f t="shared" si="28"/>
        <v>0</v>
      </c>
      <c r="Q71" s="179">
        <v>0</v>
      </c>
      <c r="R71" s="80">
        <f t="shared" si="29"/>
        <v>0</v>
      </c>
      <c r="S71" s="179">
        <v>0</v>
      </c>
      <c r="T71" s="80">
        <f t="shared" si="30"/>
        <v>0</v>
      </c>
      <c r="U71" s="179">
        <v>0</v>
      </c>
      <c r="V71" s="80">
        <f t="shared" si="31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2"/>
        <v>0</v>
      </c>
      <c r="E72" s="179">
        <v>0</v>
      </c>
      <c r="F72" s="80">
        <f t="shared" si="23"/>
        <v>0</v>
      </c>
      <c r="G72" s="179">
        <v>0</v>
      </c>
      <c r="H72" s="80">
        <f t="shared" si="24"/>
        <v>0</v>
      </c>
      <c r="I72" s="179">
        <v>0</v>
      </c>
      <c r="J72" s="80">
        <f t="shared" si="25"/>
        <v>0</v>
      </c>
      <c r="K72" s="179">
        <v>0</v>
      </c>
      <c r="L72" s="80">
        <f t="shared" si="26"/>
        <v>0</v>
      </c>
      <c r="M72" s="179">
        <v>0</v>
      </c>
      <c r="N72" s="80">
        <f t="shared" si="27"/>
        <v>0</v>
      </c>
      <c r="O72" s="179">
        <v>0</v>
      </c>
      <c r="P72" s="80">
        <f t="shared" si="28"/>
        <v>0</v>
      </c>
      <c r="Q72" s="179">
        <v>0</v>
      </c>
      <c r="R72" s="80">
        <f t="shared" si="29"/>
        <v>0</v>
      </c>
      <c r="S72" s="179">
        <v>0</v>
      </c>
      <c r="T72" s="80">
        <f t="shared" si="30"/>
        <v>0</v>
      </c>
      <c r="U72" s="179">
        <v>0</v>
      </c>
      <c r="V72" s="80">
        <f t="shared" si="31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2"/>
        <v>0</v>
      </c>
      <c r="E73" s="179">
        <v>0</v>
      </c>
      <c r="F73" s="80">
        <f t="shared" si="23"/>
        <v>0</v>
      </c>
      <c r="G73" s="179">
        <v>0</v>
      </c>
      <c r="H73" s="80">
        <f t="shared" si="24"/>
        <v>0</v>
      </c>
      <c r="I73" s="179">
        <v>0</v>
      </c>
      <c r="J73" s="80">
        <f t="shared" si="25"/>
        <v>0</v>
      </c>
      <c r="K73" s="179">
        <v>0</v>
      </c>
      <c r="L73" s="80">
        <f t="shared" si="26"/>
        <v>0</v>
      </c>
      <c r="M73" s="179">
        <v>0</v>
      </c>
      <c r="N73" s="80">
        <f t="shared" si="27"/>
        <v>0</v>
      </c>
      <c r="O73" s="179">
        <v>0</v>
      </c>
      <c r="P73" s="80">
        <f t="shared" si="28"/>
        <v>0</v>
      </c>
      <c r="Q73" s="179">
        <v>0</v>
      </c>
      <c r="R73" s="80">
        <f t="shared" si="29"/>
        <v>0</v>
      </c>
      <c r="S73" s="179">
        <v>0</v>
      </c>
      <c r="T73" s="80">
        <f t="shared" si="30"/>
        <v>0</v>
      </c>
      <c r="U73" s="179">
        <v>0</v>
      </c>
      <c r="V73" s="80">
        <f t="shared" si="31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2"/>
        <v>0</v>
      </c>
      <c r="E74" s="179">
        <v>0</v>
      </c>
      <c r="F74" s="80">
        <f t="shared" si="23"/>
        <v>0</v>
      </c>
      <c r="G74" s="179">
        <v>0</v>
      </c>
      <c r="H74" s="80">
        <f t="shared" si="24"/>
        <v>0</v>
      </c>
      <c r="I74" s="179">
        <v>0</v>
      </c>
      <c r="J74" s="80">
        <f t="shared" si="25"/>
        <v>0</v>
      </c>
      <c r="K74" s="179">
        <v>0</v>
      </c>
      <c r="L74" s="80">
        <f t="shared" si="26"/>
        <v>0</v>
      </c>
      <c r="M74" s="179">
        <v>0</v>
      </c>
      <c r="N74" s="80">
        <f t="shared" si="27"/>
        <v>0</v>
      </c>
      <c r="O74" s="179">
        <v>0</v>
      </c>
      <c r="P74" s="80">
        <f t="shared" si="28"/>
        <v>0</v>
      </c>
      <c r="Q74" s="179">
        <v>0</v>
      </c>
      <c r="R74" s="80">
        <f t="shared" si="29"/>
        <v>0</v>
      </c>
      <c r="S74" s="179">
        <v>0</v>
      </c>
      <c r="T74" s="80">
        <f t="shared" si="30"/>
        <v>0</v>
      </c>
      <c r="U74" s="179">
        <v>0</v>
      </c>
      <c r="V74" s="80">
        <f t="shared" si="31"/>
        <v>0</v>
      </c>
      <c r="X74" s="200"/>
    </row>
    <row r="75" spans="1:24" ht="12.75" customHeight="1">
      <c r="A75" s="2" t="s">
        <v>406</v>
      </c>
      <c r="B75" s="35"/>
      <c r="C75" s="179">
        <v>9750</v>
      </c>
      <c r="D75" s="80">
        <f t="shared" si="22"/>
        <v>5.0000000000000001E-3</v>
      </c>
      <c r="E75" s="179">
        <v>9750</v>
      </c>
      <c r="F75" s="80">
        <f t="shared" si="23"/>
        <v>5.0000000000000001E-3</v>
      </c>
      <c r="G75" s="179">
        <v>9945</v>
      </c>
      <c r="H75" s="80">
        <f t="shared" si="24"/>
        <v>5.0000000000000001E-3</v>
      </c>
      <c r="I75" s="179">
        <v>10143.9</v>
      </c>
      <c r="J75" s="80">
        <f t="shared" si="25"/>
        <v>5.0000000000000001E-3</v>
      </c>
      <c r="K75" s="179">
        <v>10346.778</v>
      </c>
      <c r="L75" s="80">
        <f t="shared" si="26"/>
        <v>5.0000000000000001E-3</v>
      </c>
      <c r="M75" s="179">
        <v>10553.71356</v>
      </c>
      <c r="N75" s="80">
        <f t="shared" si="27"/>
        <v>4.9999999999999992E-3</v>
      </c>
      <c r="O75" s="179">
        <v>10764.787831200001</v>
      </c>
      <c r="P75" s="80">
        <f t="shared" si="28"/>
        <v>5.0000000000000001E-3</v>
      </c>
      <c r="Q75" s="179">
        <v>10980.083587824003</v>
      </c>
      <c r="R75" s="80">
        <f t="shared" si="29"/>
        <v>5.000000000000001E-3</v>
      </c>
      <c r="S75" s="179">
        <v>11199.685259580483</v>
      </c>
      <c r="T75" s="80">
        <f t="shared" si="30"/>
        <v>5.000000000000001E-3</v>
      </c>
      <c r="U75" s="179">
        <v>11423.678964772089</v>
      </c>
      <c r="V75" s="80">
        <f t="shared" si="31"/>
        <v>5.0000000000000001E-3</v>
      </c>
      <c r="X75" s="200"/>
    </row>
    <row r="76" spans="1:24" ht="12.75" customHeight="1">
      <c r="A76" s="2" t="s">
        <v>407</v>
      </c>
      <c r="B76" s="35"/>
      <c r="C76" s="179">
        <v>780.00000000000011</v>
      </c>
      <c r="D76" s="80">
        <f t="shared" si="22"/>
        <v>4.0000000000000007E-4</v>
      </c>
      <c r="E76" s="179">
        <v>780.00000000000011</v>
      </c>
      <c r="F76" s="80">
        <f t="shared" si="23"/>
        <v>4.0000000000000007E-4</v>
      </c>
      <c r="G76" s="179">
        <v>795.6</v>
      </c>
      <c r="H76" s="80">
        <f t="shared" si="24"/>
        <v>4.0000000000000002E-4</v>
      </c>
      <c r="I76" s="179">
        <v>811.51200000000006</v>
      </c>
      <c r="J76" s="80">
        <f t="shared" si="25"/>
        <v>4.0000000000000002E-4</v>
      </c>
      <c r="K76" s="179">
        <v>827.74224000000004</v>
      </c>
      <c r="L76" s="80">
        <f t="shared" si="26"/>
        <v>4.0000000000000002E-4</v>
      </c>
      <c r="M76" s="179">
        <v>844.29708480000022</v>
      </c>
      <c r="N76" s="80">
        <f t="shared" si="27"/>
        <v>4.0000000000000007E-4</v>
      </c>
      <c r="O76" s="179">
        <v>861.18302649600002</v>
      </c>
      <c r="P76" s="80">
        <f t="shared" si="28"/>
        <v>4.0000000000000002E-4</v>
      </c>
      <c r="Q76" s="179">
        <v>878.40668702592018</v>
      </c>
      <c r="R76" s="80">
        <f t="shared" si="29"/>
        <v>4.0000000000000002E-4</v>
      </c>
      <c r="S76" s="179">
        <v>895.9748207664386</v>
      </c>
      <c r="T76" s="80">
        <f t="shared" si="30"/>
        <v>4.0000000000000002E-4</v>
      </c>
      <c r="U76" s="179">
        <v>913.89431718176718</v>
      </c>
      <c r="V76" s="80">
        <f t="shared" si="31"/>
        <v>4.0000000000000002E-4</v>
      </c>
      <c r="X76" s="200"/>
    </row>
    <row r="77" spans="1:24" ht="12.75" customHeight="1">
      <c r="A77" s="2" t="s">
        <v>408</v>
      </c>
      <c r="B77" s="35"/>
      <c r="C77" s="179">
        <v>2535</v>
      </c>
      <c r="D77" s="80">
        <f t="shared" si="22"/>
        <v>1.2999999999999999E-3</v>
      </c>
      <c r="E77" s="179">
        <v>2535</v>
      </c>
      <c r="F77" s="80">
        <f t="shared" si="23"/>
        <v>1.2999999999999999E-3</v>
      </c>
      <c r="G77" s="179">
        <v>2585.6999999999998</v>
      </c>
      <c r="H77" s="80">
        <f t="shared" si="24"/>
        <v>1.2999999999999999E-3</v>
      </c>
      <c r="I77" s="179">
        <v>2637.4139999999998</v>
      </c>
      <c r="J77" s="80">
        <f t="shared" si="25"/>
        <v>1.2999999999999999E-3</v>
      </c>
      <c r="K77" s="179">
        <v>2690.1622799999996</v>
      </c>
      <c r="L77" s="80">
        <f t="shared" si="26"/>
        <v>1.2999999999999997E-3</v>
      </c>
      <c r="M77" s="179">
        <v>2743.9655256000001</v>
      </c>
      <c r="N77" s="80">
        <f t="shared" si="27"/>
        <v>1.2999999999999999E-3</v>
      </c>
      <c r="O77" s="179">
        <v>2798.8448361119995</v>
      </c>
      <c r="P77" s="80">
        <f t="shared" si="28"/>
        <v>1.2999999999999997E-3</v>
      </c>
      <c r="Q77" s="179">
        <v>2854.8217328342407</v>
      </c>
      <c r="R77" s="80">
        <f t="shared" si="29"/>
        <v>1.3000000000000002E-3</v>
      </c>
      <c r="S77" s="179">
        <v>2911.918167490925</v>
      </c>
      <c r="T77" s="80">
        <f t="shared" si="30"/>
        <v>1.2999999999999999E-3</v>
      </c>
      <c r="U77" s="179">
        <v>2970.156530840743</v>
      </c>
      <c r="V77" s="80">
        <f t="shared" si="31"/>
        <v>1.2999999999999999E-3</v>
      </c>
      <c r="X77" s="200"/>
    </row>
    <row r="78" spans="1:24" ht="12.75" customHeight="1">
      <c r="A78" s="2" t="s">
        <v>409</v>
      </c>
      <c r="B78" s="35"/>
      <c r="C78" s="179">
        <v>42900</v>
      </c>
      <c r="D78" s="80">
        <f t="shared" si="22"/>
        <v>2.1999999999999999E-2</v>
      </c>
      <c r="E78" s="179">
        <v>42900</v>
      </c>
      <c r="F78" s="80">
        <f t="shared" si="23"/>
        <v>2.1999999999999999E-2</v>
      </c>
      <c r="G78" s="179">
        <v>43758</v>
      </c>
      <c r="H78" s="80">
        <f t="shared" si="24"/>
        <v>2.1999999999999999E-2</v>
      </c>
      <c r="I78" s="179">
        <v>44633.159999999996</v>
      </c>
      <c r="J78" s="80">
        <f t="shared" si="25"/>
        <v>2.1999999999999999E-2</v>
      </c>
      <c r="K78" s="179">
        <v>45525.823199999999</v>
      </c>
      <c r="L78" s="80">
        <f t="shared" si="26"/>
        <v>2.1999999999999999E-2</v>
      </c>
      <c r="M78" s="179">
        <v>46436.339664000006</v>
      </c>
      <c r="N78" s="80">
        <f t="shared" si="27"/>
        <v>2.1999999999999999E-2</v>
      </c>
      <c r="O78" s="179">
        <v>47365.066457279994</v>
      </c>
      <c r="P78" s="80">
        <f t="shared" si="28"/>
        <v>2.1999999999999995E-2</v>
      </c>
      <c r="Q78" s="179">
        <v>48312.367786425602</v>
      </c>
      <c r="R78" s="80">
        <f t="shared" si="29"/>
        <v>2.1999999999999999E-2</v>
      </c>
      <c r="S78" s="179">
        <v>49278.615142154114</v>
      </c>
      <c r="T78" s="80">
        <f t="shared" si="30"/>
        <v>2.1999999999999999E-2</v>
      </c>
      <c r="U78" s="179">
        <v>50264.187444997195</v>
      </c>
      <c r="V78" s="80">
        <f t="shared" si="31"/>
        <v>2.2000000000000002E-2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2"/>
        <v>0</v>
      </c>
      <c r="E79" s="179">
        <v>0</v>
      </c>
      <c r="F79" s="80">
        <f t="shared" si="23"/>
        <v>0</v>
      </c>
      <c r="G79" s="179">
        <v>0</v>
      </c>
      <c r="H79" s="80">
        <f t="shared" si="24"/>
        <v>0</v>
      </c>
      <c r="I79" s="179">
        <v>0</v>
      </c>
      <c r="J79" s="80">
        <f t="shared" si="25"/>
        <v>0</v>
      </c>
      <c r="K79" s="179">
        <v>0</v>
      </c>
      <c r="L79" s="80">
        <f t="shared" si="26"/>
        <v>0</v>
      </c>
      <c r="M79" s="179">
        <v>0</v>
      </c>
      <c r="N79" s="80">
        <f t="shared" si="27"/>
        <v>0</v>
      </c>
      <c r="O79" s="179">
        <v>0</v>
      </c>
      <c r="P79" s="80">
        <f t="shared" si="28"/>
        <v>0</v>
      </c>
      <c r="Q79" s="179">
        <v>0</v>
      </c>
      <c r="R79" s="80">
        <f t="shared" si="29"/>
        <v>0</v>
      </c>
      <c r="S79" s="179">
        <v>0</v>
      </c>
      <c r="T79" s="80">
        <f t="shared" si="30"/>
        <v>0</v>
      </c>
      <c r="U79" s="179">
        <v>0</v>
      </c>
      <c r="V79" s="80">
        <f t="shared" si="31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2"/>
        <v>0</v>
      </c>
      <c r="E80" s="179">
        <v>0</v>
      </c>
      <c r="F80" s="80">
        <f t="shared" si="23"/>
        <v>0</v>
      </c>
      <c r="G80" s="179">
        <v>0</v>
      </c>
      <c r="H80" s="80">
        <f t="shared" si="24"/>
        <v>0</v>
      </c>
      <c r="I80" s="179">
        <v>0</v>
      </c>
      <c r="J80" s="80">
        <f t="shared" si="25"/>
        <v>0</v>
      </c>
      <c r="K80" s="179">
        <v>0</v>
      </c>
      <c r="L80" s="80">
        <f t="shared" si="26"/>
        <v>0</v>
      </c>
      <c r="M80" s="179">
        <v>0</v>
      </c>
      <c r="N80" s="80">
        <f t="shared" si="27"/>
        <v>0</v>
      </c>
      <c r="O80" s="179">
        <v>0</v>
      </c>
      <c r="P80" s="80">
        <f t="shared" si="28"/>
        <v>0</v>
      </c>
      <c r="Q80" s="179">
        <v>0</v>
      </c>
      <c r="R80" s="80">
        <f t="shared" si="29"/>
        <v>0</v>
      </c>
      <c r="S80" s="179">
        <v>0</v>
      </c>
      <c r="T80" s="80">
        <f t="shared" si="30"/>
        <v>0</v>
      </c>
      <c r="U80" s="179">
        <v>0</v>
      </c>
      <c r="V80" s="80">
        <f t="shared" si="31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2"/>
        <v>0</v>
      </c>
      <c r="E81" s="179">
        <v>0</v>
      </c>
      <c r="F81" s="80">
        <f t="shared" si="23"/>
        <v>0</v>
      </c>
      <c r="G81" s="179">
        <v>0</v>
      </c>
      <c r="H81" s="80">
        <f t="shared" si="24"/>
        <v>0</v>
      </c>
      <c r="I81" s="179">
        <v>0</v>
      </c>
      <c r="J81" s="80">
        <f t="shared" si="25"/>
        <v>0</v>
      </c>
      <c r="K81" s="179">
        <v>0</v>
      </c>
      <c r="L81" s="80">
        <f t="shared" si="26"/>
        <v>0</v>
      </c>
      <c r="M81" s="179">
        <v>0</v>
      </c>
      <c r="N81" s="80">
        <f t="shared" si="27"/>
        <v>0</v>
      </c>
      <c r="O81" s="179">
        <v>0</v>
      </c>
      <c r="P81" s="80">
        <f t="shared" si="28"/>
        <v>0</v>
      </c>
      <c r="Q81" s="179">
        <v>0</v>
      </c>
      <c r="R81" s="80">
        <f t="shared" si="29"/>
        <v>0</v>
      </c>
      <c r="S81" s="179">
        <v>0</v>
      </c>
      <c r="T81" s="80">
        <f t="shared" si="30"/>
        <v>0</v>
      </c>
      <c r="U81" s="179">
        <v>0</v>
      </c>
      <c r="V81" s="80">
        <f t="shared" si="31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2"/>
        <v>0</v>
      </c>
      <c r="E82" s="179">
        <v>0</v>
      </c>
      <c r="F82" s="80">
        <f t="shared" si="23"/>
        <v>0</v>
      </c>
      <c r="G82" s="179">
        <v>0</v>
      </c>
      <c r="H82" s="80">
        <f t="shared" si="24"/>
        <v>0</v>
      </c>
      <c r="I82" s="179">
        <v>0</v>
      </c>
      <c r="J82" s="80">
        <f t="shared" si="25"/>
        <v>0</v>
      </c>
      <c r="K82" s="179">
        <v>0</v>
      </c>
      <c r="L82" s="80">
        <f t="shared" si="26"/>
        <v>0</v>
      </c>
      <c r="M82" s="179">
        <v>0</v>
      </c>
      <c r="N82" s="80">
        <f t="shared" si="27"/>
        <v>0</v>
      </c>
      <c r="O82" s="179">
        <v>0</v>
      </c>
      <c r="P82" s="80">
        <f t="shared" si="28"/>
        <v>0</v>
      </c>
      <c r="Q82" s="179">
        <v>0</v>
      </c>
      <c r="R82" s="80">
        <f t="shared" si="29"/>
        <v>0</v>
      </c>
      <c r="S82" s="179">
        <v>0</v>
      </c>
      <c r="T82" s="80">
        <f t="shared" si="30"/>
        <v>0</v>
      </c>
      <c r="U82" s="179">
        <v>0</v>
      </c>
      <c r="V82" s="80">
        <f t="shared" si="31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2"/>
        <v>0</v>
      </c>
      <c r="E83" s="179">
        <v>0</v>
      </c>
      <c r="F83" s="80">
        <f t="shared" si="23"/>
        <v>0</v>
      </c>
      <c r="G83" s="179">
        <v>0</v>
      </c>
      <c r="H83" s="80">
        <f t="shared" si="24"/>
        <v>0</v>
      </c>
      <c r="I83" s="179">
        <v>0</v>
      </c>
      <c r="J83" s="80">
        <f t="shared" si="25"/>
        <v>0</v>
      </c>
      <c r="K83" s="179">
        <v>0</v>
      </c>
      <c r="L83" s="80">
        <f t="shared" si="26"/>
        <v>0</v>
      </c>
      <c r="M83" s="179">
        <v>0</v>
      </c>
      <c r="N83" s="80">
        <f t="shared" si="27"/>
        <v>0</v>
      </c>
      <c r="O83" s="179">
        <v>0</v>
      </c>
      <c r="P83" s="80">
        <f t="shared" si="28"/>
        <v>0</v>
      </c>
      <c r="Q83" s="179">
        <v>0</v>
      </c>
      <c r="R83" s="80">
        <f t="shared" si="29"/>
        <v>0</v>
      </c>
      <c r="S83" s="179">
        <v>0</v>
      </c>
      <c r="T83" s="80">
        <f t="shared" si="30"/>
        <v>0</v>
      </c>
      <c r="U83" s="179">
        <v>0</v>
      </c>
      <c r="V83" s="80">
        <f t="shared" si="31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ref="D84:D105" si="32">IFERROR(C84/C$28,0)</f>
        <v>0</v>
      </c>
      <c r="E84" s="179">
        <v>0</v>
      </c>
      <c r="F84" s="80">
        <f t="shared" si="23"/>
        <v>0</v>
      </c>
      <c r="G84" s="179">
        <v>0</v>
      </c>
      <c r="H84" s="80">
        <f t="shared" si="24"/>
        <v>0</v>
      </c>
      <c r="I84" s="179">
        <v>0</v>
      </c>
      <c r="J84" s="80">
        <f t="shared" si="25"/>
        <v>0</v>
      </c>
      <c r="K84" s="179">
        <v>0</v>
      </c>
      <c r="L84" s="80">
        <f t="shared" si="26"/>
        <v>0</v>
      </c>
      <c r="M84" s="179">
        <v>0</v>
      </c>
      <c r="N84" s="80">
        <f t="shared" si="27"/>
        <v>0</v>
      </c>
      <c r="O84" s="179">
        <v>0</v>
      </c>
      <c r="P84" s="80">
        <f t="shared" si="28"/>
        <v>0</v>
      </c>
      <c r="Q84" s="179">
        <v>0</v>
      </c>
      <c r="R84" s="80">
        <f t="shared" si="29"/>
        <v>0</v>
      </c>
      <c r="S84" s="179">
        <v>0</v>
      </c>
      <c r="T84" s="80">
        <f t="shared" si="30"/>
        <v>0</v>
      </c>
      <c r="U84" s="179">
        <v>0</v>
      </c>
      <c r="V84" s="80">
        <f t="shared" si="31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32"/>
        <v>0</v>
      </c>
      <c r="E85" s="179">
        <v>0</v>
      </c>
      <c r="F85" s="80">
        <f t="shared" si="23"/>
        <v>0</v>
      </c>
      <c r="G85" s="179">
        <v>0</v>
      </c>
      <c r="H85" s="80">
        <f t="shared" si="24"/>
        <v>0</v>
      </c>
      <c r="I85" s="179">
        <v>0</v>
      </c>
      <c r="J85" s="80">
        <f t="shared" si="25"/>
        <v>0</v>
      </c>
      <c r="K85" s="179">
        <v>0</v>
      </c>
      <c r="L85" s="80">
        <f t="shared" si="26"/>
        <v>0</v>
      </c>
      <c r="M85" s="179">
        <v>0</v>
      </c>
      <c r="N85" s="80">
        <f t="shared" si="27"/>
        <v>0</v>
      </c>
      <c r="O85" s="179">
        <v>0</v>
      </c>
      <c r="P85" s="80">
        <f t="shared" si="28"/>
        <v>0</v>
      </c>
      <c r="Q85" s="179">
        <v>0</v>
      </c>
      <c r="R85" s="80">
        <f t="shared" si="29"/>
        <v>0</v>
      </c>
      <c r="S85" s="179">
        <v>0</v>
      </c>
      <c r="T85" s="80">
        <f t="shared" si="30"/>
        <v>0</v>
      </c>
      <c r="U85" s="179">
        <v>0</v>
      </c>
      <c r="V85" s="80">
        <f t="shared" si="31"/>
        <v>0</v>
      </c>
      <c r="X85" s="200"/>
    </row>
    <row r="86" spans="1:24" ht="12.75" customHeight="1">
      <c r="A86" s="2" t="s">
        <v>417</v>
      </c>
      <c r="B86" s="35"/>
      <c r="C86" s="179">
        <v>7800</v>
      </c>
      <c r="D86" s="80">
        <f t="shared" si="32"/>
        <v>4.0000000000000001E-3</v>
      </c>
      <c r="E86" s="179">
        <v>7800.0000000000009</v>
      </c>
      <c r="F86" s="80">
        <f t="shared" si="23"/>
        <v>4.0000000000000001E-3</v>
      </c>
      <c r="G86" s="179">
        <v>7956.0000000000009</v>
      </c>
      <c r="H86" s="80">
        <f t="shared" si="24"/>
        <v>4.0000000000000001E-3</v>
      </c>
      <c r="I86" s="179">
        <v>8115.12</v>
      </c>
      <c r="J86" s="80">
        <f t="shared" si="25"/>
        <v>4.0000000000000001E-3</v>
      </c>
      <c r="K86" s="179">
        <v>8277.4223999999995</v>
      </c>
      <c r="L86" s="80">
        <f t="shared" si="26"/>
        <v>3.9999999999999992E-3</v>
      </c>
      <c r="M86" s="179">
        <v>8442.9708480000008</v>
      </c>
      <c r="N86" s="80">
        <f t="shared" si="27"/>
        <v>4.0000000000000001E-3</v>
      </c>
      <c r="O86" s="179">
        <v>8611.8302649599991</v>
      </c>
      <c r="P86" s="80">
        <f t="shared" si="28"/>
        <v>3.9999999999999992E-3</v>
      </c>
      <c r="Q86" s="179">
        <v>8784.0668702592029</v>
      </c>
      <c r="R86" s="80">
        <f t="shared" si="29"/>
        <v>4.000000000000001E-3</v>
      </c>
      <c r="S86" s="179">
        <v>8959.7482076643864</v>
      </c>
      <c r="T86" s="80">
        <f t="shared" si="30"/>
        <v>4.0000000000000001E-3</v>
      </c>
      <c r="U86" s="179">
        <v>9138.9431718176711</v>
      </c>
      <c r="V86" s="80">
        <f t="shared" si="31"/>
        <v>4.0000000000000001E-3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32"/>
        <v>0</v>
      </c>
      <c r="E87" s="179">
        <v>0</v>
      </c>
      <c r="F87" s="80">
        <f t="shared" si="23"/>
        <v>0</v>
      </c>
      <c r="G87" s="179">
        <v>0</v>
      </c>
      <c r="H87" s="80">
        <f t="shared" si="24"/>
        <v>0</v>
      </c>
      <c r="I87" s="179">
        <v>0</v>
      </c>
      <c r="J87" s="80">
        <f t="shared" si="25"/>
        <v>0</v>
      </c>
      <c r="K87" s="179">
        <v>0</v>
      </c>
      <c r="L87" s="80">
        <f t="shared" si="26"/>
        <v>0</v>
      </c>
      <c r="M87" s="179">
        <v>0</v>
      </c>
      <c r="N87" s="80">
        <f t="shared" si="27"/>
        <v>0</v>
      </c>
      <c r="O87" s="179">
        <v>0</v>
      </c>
      <c r="P87" s="80">
        <f t="shared" si="28"/>
        <v>0</v>
      </c>
      <c r="Q87" s="179">
        <v>0</v>
      </c>
      <c r="R87" s="80">
        <f t="shared" si="29"/>
        <v>0</v>
      </c>
      <c r="S87" s="179">
        <v>0</v>
      </c>
      <c r="T87" s="80">
        <f t="shared" si="30"/>
        <v>0</v>
      </c>
      <c r="U87" s="179">
        <v>0</v>
      </c>
      <c r="V87" s="80">
        <f t="shared" si="31"/>
        <v>0</v>
      </c>
      <c r="X87" s="200"/>
    </row>
    <row r="88" spans="1:24" ht="12.75" customHeight="1">
      <c r="A88" s="2" t="s">
        <v>419</v>
      </c>
      <c r="B88" s="35"/>
      <c r="C88" s="179">
        <v>9945.0000000000018</v>
      </c>
      <c r="D88" s="80">
        <f t="shared" si="32"/>
        <v>5.1000000000000012E-3</v>
      </c>
      <c r="E88" s="179">
        <v>9945.0000000000018</v>
      </c>
      <c r="F88" s="80">
        <f t="shared" si="23"/>
        <v>5.1000000000000012E-3</v>
      </c>
      <c r="G88" s="179">
        <v>10143.900000000003</v>
      </c>
      <c r="H88" s="80">
        <f t="shared" si="24"/>
        <v>5.1000000000000012E-3</v>
      </c>
      <c r="I88" s="179">
        <v>10346.778</v>
      </c>
      <c r="J88" s="80">
        <f t="shared" si="25"/>
        <v>5.1000000000000004E-3</v>
      </c>
      <c r="K88" s="179">
        <v>10553.71356</v>
      </c>
      <c r="L88" s="80">
        <f t="shared" si="26"/>
        <v>5.0999999999999995E-3</v>
      </c>
      <c r="M88" s="179">
        <v>10764.787831200003</v>
      </c>
      <c r="N88" s="80">
        <f t="shared" si="27"/>
        <v>5.1000000000000004E-3</v>
      </c>
      <c r="O88" s="179">
        <v>10980.083587824001</v>
      </c>
      <c r="P88" s="80">
        <f t="shared" si="28"/>
        <v>5.1000000000000004E-3</v>
      </c>
      <c r="Q88" s="179">
        <v>11199.685259580483</v>
      </c>
      <c r="R88" s="80">
        <f t="shared" si="29"/>
        <v>5.1000000000000004E-3</v>
      </c>
      <c r="S88" s="179">
        <v>11423.678964772093</v>
      </c>
      <c r="T88" s="80">
        <f t="shared" si="30"/>
        <v>5.1000000000000004E-3</v>
      </c>
      <c r="U88" s="179">
        <v>11652.152544067532</v>
      </c>
      <c r="V88" s="80">
        <f t="shared" si="31"/>
        <v>5.1000000000000004E-3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32"/>
        <v>0</v>
      </c>
      <c r="E89" s="179">
        <v>0</v>
      </c>
      <c r="F89" s="80">
        <f t="shared" si="23"/>
        <v>0</v>
      </c>
      <c r="G89" s="179">
        <v>0</v>
      </c>
      <c r="H89" s="80">
        <f t="shared" si="24"/>
        <v>0</v>
      </c>
      <c r="I89" s="179">
        <v>0</v>
      </c>
      <c r="J89" s="80">
        <f t="shared" si="25"/>
        <v>0</v>
      </c>
      <c r="K89" s="179">
        <v>0</v>
      </c>
      <c r="L89" s="80">
        <f t="shared" si="26"/>
        <v>0</v>
      </c>
      <c r="M89" s="179">
        <v>0</v>
      </c>
      <c r="N89" s="80">
        <f t="shared" si="27"/>
        <v>0</v>
      </c>
      <c r="O89" s="179">
        <v>0</v>
      </c>
      <c r="P89" s="80">
        <f t="shared" si="28"/>
        <v>0</v>
      </c>
      <c r="Q89" s="179">
        <v>0</v>
      </c>
      <c r="R89" s="80">
        <f t="shared" si="29"/>
        <v>0</v>
      </c>
      <c r="S89" s="179">
        <v>0</v>
      </c>
      <c r="T89" s="80">
        <f t="shared" si="30"/>
        <v>0</v>
      </c>
      <c r="U89" s="179">
        <v>0</v>
      </c>
      <c r="V89" s="80">
        <f t="shared" si="31"/>
        <v>0</v>
      </c>
      <c r="X89" s="200"/>
    </row>
    <row r="90" spans="1:24" ht="12.75" customHeight="1">
      <c r="A90" s="2" t="s">
        <v>421</v>
      </c>
      <c r="B90" s="35"/>
      <c r="C90" s="179">
        <v>390.00000000000006</v>
      </c>
      <c r="D90" s="80">
        <f t="shared" si="32"/>
        <v>2.0000000000000004E-4</v>
      </c>
      <c r="E90" s="179">
        <v>390.00000000000006</v>
      </c>
      <c r="F90" s="80">
        <f t="shared" si="23"/>
        <v>2.0000000000000004E-4</v>
      </c>
      <c r="G90" s="179">
        <v>397.8</v>
      </c>
      <c r="H90" s="80">
        <f t="shared" si="24"/>
        <v>2.0000000000000001E-4</v>
      </c>
      <c r="I90" s="179">
        <v>405.75600000000003</v>
      </c>
      <c r="J90" s="80">
        <f t="shared" si="25"/>
        <v>2.0000000000000001E-4</v>
      </c>
      <c r="K90" s="179">
        <v>413.87112000000002</v>
      </c>
      <c r="L90" s="80">
        <f t="shared" si="26"/>
        <v>2.0000000000000001E-4</v>
      </c>
      <c r="M90" s="179">
        <v>422.14854240000011</v>
      </c>
      <c r="N90" s="80">
        <f t="shared" si="27"/>
        <v>2.0000000000000004E-4</v>
      </c>
      <c r="O90" s="179">
        <v>430.59151324800001</v>
      </c>
      <c r="P90" s="80">
        <f t="shared" si="28"/>
        <v>2.0000000000000001E-4</v>
      </c>
      <c r="Q90" s="179">
        <v>439.20334351296009</v>
      </c>
      <c r="R90" s="80">
        <f t="shared" si="29"/>
        <v>2.0000000000000001E-4</v>
      </c>
      <c r="S90" s="179">
        <v>447.9874103832193</v>
      </c>
      <c r="T90" s="80">
        <f t="shared" si="30"/>
        <v>2.0000000000000001E-4</v>
      </c>
      <c r="U90" s="179">
        <v>456.94715859088359</v>
      </c>
      <c r="V90" s="80">
        <f t="shared" si="31"/>
        <v>2.0000000000000001E-4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32"/>
        <v>0</v>
      </c>
      <c r="E91" s="179">
        <v>0</v>
      </c>
      <c r="F91" s="80">
        <f t="shared" si="23"/>
        <v>0</v>
      </c>
      <c r="G91" s="179">
        <v>0</v>
      </c>
      <c r="H91" s="80">
        <f t="shared" si="24"/>
        <v>0</v>
      </c>
      <c r="I91" s="179">
        <v>0</v>
      </c>
      <c r="J91" s="80">
        <f t="shared" si="25"/>
        <v>0</v>
      </c>
      <c r="K91" s="179">
        <v>0</v>
      </c>
      <c r="L91" s="80">
        <f t="shared" si="26"/>
        <v>0</v>
      </c>
      <c r="M91" s="179">
        <v>0</v>
      </c>
      <c r="N91" s="80">
        <f t="shared" si="27"/>
        <v>0</v>
      </c>
      <c r="O91" s="179">
        <v>0</v>
      </c>
      <c r="P91" s="80">
        <f t="shared" si="28"/>
        <v>0</v>
      </c>
      <c r="Q91" s="179">
        <v>0</v>
      </c>
      <c r="R91" s="80">
        <f t="shared" si="29"/>
        <v>0</v>
      </c>
      <c r="S91" s="179">
        <v>0</v>
      </c>
      <c r="T91" s="80">
        <f t="shared" si="30"/>
        <v>0</v>
      </c>
      <c r="U91" s="179">
        <v>0</v>
      </c>
      <c r="V91" s="80">
        <f t="shared" si="31"/>
        <v>0</v>
      </c>
      <c r="X91" s="200"/>
    </row>
    <row r="92" spans="1:24" ht="12.75" customHeight="1">
      <c r="A92" s="2" t="s">
        <v>423</v>
      </c>
      <c r="B92" s="35"/>
      <c r="C92" s="179">
        <v>10140</v>
      </c>
      <c r="D92" s="80">
        <f t="shared" si="32"/>
        <v>5.1999999999999998E-3</v>
      </c>
      <c r="E92" s="179">
        <v>10140</v>
      </c>
      <c r="F92" s="80">
        <f t="shared" si="23"/>
        <v>5.1999999999999998E-3</v>
      </c>
      <c r="G92" s="179">
        <v>10342.799999999999</v>
      </c>
      <c r="H92" s="80">
        <f t="shared" si="24"/>
        <v>5.1999999999999998E-3</v>
      </c>
      <c r="I92" s="179">
        <v>10549.655999999999</v>
      </c>
      <c r="J92" s="80">
        <f t="shared" si="25"/>
        <v>5.1999999999999998E-3</v>
      </c>
      <c r="K92" s="179">
        <v>10760.649119999998</v>
      </c>
      <c r="L92" s="80">
        <f t="shared" si="26"/>
        <v>5.1999999999999989E-3</v>
      </c>
      <c r="M92" s="179">
        <v>10975.8621024</v>
      </c>
      <c r="N92" s="80">
        <f t="shared" si="27"/>
        <v>5.1999999999999998E-3</v>
      </c>
      <c r="O92" s="179">
        <v>11195.379344447998</v>
      </c>
      <c r="P92" s="80">
        <f t="shared" si="28"/>
        <v>5.1999999999999989E-3</v>
      </c>
      <c r="Q92" s="179">
        <v>11419.286931336963</v>
      </c>
      <c r="R92" s="80">
        <f t="shared" si="29"/>
        <v>5.2000000000000006E-3</v>
      </c>
      <c r="S92" s="179">
        <v>11647.6726699637</v>
      </c>
      <c r="T92" s="80">
        <f t="shared" si="30"/>
        <v>5.1999999999999998E-3</v>
      </c>
      <c r="U92" s="179">
        <v>11880.626123362972</v>
      </c>
      <c r="V92" s="80">
        <f t="shared" si="31"/>
        <v>5.1999999999999998E-3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32"/>
        <v>0</v>
      </c>
      <c r="E93" s="179">
        <v>0</v>
      </c>
      <c r="F93" s="80">
        <f t="shared" si="23"/>
        <v>0</v>
      </c>
      <c r="G93" s="179">
        <v>0</v>
      </c>
      <c r="H93" s="80">
        <f t="shared" si="24"/>
        <v>0</v>
      </c>
      <c r="I93" s="179">
        <v>0</v>
      </c>
      <c r="J93" s="80">
        <f t="shared" si="25"/>
        <v>0</v>
      </c>
      <c r="K93" s="179">
        <v>0</v>
      </c>
      <c r="L93" s="80">
        <f t="shared" si="26"/>
        <v>0</v>
      </c>
      <c r="M93" s="179">
        <v>0</v>
      </c>
      <c r="N93" s="80">
        <f t="shared" si="27"/>
        <v>0</v>
      </c>
      <c r="O93" s="179">
        <v>0</v>
      </c>
      <c r="P93" s="80">
        <f t="shared" si="28"/>
        <v>0</v>
      </c>
      <c r="Q93" s="179">
        <v>0</v>
      </c>
      <c r="R93" s="80">
        <f t="shared" si="29"/>
        <v>0</v>
      </c>
      <c r="S93" s="179">
        <v>0</v>
      </c>
      <c r="T93" s="80">
        <f t="shared" si="30"/>
        <v>0</v>
      </c>
      <c r="U93" s="179">
        <v>0</v>
      </c>
      <c r="V93" s="80">
        <f t="shared" si="31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32"/>
        <v>0</v>
      </c>
      <c r="E94" s="179">
        <v>0</v>
      </c>
      <c r="F94" s="80">
        <f t="shared" si="23"/>
        <v>0</v>
      </c>
      <c r="G94" s="179">
        <v>0</v>
      </c>
      <c r="H94" s="80">
        <f t="shared" si="24"/>
        <v>0</v>
      </c>
      <c r="I94" s="179">
        <v>0</v>
      </c>
      <c r="J94" s="80">
        <f t="shared" si="25"/>
        <v>0</v>
      </c>
      <c r="K94" s="179">
        <v>0</v>
      </c>
      <c r="L94" s="80">
        <f t="shared" si="26"/>
        <v>0</v>
      </c>
      <c r="M94" s="179">
        <v>0</v>
      </c>
      <c r="N94" s="80">
        <f t="shared" si="27"/>
        <v>0</v>
      </c>
      <c r="O94" s="179">
        <v>0</v>
      </c>
      <c r="P94" s="80">
        <f t="shared" si="28"/>
        <v>0</v>
      </c>
      <c r="Q94" s="179">
        <v>0</v>
      </c>
      <c r="R94" s="80">
        <f t="shared" si="29"/>
        <v>0</v>
      </c>
      <c r="S94" s="179">
        <v>0</v>
      </c>
      <c r="T94" s="80">
        <f t="shared" si="30"/>
        <v>0</v>
      </c>
      <c r="U94" s="179">
        <v>0</v>
      </c>
      <c r="V94" s="80">
        <f t="shared" si="31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32"/>
        <v>0</v>
      </c>
      <c r="E95" s="179">
        <v>0</v>
      </c>
      <c r="F95" s="80">
        <f t="shared" si="23"/>
        <v>0</v>
      </c>
      <c r="G95" s="179">
        <v>0</v>
      </c>
      <c r="H95" s="80">
        <f t="shared" si="24"/>
        <v>0</v>
      </c>
      <c r="I95" s="179">
        <v>0</v>
      </c>
      <c r="J95" s="80">
        <f t="shared" si="25"/>
        <v>0</v>
      </c>
      <c r="K95" s="179">
        <v>0</v>
      </c>
      <c r="L95" s="80">
        <f t="shared" si="26"/>
        <v>0</v>
      </c>
      <c r="M95" s="179">
        <v>0</v>
      </c>
      <c r="N95" s="80">
        <f t="shared" si="27"/>
        <v>0</v>
      </c>
      <c r="O95" s="179">
        <v>0</v>
      </c>
      <c r="P95" s="80">
        <f t="shared" si="28"/>
        <v>0</v>
      </c>
      <c r="Q95" s="179">
        <v>0</v>
      </c>
      <c r="R95" s="80">
        <f t="shared" si="29"/>
        <v>0</v>
      </c>
      <c r="S95" s="179">
        <v>0</v>
      </c>
      <c r="T95" s="80">
        <f t="shared" si="30"/>
        <v>0</v>
      </c>
      <c r="U95" s="179">
        <v>0</v>
      </c>
      <c r="V95" s="80">
        <f t="shared" si="31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32"/>
        <v>0</v>
      </c>
      <c r="E96" s="179">
        <v>0</v>
      </c>
      <c r="F96" s="80">
        <f t="shared" si="23"/>
        <v>0</v>
      </c>
      <c r="G96" s="179">
        <v>0</v>
      </c>
      <c r="H96" s="80">
        <f t="shared" si="24"/>
        <v>0</v>
      </c>
      <c r="I96" s="179">
        <v>0</v>
      </c>
      <c r="J96" s="80">
        <f t="shared" si="25"/>
        <v>0</v>
      </c>
      <c r="K96" s="179">
        <v>0</v>
      </c>
      <c r="L96" s="80">
        <f t="shared" si="26"/>
        <v>0</v>
      </c>
      <c r="M96" s="179">
        <v>0</v>
      </c>
      <c r="N96" s="80">
        <f t="shared" si="27"/>
        <v>0</v>
      </c>
      <c r="O96" s="179">
        <v>0</v>
      </c>
      <c r="P96" s="80">
        <f t="shared" si="28"/>
        <v>0</v>
      </c>
      <c r="Q96" s="179">
        <v>0</v>
      </c>
      <c r="R96" s="80">
        <f t="shared" si="29"/>
        <v>0</v>
      </c>
      <c r="S96" s="179">
        <v>0</v>
      </c>
      <c r="T96" s="80">
        <f t="shared" si="30"/>
        <v>0</v>
      </c>
      <c r="U96" s="179">
        <v>0</v>
      </c>
      <c r="V96" s="80">
        <f t="shared" si="31"/>
        <v>0</v>
      </c>
      <c r="X96" s="200"/>
    </row>
    <row r="97" spans="1:24" ht="12.75" customHeight="1">
      <c r="A97" s="2" t="s">
        <v>428</v>
      </c>
      <c r="B97" s="35"/>
      <c r="C97" s="179">
        <v>16832.227999999999</v>
      </c>
      <c r="D97" s="80">
        <f t="shared" si="32"/>
        <v>8.6319117948717942E-3</v>
      </c>
      <c r="E97" s="179">
        <v>18524.732536</v>
      </c>
      <c r="F97" s="80">
        <f t="shared" si="23"/>
        <v>9.4998628389743583E-3</v>
      </c>
      <c r="G97" s="179">
        <v>19150.394424759997</v>
      </c>
      <c r="H97" s="80">
        <f t="shared" si="24"/>
        <v>9.6281520486475609E-3</v>
      </c>
      <c r="I97" s="179">
        <v>19746.91710572732</v>
      </c>
      <c r="J97" s="80">
        <f t="shared" si="25"/>
        <v>9.7333949988304899E-3</v>
      </c>
      <c r="K97" s="179">
        <v>20240.590033370499</v>
      </c>
      <c r="L97" s="80">
        <f t="shared" si="26"/>
        <v>9.7811077194129899E-3</v>
      </c>
      <c r="M97" s="179">
        <v>20746.604784204763</v>
      </c>
      <c r="N97" s="80">
        <f t="shared" si="27"/>
        <v>9.8290543258806994E-3</v>
      </c>
      <c r="O97" s="179">
        <v>21265.26990380988</v>
      </c>
      <c r="P97" s="80">
        <f t="shared" si="28"/>
        <v>9.8772359647330554E-3</v>
      </c>
      <c r="Q97" s="179">
        <v>21796.901651405122</v>
      </c>
      <c r="R97" s="80">
        <f t="shared" si="29"/>
        <v>9.9256537880895879E-3</v>
      </c>
      <c r="S97" s="179">
        <v>22341.824192690252</v>
      </c>
      <c r="T97" s="80">
        <f t="shared" si="30"/>
        <v>9.9743089537174777E-3</v>
      </c>
      <c r="U97" s="179">
        <v>22900.369797507501</v>
      </c>
      <c r="V97" s="80">
        <f t="shared" si="31"/>
        <v>1.0023202625059228E-2</v>
      </c>
      <c r="X97" s="200"/>
    </row>
    <row r="98" spans="1:24" ht="12.75" customHeight="1">
      <c r="A98" s="117" t="s">
        <v>431</v>
      </c>
      <c r="B98" s="35"/>
      <c r="C98" s="179">
        <v>2339.9999999999995</v>
      </c>
      <c r="D98" s="80">
        <f t="shared" si="32"/>
        <v>1.1999999999999997E-3</v>
      </c>
      <c r="E98" s="179">
        <v>2340</v>
      </c>
      <c r="F98" s="80">
        <f t="shared" si="23"/>
        <v>1.1999999999999999E-3</v>
      </c>
      <c r="G98" s="179">
        <v>2386.7999999999997</v>
      </c>
      <c r="H98" s="80">
        <f t="shared" si="24"/>
        <v>1.1999999999999999E-3</v>
      </c>
      <c r="I98" s="179">
        <v>2434.5359999999996</v>
      </c>
      <c r="J98" s="80">
        <f t="shared" si="25"/>
        <v>1.1999999999999999E-3</v>
      </c>
      <c r="K98" s="179">
        <v>2483.2267199999997</v>
      </c>
      <c r="L98" s="80">
        <f t="shared" si="26"/>
        <v>1.1999999999999997E-3</v>
      </c>
      <c r="M98" s="179">
        <v>2532.8912544</v>
      </c>
      <c r="N98" s="80">
        <f t="shared" si="27"/>
        <v>1.1999999999999999E-3</v>
      </c>
      <c r="O98" s="179">
        <v>2583.5490794879997</v>
      </c>
      <c r="P98" s="80">
        <f t="shared" si="28"/>
        <v>1.1999999999999999E-3</v>
      </c>
      <c r="Q98" s="179">
        <v>2635.22006107776</v>
      </c>
      <c r="R98" s="80">
        <f t="shared" si="29"/>
        <v>1.1999999999999999E-3</v>
      </c>
      <c r="S98" s="179">
        <v>2687.9244622993156</v>
      </c>
      <c r="T98" s="80">
        <f t="shared" si="30"/>
        <v>1.1999999999999999E-3</v>
      </c>
      <c r="U98" s="179">
        <v>2741.682951545301</v>
      </c>
      <c r="V98" s="80">
        <f t="shared" si="31"/>
        <v>1.1999999999999999E-3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32"/>
        <v>0</v>
      </c>
      <c r="E99" s="179">
        <v>0</v>
      </c>
      <c r="F99" s="80">
        <f t="shared" si="23"/>
        <v>0</v>
      </c>
      <c r="G99" s="179">
        <v>0</v>
      </c>
      <c r="H99" s="80">
        <f t="shared" si="24"/>
        <v>0</v>
      </c>
      <c r="I99" s="179">
        <v>0</v>
      </c>
      <c r="J99" s="80">
        <f t="shared" si="25"/>
        <v>0</v>
      </c>
      <c r="K99" s="179">
        <v>0</v>
      </c>
      <c r="L99" s="80">
        <f t="shared" si="26"/>
        <v>0</v>
      </c>
      <c r="M99" s="179">
        <v>0</v>
      </c>
      <c r="N99" s="80">
        <f t="shared" si="27"/>
        <v>0</v>
      </c>
      <c r="O99" s="179">
        <v>0</v>
      </c>
      <c r="P99" s="80">
        <f t="shared" si="28"/>
        <v>0</v>
      </c>
      <c r="Q99" s="179">
        <v>0</v>
      </c>
      <c r="R99" s="80">
        <f t="shared" si="29"/>
        <v>0</v>
      </c>
      <c r="S99" s="179">
        <v>0</v>
      </c>
      <c r="T99" s="80">
        <f t="shared" si="30"/>
        <v>0</v>
      </c>
      <c r="U99" s="179">
        <v>0</v>
      </c>
      <c r="V99" s="80">
        <f t="shared" si="31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32"/>
        <v>0</v>
      </c>
      <c r="E100" s="179">
        <v>0</v>
      </c>
      <c r="F100" s="80">
        <f t="shared" si="23"/>
        <v>0</v>
      </c>
      <c r="G100" s="179">
        <v>0</v>
      </c>
      <c r="H100" s="80">
        <f t="shared" si="24"/>
        <v>0</v>
      </c>
      <c r="I100" s="179">
        <v>0</v>
      </c>
      <c r="J100" s="80">
        <f t="shared" si="25"/>
        <v>0</v>
      </c>
      <c r="K100" s="179">
        <v>0</v>
      </c>
      <c r="L100" s="80">
        <f t="shared" si="26"/>
        <v>0</v>
      </c>
      <c r="M100" s="179">
        <v>0</v>
      </c>
      <c r="N100" s="80">
        <f t="shared" si="27"/>
        <v>0</v>
      </c>
      <c r="O100" s="179">
        <v>0</v>
      </c>
      <c r="P100" s="80">
        <f t="shared" si="28"/>
        <v>0</v>
      </c>
      <c r="Q100" s="179">
        <v>0</v>
      </c>
      <c r="R100" s="80">
        <f t="shared" si="29"/>
        <v>0</v>
      </c>
      <c r="S100" s="179">
        <v>0</v>
      </c>
      <c r="T100" s="80">
        <f t="shared" si="30"/>
        <v>0</v>
      </c>
      <c r="U100" s="179">
        <v>0</v>
      </c>
      <c r="V100" s="80">
        <f t="shared" si="31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32"/>
        <v>0</v>
      </c>
      <c r="E101" s="179"/>
      <c r="F101" s="80">
        <f t="shared" si="23"/>
        <v>0</v>
      </c>
      <c r="G101" s="179"/>
      <c r="H101" s="80">
        <f t="shared" si="24"/>
        <v>0</v>
      </c>
      <c r="I101" s="179">
        <v>0</v>
      </c>
      <c r="J101" s="80">
        <f t="shared" si="25"/>
        <v>0</v>
      </c>
      <c r="K101" s="179">
        <v>0</v>
      </c>
      <c r="L101" s="80">
        <f t="shared" si="26"/>
        <v>0</v>
      </c>
      <c r="M101" s="179">
        <v>0</v>
      </c>
      <c r="N101" s="80">
        <f t="shared" si="27"/>
        <v>0</v>
      </c>
      <c r="O101" s="179">
        <v>0</v>
      </c>
      <c r="P101" s="80">
        <f t="shared" si="28"/>
        <v>0</v>
      </c>
      <c r="Q101" s="179">
        <v>0</v>
      </c>
      <c r="R101" s="80">
        <f t="shared" si="29"/>
        <v>0</v>
      </c>
      <c r="S101" s="179">
        <v>0</v>
      </c>
      <c r="T101" s="80">
        <f t="shared" si="30"/>
        <v>0</v>
      </c>
      <c r="U101" s="179">
        <v>0</v>
      </c>
      <c r="V101" s="80">
        <f t="shared" si="31"/>
        <v>0</v>
      </c>
      <c r="X101" s="200"/>
    </row>
    <row r="102" spans="1:24" ht="12.75" customHeight="1">
      <c r="A102" s="117" t="s">
        <v>433</v>
      </c>
      <c r="B102" s="35"/>
      <c r="C102" s="179">
        <v>19500</v>
      </c>
      <c r="D102" s="80">
        <f t="shared" si="32"/>
        <v>0.01</v>
      </c>
      <c r="E102" s="179">
        <v>19500</v>
      </c>
      <c r="F102" s="80">
        <f t="shared" si="23"/>
        <v>0.01</v>
      </c>
      <c r="G102" s="179">
        <v>19890</v>
      </c>
      <c r="H102" s="80">
        <f t="shared" si="24"/>
        <v>0.01</v>
      </c>
      <c r="I102" s="179">
        <v>20287.8</v>
      </c>
      <c r="J102" s="80">
        <f t="shared" si="25"/>
        <v>0.01</v>
      </c>
      <c r="K102" s="179">
        <v>20693.556</v>
      </c>
      <c r="L102" s="80">
        <f t="shared" si="26"/>
        <v>0.01</v>
      </c>
      <c r="M102" s="179">
        <v>21107.42712</v>
      </c>
      <c r="N102" s="80">
        <f t="shared" si="27"/>
        <v>9.9999999999999985E-3</v>
      </c>
      <c r="O102" s="179">
        <v>21529.575662400002</v>
      </c>
      <c r="P102" s="80">
        <f t="shared" si="28"/>
        <v>0.01</v>
      </c>
      <c r="Q102" s="179">
        <v>21960.167175648006</v>
      </c>
      <c r="R102" s="80">
        <f t="shared" si="29"/>
        <v>1.0000000000000002E-2</v>
      </c>
      <c r="S102" s="179">
        <v>22399.370519160966</v>
      </c>
      <c r="T102" s="80">
        <f t="shared" si="30"/>
        <v>1.0000000000000002E-2</v>
      </c>
      <c r="U102" s="179">
        <v>22847.357929544178</v>
      </c>
      <c r="V102" s="80">
        <f t="shared" si="31"/>
        <v>0.01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32"/>
        <v>0</v>
      </c>
      <c r="E103" s="179">
        <v>0</v>
      </c>
      <c r="F103" s="80">
        <f t="shared" si="23"/>
        <v>0</v>
      </c>
      <c r="G103" s="179">
        <v>0</v>
      </c>
      <c r="H103" s="80">
        <f t="shared" si="24"/>
        <v>0</v>
      </c>
      <c r="I103" s="179">
        <v>0</v>
      </c>
      <c r="J103" s="80">
        <f t="shared" si="25"/>
        <v>0</v>
      </c>
      <c r="K103" s="179">
        <v>0</v>
      </c>
      <c r="L103" s="80">
        <f t="shared" si="26"/>
        <v>0</v>
      </c>
      <c r="M103" s="179">
        <v>0</v>
      </c>
      <c r="N103" s="80">
        <f t="shared" si="27"/>
        <v>0</v>
      </c>
      <c r="O103" s="179">
        <v>0</v>
      </c>
      <c r="P103" s="80">
        <f t="shared" si="28"/>
        <v>0</v>
      </c>
      <c r="Q103" s="179">
        <v>0</v>
      </c>
      <c r="R103" s="80">
        <f t="shared" si="29"/>
        <v>0</v>
      </c>
      <c r="S103" s="179">
        <v>0</v>
      </c>
      <c r="T103" s="80">
        <f t="shared" si="30"/>
        <v>0</v>
      </c>
      <c r="U103" s="179">
        <v>0</v>
      </c>
      <c r="V103" s="80">
        <f t="shared" si="31"/>
        <v>0</v>
      </c>
      <c r="X103" s="200"/>
    </row>
    <row r="104" spans="1:24" ht="12.75" customHeight="1">
      <c r="A104" s="117" t="s">
        <v>433</v>
      </c>
      <c r="B104" s="35"/>
      <c r="C104" s="179">
        <v>0</v>
      </c>
      <c r="D104" s="80">
        <f t="shared" si="32"/>
        <v>0</v>
      </c>
      <c r="E104" s="179">
        <v>0</v>
      </c>
      <c r="F104" s="80">
        <f t="shared" si="23"/>
        <v>0</v>
      </c>
      <c r="G104" s="179">
        <v>0</v>
      </c>
      <c r="H104" s="80">
        <f t="shared" si="24"/>
        <v>0</v>
      </c>
      <c r="I104" s="179">
        <v>0</v>
      </c>
      <c r="J104" s="80">
        <f t="shared" si="25"/>
        <v>0</v>
      </c>
      <c r="K104" s="179">
        <v>0</v>
      </c>
      <c r="L104" s="80">
        <f t="shared" si="26"/>
        <v>0</v>
      </c>
      <c r="M104" s="179">
        <v>0</v>
      </c>
      <c r="N104" s="80">
        <f t="shared" si="27"/>
        <v>0</v>
      </c>
      <c r="O104" s="179">
        <v>0</v>
      </c>
      <c r="P104" s="80">
        <f t="shared" si="28"/>
        <v>0</v>
      </c>
      <c r="Q104" s="179">
        <v>0</v>
      </c>
      <c r="R104" s="80">
        <f t="shared" si="29"/>
        <v>0</v>
      </c>
      <c r="S104" s="179">
        <v>0</v>
      </c>
      <c r="T104" s="80">
        <f t="shared" si="30"/>
        <v>0</v>
      </c>
      <c r="U104" s="179">
        <v>0</v>
      </c>
      <c r="V104" s="80">
        <f t="shared" si="31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337085.47732088377</v>
      </c>
      <c r="D105" s="83">
        <f t="shared" si="32"/>
        <v>0.17286434734404296</v>
      </c>
      <c r="E105" s="82">
        <f>SUM(E52:E104)</f>
        <v>327146.00742096588</v>
      </c>
      <c r="F105" s="83">
        <f t="shared" si="23"/>
        <v>0.16776718329280302</v>
      </c>
      <c r="G105" s="82">
        <f>SUM(G52:G104)</f>
        <v>336221.94726657477</v>
      </c>
      <c r="H105" s="83">
        <f t="shared" si="24"/>
        <v>0.16904069746936892</v>
      </c>
      <c r="I105" s="82">
        <f>SUM(I52:I104)</f>
        <v>343001.88892495749</v>
      </c>
      <c r="J105" s="83">
        <f t="shared" si="25"/>
        <v>0.16906805514888626</v>
      </c>
      <c r="K105" s="82">
        <f>SUM(K52:K104)</f>
        <v>349750.35789751034</v>
      </c>
      <c r="L105" s="83">
        <f t="shared" si="26"/>
        <v>0.16901414039110066</v>
      </c>
      <c r="M105" s="82">
        <f>SUM(M52:M104)</f>
        <v>356807.86583497567</v>
      </c>
      <c r="N105" s="83">
        <f t="shared" si="27"/>
        <v>0.16904375119073045</v>
      </c>
      <c r="O105" s="82">
        <f>SUM(O52:O104)</f>
        <v>364009.39652364422</v>
      </c>
      <c r="P105" s="83">
        <f t="shared" si="28"/>
        <v>0.1690741156405432</v>
      </c>
      <c r="Q105" s="82">
        <f>SUM(Q52:Q104)</f>
        <v>371357.24430009362</v>
      </c>
      <c r="R105" s="83">
        <f t="shared" si="29"/>
        <v>0.16910492590051768</v>
      </c>
      <c r="S105" s="82">
        <f>SUM(S52:S104)</f>
        <v>378853.76582632301</v>
      </c>
      <c r="T105" s="83">
        <f t="shared" si="30"/>
        <v>0.16913589848529106</v>
      </c>
      <c r="U105" s="82">
        <f>SUM(U52:U104)</f>
        <v>387256.67686191597</v>
      </c>
      <c r="V105" s="83">
        <f t="shared" si="31"/>
        <v>0.16949735634909013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545065.85067911621</v>
      </c>
      <c r="D107" s="83">
        <f>IFERROR(C107/C$28,0)</f>
        <v>0.27952094906621344</v>
      </c>
      <c r="E107" s="82">
        <f>E28-E33-E46-E105</f>
        <v>511684.56931503402</v>
      </c>
      <c r="F107" s="83">
        <f>IFERROR(E107/E$28,0)</f>
        <v>0.262402343238479</v>
      </c>
      <c r="G107" s="82">
        <f>G28-G33-G46-G105</f>
        <v>512848.17465518526</v>
      </c>
      <c r="H107" s="83">
        <f>IFERROR(G107/G$28,0)</f>
        <v>0.25784221953503533</v>
      </c>
      <c r="I107" s="82">
        <f>I28-I33-I46-I105</f>
        <v>517575.45833579882</v>
      </c>
      <c r="J107" s="83">
        <f>IFERROR(I107/I$28,0)</f>
        <v>0.25511660127554431</v>
      </c>
      <c r="K107" s="82">
        <f>K28-K33-K46-K105</f>
        <v>525494.29054476507</v>
      </c>
      <c r="L107" s="83">
        <f>IFERROR(K107/K$28,0)</f>
        <v>0.25394102905501842</v>
      </c>
      <c r="M107" s="82">
        <f>M28-M33-M46-M105</f>
        <v>533333.82366835675</v>
      </c>
      <c r="N107" s="83">
        <f>IFERROR(M107/M$28,0)</f>
        <v>0.25267590438012449</v>
      </c>
      <c r="O107" s="82">
        <f>O28-O33-O46-O105</f>
        <v>541262.07856427121</v>
      </c>
      <c r="P107" s="83">
        <f>IFERROR(O107/O$28,0)</f>
        <v>0.25140396961448253</v>
      </c>
      <c r="Q107" s="82">
        <f>Q28-Q33-Q46-Q105</f>
        <v>549279.78587896004</v>
      </c>
      <c r="R107" s="83">
        <f>IFERROR(Q107/Q$28,0)</f>
        <v>0.25012550290967983</v>
      </c>
      <c r="S107" s="82">
        <f>S28-S33-S46-S105</f>
        <v>557387.63368542586</v>
      </c>
      <c r="T107" s="83">
        <f>IFERROR(S107/S$28,0)</f>
        <v>0.24884075791711333</v>
      </c>
      <c r="U107" s="82">
        <f>U28-U33-U46-U105</f>
        <v>564830.97008740914</v>
      </c>
      <c r="V107" s="83">
        <f>IFERROR(U107/U$28,0)</f>
        <v>0.24721938170234545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33">IFERROR(C111/C$28,0)</f>
        <v>0</v>
      </c>
      <c r="E111" s="79">
        <f>E59</f>
        <v>0</v>
      </c>
      <c r="F111" s="80">
        <f t="shared" ref="F111:F116" si="34">IFERROR(E111/E$28,0)</f>
        <v>0</v>
      </c>
      <c r="G111" s="79">
        <f>G59</f>
        <v>0</v>
      </c>
      <c r="H111" s="80">
        <f t="shared" ref="H111:H116" si="35">IFERROR(G111/G$28,0)</f>
        <v>0</v>
      </c>
      <c r="I111" s="79">
        <f>I59</f>
        <v>0</v>
      </c>
      <c r="J111" s="80">
        <f t="shared" ref="J111:J116" si="36">IFERROR(I111/I$28,0)</f>
        <v>0</v>
      </c>
      <c r="K111" s="79">
        <f>K59</f>
        <v>0</v>
      </c>
      <c r="L111" s="80">
        <f t="shared" ref="L111:L116" si="37">IFERROR(K111/K$28,0)</f>
        <v>0</v>
      </c>
      <c r="M111" s="79">
        <f>M59</f>
        <v>0</v>
      </c>
      <c r="N111" s="80">
        <f t="shared" ref="N111:N116" si="38">IFERROR(M111/M$28,0)</f>
        <v>0</v>
      </c>
      <c r="O111" s="79">
        <f>O59</f>
        <v>0</v>
      </c>
      <c r="P111" s="80">
        <f t="shared" ref="P111:P116" si="39">IFERROR(O111/O$28,0)</f>
        <v>0</v>
      </c>
      <c r="Q111" s="79">
        <f>Q59</f>
        <v>0</v>
      </c>
      <c r="R111" s="80">
        <f t="shared" ref="R111:R116" si="40">IFERROR(Q111/Q$28,0)</f>
        <v>0</v>
      </c>
      <c r="S111" s="79">
        <f>S59</f>
        <v>0</v>
      </c>
      <c r="T111" s="80">
        <f t="shared" ref="T111:T116" si="41">IFERROR(S111/S$28,0)</f>
        <v>0</v>
      </c>
      <c r="U111" s="79">
        <f>U59</f>
        <v>0</v>
      </c>
      <c r="V111" s="80">
        <f t="shared" ref="V111:V116" si="42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33"/>
        <v>0</v>
      </c>
      <c r="E112" s="79">
        <f>E62</f>
        <v>0</v>
      </c>
      <c r="F112" s="80">
        <f t="shared" si="34"/>
        <v>0</v>
      </c>
      <c r="G112" s="79">
        <f>G62</f>
        <v>0</v>
      </c>
      <c r="H112" s="80">
        <f t="shared" si="35"/>
        <v>0</v>
      </c>
      <c r="I112" s="79">
        <f>I62</f>
        <v>0</v>
      </c>
      <c r="J112" s="80">
        <f t="shared" si="36"/>
        <v>0</v>
      </c>
      <c r="K112" s="79">
        <f>K62</f>
        <v>0</v>
      </c>
      <c r="L112" s="80">
        <f t="shared" si="37"/>
        <v>0</v>
      </c>
      <c r="M112" s="79">
        <f>M62</f>
        <v>0</v>
      </c>
      <c r="N112" s="80">
        <f t="shared" si="38"/>
        <v>0</v>
      </c>
      <c r="O112" s="79">
        <f>O62</f>
        <v>0</v>
      </c>
      <c r="P112" s="80">
        <f t="shared" si="39"/>
        <v>0</v>
      </c>
      <c r="Q112" s="79">
        <f>Q62</f>
        <v>0</v>
      </c>
      <c r="R112" s="80">
        <f t="shared" si="40"/>
        <v>0</v>
      </c>
      <c r="S112" s="79">
        <f>S62</f>
        <v>0</v>
      </c>
      <c r="T112" s="80">
        <f t="shared" si="41"/>
        <v>0</v>
      </c>
      <c r="U112" s="79">
        <f>U62</f>
        <v>0</v>
      </c>
      <c r="V112" s="80">
        <f t="shared" si="42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33"/>
        <v>0</v>
      </c>
      <c r="E113" s="111">
        <v>0</v>
      </c>
      <c r="F113" s="80">
        <f t="shared" si="34"/>
        <v>0</v>
      </c>
      <c r="G113" s="111">
        <v>0</v>
      </c>
      <c r="H113" s="80">
        <f t="shared" si="35"/>
        <v>0</v>
      </c>
      <c r="I113" s="111">
        <v>0</v>
      </c>
      <c r="J113" s="80">
        <f t="shared" si="36"/>
        <v>0</v>
      </c>
      <c r="K113" s="111">
        <v>0</v>
      </c>
      <c r="L113" s="80">
        <f t="shared" si="37"/>
        <v>0</v>
      </c>
      <c r="M113" s="111">
        <v>0</v>
      </c>
      <c r="N113" s="80">
        <f t="shared" si="38"/>
        <v>0</v>
      </c>
      <c r="O113" s="111">
        <v>0</v>
      </c>
      <c r="P113" s="80">
        <f t="shared" si="39"/>
        <v>0</v>
      </c>
      <c r="Q113" s="111">
        <v>0</v>
      </c>
      <c r="R113" s="80">
        <f t="shared" si="40"/>
        <v>0</v>
      </c>
      <c r="S113" s="111">
        <v>0</v>
      </c>
      <c r="T113" s="80">
        <f t="shared" si="41"/>
        <v>0</v>
      </c>
      <c r="U113" s="111">
        <v>0</v>
      </c>
      <c r="V113" s="80">
        <f t="shared" si="42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33"/>
        <v>0</v>
      </c>
      <c r="E114" s="111">
        <v>0</v>
      </c>
      <c r="F114" s="80">
        <f t="shared" si="34"/>
        <v>0</v>
      </c>
      <c r="G114" s="111">
        <v>0</v>
      </c>
      <c r="H114" s="80">
        <f t="shared" si="35"/>
        <v>0</v>
      </c>
      <c r="I114" s="111">
        <v>0</v>
      </c>
      <c r="J114" s="80">
        <f t="shared" si="36"/>
        <v>0</v>
      </c>
      <c r="K114" s="111">
        <v>0</v>
      </c>
      <c r="L114" s="80">
        <f t="shared" si="37"/>
        <v>0</v>
      </c>
      <c r="M114" s="111">
        <v>0</v>
      </c>
      <c r="N114" s="80">
        <f t="shared" si="38"/>
        <v>0</v>
      </c>
      <c r="O114" s="111">
        <v>0</v>
      </c>
      <c r="P114" s="80">
        <f t="shared" si="39"/>
        <v>0</v>
      </c>
      <c r="Q114" s="111">
        <v>0</v>
      </c>
      <c r="R114" s="80">
        <f t="shared" si="40"/>
        <v>0</v>
      </c>
      <c r="S114" s="111">
        <v>0</v>
      </c>
      <c r="T114" s="80">
        <f t="shared" si="41"/>
        <v>0</v>
      </c>
      <c r="U114" s="111">
        <v>0</v>
      </c>
      <c r="V114" s="80">
        <f t="shared" si="42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33"/>
        <v>0</v>
      </c>
      <c r="E115" s="112">
        <v>0</v>
      </c>
      <c r="F115" s="80">
        <f t="shared" si="34"/>
        <v>0</v>
      </c>
      <c r="G115" s="112">
        <v>0</v>
      </c>
      <c r="H115" s="80">
        <f t="shared" si="35"/>
        <v>0</v>
      </c>
      <c r="I115" s="112">
        <v>0</v>
      </c>
      <c r="J115" s="80">
        <f t="shared" si="36"/>
        <v>0</v>
      </c>
      <c r="K115" s="112">
        <v>0</v>
      </c>
      <c r="L115" s="80">
        <f t="shared" si="37"/>
        <v>0</v>
      </c>
      <c r="M115" s="112">
        <v>0</v>
      </c>
      <c r="N115" s="80">
        <f t="shared" si="38"/>
        <v>0</v>
      </c>
      <c r="O115" s="112">
        <v>0</v>
      </c>
      <c r="P115" s="80">
        <f t="shared" si="39"/>
        <v>0</v>
      </c>
      <c r="Q115" s="112">
        <v>0</v>
      </c>
      <c r="R115" s="80">
        <f t="shared" si="40"/>
        <v>0</v>
      </c>
      <c r="S115" s="112">
        <v>0</v>
      </c>
      <c r="T115" s="80">
        <f t="shared" si="41"/>
        <v>0</v>
      </c>
      <c r="U115" s="112">
        <v>0</v>
      </c>
      <c r="V115" s="80">
        <f t="shared" si="42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33"/>
        <v>0</v>
      </c>
      <c r="E116" s="85">
        <f>SUM(E111:E115)</f>
        <v>0</v>
      </c>
      <c r="F116" s="83">
        <f t="shared" si="34"/>
        <v>0</v>
      </c>
      <c r="G116" s="85">
        <f>SUM(G111:G115)</f>
        <v>0</v>
      </c>
      <c r="H116" s="83">
        <f t="shared" si="35"/>
        <v>0</v>
      </c>
      <c r="I116" s="85">
        <f>SUM(I111:I115)</f>
        <v>0</v>
      </c>
      <c r="J116" s="83">
        <f t="shared" si="36"/>
        <v>0</v>
      </c>
      <c r="K116" s="85">
        <f>SUM(K111:K115)</f>
        <v>0</v>
      </c>
      <c r="L116" s="83">
        <f t="shared" si="37"/>
        <v>0</v>
      </c>
      <c r="M116" s="85">
        <f>SUM(M111:M115)</f>
        <v>0</v>
      </c>
      <c r="N116" s="83">
        <f t="shared" si="38"/>
        <v>0</v>
      </c>
      <c r="O116" s="85">
        <f>SUM(O111:O115)</f>
        <v>0</v>
      </c>
      <c r="P116" s="83">
        <f t="shared" si="39"/>
        <v>0</v>
      </c>
      <c r="Q116" s="85">
        <f>SUM(Q111:Q115)</f>
        <v>0</v>
      </c>
      <c r="R116" s="83">
        <f t="shared" si="40"/>
        <v>0</v>
      </c>
      <c r="S116" s="85">
        <f>SUM(S111:S115)</f>
        <v>0</v>
      </c>
      <c r="T116" s="83">
        <f t="shared" si="41"/>
        <v>0</v>
      </c>
      <c r="U116" s="85">
        <f>SUM(U111:U115)</f>
        <v>0</v>
      </c>
      <c r="V116" s="83">
        <f t="shared" si="42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454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0.59999389629810485"/>
  </sheetPr>
  <dimension ref="A1:X119"/>
  <sheetViews>
    <sheetView topLeftCell="A31" zoomScale="70" zoomScaleNormal="70" workbookViewId="0" xr3:uid="{274F5AE0-5452-572F-8038-C13FFDA59D49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38.57031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35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Miro's Food Truck (Green Library)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36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160</v>
      </c>
      <c r="E8" s="109">
        <f>+C8</f>
        <v>160</v>
      </c>
      <c r="G8" s="109">
        <f>+E8</f>
        <v>160</v>
      </c>
      <c r="I8" s="109">
        <f>+G8</f>
        <v>160</v>
      </c>
      <c r="K8" s="109">
        <f>+I8</f>
        <v>160</v>
      </c>
      <c r="M8" s="109">
        <f>+K8</f>
        <v>160</v>
      </c>
      <c r="O8" s="109">
        <f>+M8</f>
        <v>160</v>
      </c>
      <c r="Q8" s="109">
        <f>+O8</f>
        <v>160</v>
      </c>
      <c r="S8" s="109">
        <f>+Q8</f>
        <v>160</v>
      </c>
      <c r="U8" s="109">
        <f>+S8</f>
        <v>160</v>
      </c>
    </row>
    <row r="10" spans="1:22" ht="12.75" customHeight="1">
      <c r="A10" s="2" t="s">
        <v>449</v>
      </c>
      <c r="C10" s="109"/>
      <c r="E10" s="109"/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450</v>
      </c>
      <c r="C12" s="110"/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451</v>
      </c>
      <c r="C14" s="121">
        <f>C12*C10*C8</f>
        <v>0</v>
      </c>
      <c r="E14" s="121">
        <f>E12*E10*E8</f>
        <v>0</v>
      </c>
      <c r="G14" s="121">
        <f>G12*G10*G8</f>
        <v>0</v>
      </c>
      <c r="I14" s="121">
        <f>I12*I10*I8</f>
        <v>0</v>
      </c>
      <c r="K14" s="121">
        <f>K12*K10*K8</f>
        <v>0</v>
      </c>
      <c r="M14" s="121">
        <f>M12*M10*M8</f>
        <v>0</v>
      </c>
      <c r="O14" s="121">
        <f>O12*O10*O8</f>
        <v>0</v>
      </c>
      <c r="Q14" s="121">
        <f>Q12*Q10*Q8</f>
        <v>0</v>
      </c>
      <c r="S14" s="121">
        <f>S12*S10*S8</f>
        <v>0</v>
      </c>
      <c r="U14" s="121">
        <f>U12*U10*U8</f>
        <v>0</v>
      </c>
    </row>
    <row r="15" spans="1:22" ht="12.75" customHeight="1">
      <c r="A15" s="39">
        <v>7.0000000000000007E-2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</f>
        <v>0</v>
      </c>
      <c r="D19" s="80">
        <f>IFERROR(C19/C$28,0)</f>
        <v>0</v>
      </c>
      <c r="E19" s="208">
        <f>+E14-E20</f>
        <v>0</v>
      </c>
      <c r="F19" s="80">
        <f>IFERROR(E19/E$28,0)</f>
        <v>0</v>
      </c>
      <c r="G19" s="111">
        <f>E19*1.02</f>
        <v>0</v>
      </c>
      <c r="H19" s="80">
        <f>IFERROR(G19/G$28,0)</f>
        <v>0</v>
      </c>
      <c r="I19" s="111">
        <f>G19*1.02</f>
        <v>0</v>
      </c>
      <c r="J19" s="80">
        <f>IFERROR(I19/I$28,0)</f>
        <v>0</v>
      </c>
      <c r="K19" s="111">
        <f>I19*1.02</f>
        <v>0</v>
      </c>
      <c r="L19" s="80">
        <f>IFERROR(K19/K$28,0)</f>
        <v>0</v>
      </c>
      <c r="M19" s="111">
        <f>K19*1.02</f>
        <v>0</v>
      </c>
      <c r="N19" s="80">
        <f>IFERROR(M19/M$28,0)</f>
        <v>0</v>
      </c>
      <c r="O19" s="111">
        <f>M19*1.02</f>
        <v>0</v>
      </c>
      <c r="P19" s="80">
        <f>IFERROR(O19/O$28,0)</f>
        <v>0</v>
      </c>
      <c r="Q19" s="111">
        <f>O19*1.02</f>
        <v>0</v>
      </c>
      <c r="R19" s="80">
        <f>IFERROR(Q19/Q$28,0)</f>
        <v>0</v>
      </c>
      <c r="S19" s="111">
        <f>Q19*1.02</f>
        <v>0</v>
      </c>
      <c r="T19" s="80">
        <f>IFERROR(S19/S$28,0)</f>
        <v>0</v>
      </c>
      <c r="U19" s="111">
        <f>S19*1.02</f>
        <v>0</v>
      </c>
      <c r="V19" s="80">
        <f>IFERROR(U19/U$28,0)</f>
        <v>0</v>
      </c>
    </row>
    <row r="20" spans="1:24" ht="12.75" customHeight="1">
      <c r="A20" s="2" t="s">
        <v>357</v>
      </c>
      <c r="B20" s="35"/>
      <c r="C20" s="111">
        <f>+C14*12.38%</f>
        <v>0</v>
      </c>
      <c r="D20" s="80">
        <f>IFERROR(C20/C$28,0)</f>
        <v>0</v>
      </c>
      <c r="E20" s="111">
        <f>+E14*53.27%</f>
        <v>0</v>
      </c>
      <c r="F20" s="80">
        <f>IFERROR(E20/E$28,0)</f>
        <v>0</v>
      </c>
      <c r="G20" s="111">
        <f t="shared" ref="G20:U21" si="0">E20*1.02</f>
        <v>0</v>
      </c>
      <c r="H20" s="80">
        <f>IFERROR(G20/G$28,0)</f>
        <v>0</v>
      </c>
      <c r="I20" s="111">
        <f t="shared" si="0"/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2" t="s">
        <v>358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455</v>
      </c>
      <c r="B27" s="35"/>
      <c r="C27" s="112">
        <f>250000*0.12</f>
        <v>30000</v>
      </c>
      <c r="D27" s="80">
        <f t="shared" si="1"/>
        <v>1</v>
      </c>
      <c r="E27" s="112">
        <f>+C27*1.02</f>
        <v>30600</v>
      </c>
      <c r="F27" s="80">
        <f t="shared" si="2"/>
        <v>1</v>
      </c>
      <c r="G27" s="112">
        <f>+E27*1.02</f>
        <v>31212</v>
      </c>
      <c r="H27" s="80">
        <f t="shared" si="3"/>
        <v>1</v>
      </c>
      <c r="I27" s="112">
        <f>+G27*1.02</f>
        <v>31836.240000000002</v>
      </c>
      <c r="J27" s="80">
        <f t="shared" si="4"/>
        <v>1</v>
      </c>
      <c r="K27" s="112">
        <f>+I27*1.02</f>
        <v>32472.964800000002</v>
      </c>
      <c r="L27" s="80">
        <f t="shared" si="5"/>
        <v>1</v>
      </c>
      <c r="M27" s="112">
        <f>+K27*1.02</f>
        <v>33122.424096000002</v>
      </c>
      <c r="N27" s="80">
        <f t="shared" si="6"/>
        <v>1</v>
      </c>
      <c r="O27" s="112">
        <f>+M27*1.02</f>
        <v>33784.872577920003</v>
      </c>
      <c r="P27" s="80">
        <f t="shared" si="7"/>
        <v>1</v>
      </c>
      <c r="Q27" s="112">
        <f>+O27*1.02</f>
        <v>34460.570029478404</v>
      </c>
      <c r="R27" s="80">
        <f t="shared" si="8"/>
        <v>1</v>
      </c>
      <c r="S27" s="112">
        <f>+Q27*1.02</f>
        <v>35149.781430067975</v>
      </c>
      <c r="T27" s="80">
        <f t="shared" si="9"/>
        <v>1</v>
      </c>
      <c r="U27" s="112">
        <f>+S27*1.02</f>
        <v>35852.777058669337</v>
      </c>
      <c r="V27" s="80">
        <f t="shared" si="10"/>
        <v>1</v>
      </c>
    </row>
    <row r="28" spans="1:24" ht="12.75" customHeight="1">
      <c r="A28" s="1" t="s">
        <v>365</v>
      </c>
      <c r="B28" s="53"/>
      <c r="C28" s="82">
        <f>SUM(C19:C27)</f>
        <v>30000</v>
      </c>
      <c r="D28" s="83">
        <f t="shared" si="1"/>
        <v>1</v>
      </c>
      <c r="E28" s="82">
        <f>SUM(E19:E27)</f>
        <v>30600</v>
      </c>
      <c r="F28" s="83">
        <f t="shared" si="2"/>
        <v>1</v>
      </c>
      <c r="G28" s="82">
        <f>SUM(G19:G27)</f>
        <v>31212</v>
      </c>
      <c r="H28" s="83">
        <f t="shared" si="3"/>
        <v>1</v>
      </c>
      <c r="I28" s="82">
        <f>SUM(I19:I27)</f>
        <v>31836.240000000002</v>
      </c>
      <c r="J28" s="83">
        <f t="shared" si="4"/>
        <v>1</v>
      </c>
      <c r="K28" s="82">
        <f>SUM(K19:K27)</f>
        <v>32472.964800000002</v>
      </c>
      <c r="L28" s="83">
        <f t="shared" si="5"/>
        <v>1</v>
      </c>
      <c r="M28" s="82">
        <f>SUM(M19:M27)</f>
        <v>33122.424096000002</v>
      </c>
      <c r="N28" s="83">
        <f t="shared" si="6"/>
        <v>1</v>
      </c>
      <c r="O28" s="82">
        <f>SUM(O19:O27)</f>
        <v>33784.872577920003</v>
      </c>
      <c r="P28" s="83">
        <f t="shared" si="7"/>
        <v>1</v>
      </c>
      <c r="Q28" s="82">
        <f>SUM(Q19:Q27)</f>
        <v>34460.570029478404</v>
      </c>
      <c r="R28" s="83">
        <f t="shared" si="8"/>
        <v>1</v>
      </c>
      <c r="S28" s="82">
        <f>SUM(S19:S27)</f>
        <v>35149.781430067975</v>
      </c>
      <c r="T28" s="83">
        <f t="shared" si="9"/>
        <v>1</v>
      </c>
      <c r="U28" s="82">
        <f>SUM(U19:U27)</f>
        <v>35852.777058669337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207">
        <f>$C$30*C14</f>
        <v>0</v>
      </c>
      <c r="D31" s="80">
        <f>IFERROR(C31/C$28,0)</f>
        <v>0</v>
      </c>
      <c r="E31" s="207">
        <f>$C$30*E14</f>
        <v>0</v>
      </c>
      <c r="F31" s="80">
        <f>IFERROR(E31/E$28,0)</f>
        <v>0</v>
      </c>
      <c r="G31" s="207">
        <f>$C$30*G14</f>
        <v>0</v>
      </c>
      <c r="H31" s="80">
        <f>IFERROR(G31/G$28,0)</f>
        <v>0</v>
      </c>
      <c r="I31" s="207">
        <f>$C$30*I14</f>
        <v>0</v>
      </c>
      <c r="J31" s="80">
        <f>IFERROR(I31/I$28,0)</f>
        <v>0</v>
      </c>
      <c r="K31" s="207">
        <f>$C$30*K14</f>
        <v>0</v>
      </c>
      <c r="L31" s="80">
        <f>IFERROR(K31/K$28,0)</f>
        <v>0</v>
      </c>
      <c r="M31" s="207">
        <f>$C$30*M14</f>
        <v>0</v>
      </c>
      <c r="N31" s="80">
        <f>IFERROR(M31/M$28,0)</f>
        <v>0</v>
      </c>
      <c r="O31" s="207">
        <f>$C$30*O14</f>
        <v>0</v>
      </c>
      <c r="P31" s="80">
        <f>IFERROR(O31/O$28,0)</f>
        <v>0</v>
      </c>
      <c r="Q31" s="207">
        <f>$C$30*Q14</f>
        <v>0</v>
      </c>
      <c r="R31" s="80">
        <f>IFERROR(Q31/Q$28,0)</f>
        <v>0</v>
      </c>
      <c r="S31" s="207">
        <f>$C$30*S14</f>
        <v>0</v>
      </c>
      <c r="T31" s="80">
        <f>IFERROR(S31/S$28,0)</f>
        <v>0</v>
      </c>
      <c r="U31" s="207">
        <f>$C$30*U14</f>
        <v>0</v>
      </c>
      <c r="V31" s="80">
        <f>IFERROR(U31/U$28,0)</f>
        <v>0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0</v>
      </c>
      <c r="D33" s="83">
        <f>IFERROR(C33/C$28,0)</f>
        <v>0</v>
      </c>
      <c r="E33" s="82">
        <f>SUM(E31:E32)</f>
        <v>0</v>
      </c>
      <c r="F33" s="83">
        <f>IFERROR(E33/E$28,0)</f>
        <v>0</v>
      </c>
      <c r="G33" s="82">
        <f>SUM(G31:G32)</f>
        <v>0</v>
      </c>
      <c r="H33" s="83">
        <f>IFERROR(G33/G$28,0)</f>
        <v>0</v>
      </c>
      <c r="I33" s="82">
        <f>SUM(I31:I32)</f>
        <v>0</v>
      </c>
      <c r="J33" s="83">
        <f>IFERROR(I33/I$28,0)</f>
        <v>0</v>
      </c>
      <c r="K33" s="82">
        <f>SUM(K31:K32)</f>
        <v>0</v>
      </c>
      <c r="L33" s="83">
        <f>IFERROR(K33/K$28,0)</f>
        <v>0</v>
      </c>
      <c r="M33" s="82">
        <f>SUM(M31:M32)</f>
        <v>0</v>
      </c>
      <c r="N33" s="83">
        <f>IFERROR(M33/M$28,0)</f>
        <v>0</v>
      </c>
      <c r="O33" s="82">
        <f>SUM(O31:O32)</f>
        <v>0</v>
      </c>
      <c r="P33" s="83">
        <f>IFERROR(O33/O$28,0)</f>
        <v>0</v>
      </c>
      <c r="Q33" s="82">
        <f>SUM(Q31:Q32)</f>
        <v>0</v>
      </c>
      <c r="R33" s="83">
        <f>IFERROR(Q33/Q$28,0)</f>
        <v>0</v>
      </c>
      <c r="S33" s="82">
        <f>SUM(S31:S32)</f>
        <v>0</v>
      </c>
      <c r="T33" s="83">
        <f>IFERROR(S33/S$28,0)</f>
        <v>0</v>
      </c>
      <c r="U33" s="82">
        <f>SUM(U31:U32)</f>
        <v>0</v>
      </c>
      <c r="V33" s="83">
        <f>IFERROR(U33/U$28,0)</f>
        <v>0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13"/>
      <c r="D36" s="80">
        <f t="shared" ref="D36:D46" si="11">IFERROR(C36/C$28,0)</f>
        <v>0</v>
      </c>
      <c r="E36" s="179"/>
      <c r="F36" s="80">
        <f t="shared" ref="F36:F46" si="12">IFERROR(E36/E$28,0)</f>
        <v>0</v>
      </c>
      <c r="G36" s="179"/>
      <c r="H36" s="80">
        <f t="shared" ref="H36:H46" si="13">IFERROR(G36/G$28,0)</f>
        <v>0</v>
      </c>
      <c r="I36" s="179"/>
      <c r="J36" s="80">
        <f t="shared" ref="J36:J46" si="14">IFERROR(I36/I$28,0)</f>
        <v>0</v>
      </c>
      <c r="K36" s="179"/>
      <c r="L36" s="80">
        <f t="shared" ref="L36:L46" si="15">IFERROR(K36/K$28,0)</f>
        <v>0</v>
      </c>
      <c r="M36" s="179"/>
      <c r="N36" s="80">
        <f t="shared" ref="N36:N46" si="16">IFERROR(M36/M$28,0)</f>
        <v>0</v>
      </c>
      <c r="O36" s="179"/>
      <c r="P36" s="80">
        <f t="shared" ref="P36:P46" si="17">IFERROR(O36/O$28,0)</f>
        <v>0</v>
      </c>
      <c r="Q36" s="179"/>
      <c r="R36" s="80">
        <f t="shared" ref="R36:R46" si="18">IFERROR(Q36/Q$28,0)</f>
        <v>0</v>
      </c>
      <c r="S36" s="179"/>
      <c r="T36" s="80">
        <f t="shared" ref="T36:T46" si="19">IFERROR(S36/S$28,0)</f>
        <v>0</v>
      </c>
      <c r="U36" s="179"/>
      <c r="V36" s="80">
        <f t="shared" ref="V36:V46" si="20">IFERROR(U36/U$28,0)</f>
        <v>0</v>
      </c>
    </row>
    <row r="37" spans="1:22" ht="12.75" customHeight="1">
      <c r="A37" s="2" t="s">
        <v>372</v>
      </c>
      <c r="B37" s="35"/>
      <c r="C37" s="113"/>
      <c r="D37" s="80">
        <f t="shared" si="11"/>
        <v>0</v>
      </c>
      <c r="E37" s="179">
        <f>+C37*1.112</f>
        <v>0</v>
      </c>
      <c r="F37" s="80">
        <f t="shared" si="12"/>
        <v>0</v>
      </c>
      <c r="G37" s="179">
        <f>+E37*1.035</f>
        <v>0</v>
      </c>
      <c r="H37" s="80">
        <f t="shared" si="13"/>
        <v>0</v>
      </c>
      <c r="I37" s="179">
        <f>+G37*1.032</f>
        <v>0</v>
      </c>
      <c r="J37" s="80">
        <f t="shared" si="14"/>
        <v>0</v>
      </c>
      <c r="K37" s="179">
        <f>+I37*1.025</f>
        <v>0</v>
      </c>
      <c r="L37" s="80">
        <f t="shared" si="15"/>
        <v>0</v>
      </c>
      <c r="M37" s="179">
        <f>+K37*1.025</f>
        <v>0</v>
      </c>
      <c r="N37" s="80">
        <f t="shared" si="16"/>
        <v>0</v>
      </c>
      <c r="O37" s="179">
        <f>+M37*1.025</f>
        <v>0</v>
      </c>
      <c r="P37" s="80">
        <f t="shared" si="17"/>
        <v>0</v>
      </c>
      <c r="Q37" s="179">
        <f>+O37*1.025</f>
        <v>0</v>
      </c>
      <c r="R37" s="80">
        <f t="shared" si="18"/>
        <v>0</v>
      </c>
      <c r="S37" s="179">
        <f>+Q37*1.025</f>
        <v>0</v>
      </c>
      <c r="T37" s="80">
        <f t="shared" si="19"/>
        <v>0</v>
      </c>
      <c r="U37" s="179">
        <f>+S37*1.025</f>
        <v>0</v>
      </c>
      <c r="V37" s="80">
        <f t="shared" si="20"/>
        <v>0</v>
      </c>
    </row>
    <row r="38" spans="1:22" ht="12.75" customHeight="1">
      <c r="A38" s="2" t="s">
        <v>373</v>
      </c>
      <c r="B38" s="35"/>
      <c r="C38" s="113"/>
      <c r="D38" s="80">
        <f t="shared" si="11"/>
        <v>0</v>
      </c>
      <c r="E38" s="179">
        <f t="shared" ref="E38:E39" si="21">+C38*1.112</f>
        <v>0</v>
      </c>
      <c r="F38" s="80">
        <f t="shared" si="12"/>
        <v>0</v>
      </c>
      <c r="G38" s="179">
        <f>+E38*1.035</f>
        <v>0</v>
      </c>
      <c r="H38" s="80">
        <f t="shared" si="13"/>
        <v>0</v>
      </c>
      <c r="I38" s="179">
        <f>+G38*1.032</f>
        <v>0</v>
      </c>
      <c r="J38" s="80">
        <f t="shared" si="14"/>
        <v>0</v>
      </c>
      <c r="K38" s="179">
        <f>+I38*1.025</f>
        <v>0</v>
      </c>
      <c r="L38" s="80">
        <f t="shared" si="15"/>
        <v>0</v>
      </c>
      <c r="M38" s="179">
        <f>+K38*1.025</f>
        <v>0</v>
      </c>
      <c r="N38" s="80">
        <f t="shared" si="16"/>
        <v>0</v>
      </c>
      <c r="O38" s="179">
        <f>+M38*1.025</f>
        <v>0</v>
      </c>
      <c r="P38" s="80">
        <f t="shared" si="17"/>
        <v>0</v>
      </c>
      <c r="Q38" s="179">
        <f>+O38*1.025</f>
        <v>0</v>
      </c>
      <c r="R38" s="80">
        <f t="shared" si="18"/>
        <v>0</v>
      </c>
      <c r="S38" s="179">
        <f>+Q38*1.025</f>
        <v>0</v>
      </c>
      <c r="T38" s="80">
        <f t="shared" si="19"/>
        <v>0</v>
      </c>
      <c r="U38" s="179">
        <f>+S38*1.025</f>
        <v>0</v>
      </c>
      <c r="V38" s="80">
        <f t="shared" si="20"/>
        <v>0</v>
      </c>
    </row>
    <row r="39" spans="1:22" ht="12.75" customHeight="1">
      <c r="A39" s="2" t="s">
        <v>374</v>
      </c>
      <c r="B39" s="35"/>
      <c r="C39" s="113"/>
      <c r="D39" s="80">
        <f t="shared" si="11"/>
        <v>0</v>
      </c>
      <c r="E39" s="179">
        <f t="shared" si="21"/>
        <v>0</v>
      </c>
      <c r="F39" s="80">
        <f t="shared" si="12"/>
        <v>0</v>
      </c>
      <c r="G39" s="179">
        <f>+E39*1.035</f>
        <v>0</v>
      </c>
      <c r="H39" s="80">
        <f t="shared" si="13"/>
        <v>0</v>
      </c>
      <c r="I39" s="179">
        <f>+G39*1.032</f>
        <v>0</v>
      </c>
      <c r="J39" s="80">
        <f t="shared" si="14"/>
        <v>0</v>
      </c>
      <c r="K39" s="179">
        <f>+I39*1.025</f>
        <v>0</v>
      </c>
      <c r="L39" s="80">
        <f t="shared" si="15"/>
        <v>0</v>
      </c>
      <c r="M39" s="179">
        <f>+K39*1.025</f>
        <v>0</v>
      </c>
      <c r="N39" s="80">
        <f t="shared" si="16"/>
        <v>0</v>
      </c>
      <c r="O39" s="179">
        <f>+M39*1.025</f>
        <v>0</v>
      </c>
      <c r="P39" s="80">
        <f t="shared" si="17"/>
        <v>0</v>
      </c>
      <c r="Q39" s="179">
        <f>+O39*1.025</f>
        <v>0</v>
      </c>
      <c r="R39" s="80">
        <f t="shared" si="18"/>
        <v>0</v>
      </c>
      <c r="S39" s="179">
        <f>+Q39*1.025</f>
        <v>0</v>
      </c>
      <c r="T39" s="80">
        <f t="shared" si="19"/>
        <v>0</v>
      </c>
      <c r="U39" s="179">
        <f>+S39*1.025</f>
        <v>0</v>
      </c>
      <c r="V39" s="80">
        <f t="shared" si="20"/>
        <v>0</v>
      </c>
    </row>
    <row r="40" spans="1:22" ht="12.75" customHeight="1">
      <c r="A40" s="2" t="s">
        <v>375</v>
      </c>
      <c r="B40" s="35"/>
      <c r="C40" s="113">
        <f>C36*0.124</f>
        <v>0</v>
      </c>
      <c r="D40" s="80">
        <f t="shared" si="11"/>
        <v>0</v>
      </c>
      <c r="E40" s="113">
        <f>E36*0.124</f>
        <v>0</v>
      </c>
      <c r="F40" s="80">
        <f t="shared" si="12"/>
        <v>0</v>
      </c>
      <c r="G40" s="113">
        <f>G36*0.124</f>
        <v>0</v>
      </c>
      <c r="H40" s="80">
        <f t="shared" si="13"/>
        <v>0</v>
      </c>
      <c r="I40" s="113">
        <f>I36*0.124</f>
        <v>0</v>
      </c>
      <c r="J40" s="80">
        <f t="shared" si="14"/>
        <v>0</v>
      </c>
      <c r="K40" s="113">
        <f>K36*0.124</f>
        <v>0</v>
      </c>
      <c r="L40" s="80">
        <f t="shared" si="15"/>
        <v>0</v>
      </c>
      <c r="M40" s="113">
        <f>M36*0.124</f>
        <v>0</v>
      </c>
      <c r="N40" s="80">
        <f t="shared" si="16"/>
        <v>0</v>
      </c>
      <c r="O40" s="113">
        <f>O36*0.124</f>
        <v>0</v>
      </c>
      <c r="P40" s="80">
        <f t="shared" si="17"/>
        <v>0</v>
      </c>
      <c r="Q40" s="113">
        <f>Q36*0.124</f>
        <v>0</v>
      </c>
      <c r="R40" s="80">
        <f t="shared" si="18"/>
        <v>0</v>
      </c>
      <c r="S40" s="113">
        <f>S36*0.124</f>
        <v>0</v>
      </c>
      <c r="T40" s="80">
        <f t="shared" si="19"/>
        <v>0</v>
      </c>
      <c r="U40" s="113">
        <f>U36*0.124</f>
        <v>0</v>
      </c>
      <c r="V40" s="80">
        <f t="shared" si="20"/>
        <v>0</v>
      </c>
    </row>
    <row r="41" spans="1:22" ht="12.75" customHeight="1">
      <c r="A41" s="2" t="s">
        <v>376</v>
      </c>
      <c r="B41" s="35"/>
      <c r="C41" s="113">
        <f>C37*0.124</f>
        <v>0</v>
      </c>
      <c r="D41" s="80">
        <f t="shared" si="11"/>
        <v>0</v>
      </c>
      <c r="E41" s="113">
        <f>E37*0.124</f>
        <v>0</v>
      </c>
      <c r="F41" s="80">
        <f t="shared" si="12"/>
        <v>0</v>
      </c>
      <c r="G41" s="113">
        <f>G37*0.124</f>
        <v>0</v>
      </c>
      <c r="H41" s="80">
        <f t="shared" si="13"/>
        <v>0</v>
      </c>
      <c r="I41" s="113">
        <f>I37*0.124</f>
        <v>0</v>
      </c>
      <c r="J41" s="80">
        <f t="shared" si="14"/>
        <v>0</v>
      </c>
      <c r="K41" s="113">
        <f>K37*0.124</f>
        <v>0</v>
      </c>
      <c r="L41" s="80">
        <f t="shared" si="15"/>
        <v>0</v>
      </c>
      <c r="M41" s="113">
        <f>M37*0.124</f>
        <v>0</v>
      </c>
      <c r="N41" s="80">
        <f t="shared" si="16"/>
        <v>0</v>
      </c>
      <c r="O41" s="113">
        <f>O37*0.124</f>
        <v>0</v>
      </c>
      <c r="P41" s="80">
        <f t="shared" si="17"/>
        <v>0</v>
      </c>
      <c r="Q41" s="113">
        <f>Q37*0.124</f>
        <v>0</v>
      </c>
      <c r="R41" s="80">
        <f t="shared" si="18"/>
        <v>0</v>
      </c>
      <c r="S41" s="113">
        <f>S37*0.124</f>
        <v>0</v>
      </c>
      <c r="T41" s="80">
        <f t="shared" si="19"/>
        <v>0</v>
      </c>
      <c r="U41" s="113">
        <f>U37*0.124</f>
        <v>0</v>
      </c>
      <c r="V41" s="80">
        <f t="shared" si="20"/>
        <v>0</v>
      </c>
    </row>
    <row r="42" spans="1:22" ht="12.75" customHeight="1">
      <c r="A42" s="2" t="s">
        <v>377</v>
      </c>
      <c r="B42" s="35"/>
      <c r="C42" s="113"/>
      <c r="D42" s="80">
        <f t="shared" si="11"/>
        <v>0</v>
      </c>
      <c r="E42" s="179"/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13"/>
      <c r="D43" s="80">
        <f t="shared" si="11"/>
        <v>0</v>
      </c>
      <c r="E43" s="179"/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13"/>
      <c r="D44" s="80">
        <f t="shared" si="11"/>
        <v>0</v>
      </c>
      <c r="E44" s="179"/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14">
        <f>SUM(C36:C39)*0.094</f>
        <v>0</v>
      </c>
      <c r="D45" s="80">
        <f t="shared" si="11"/>
        <v>0</v>
      </c>
      <c r="E45" s="114">
        <f>SUM(E36:E39)*0.094</f>
        <v>0</v>
      </c>
      <c r="F45" s="80">
        <f t="shared" si="12"/>
        <v>0</v>
      </c>
      <c r="G45" s="114">
        <f>SUM(G36:G39)*0.094</f>
        <v>0</v>
      </c>
      <c r="H45" s="80">
        <f t="shared" si="13"/>
        <v>0</v>
      </c>
      <c r="I45" s="114">
        <f>SUM(I36:I39)*0.094</f>
        <v>0</v>
      </c>
      <c r="J45" s="80">
        <f t="shared" si="14"/>
        <v>0</v>
      </c>
      <c r="K45" s="114">
        <f>SUM(K36:K39)*0.094</f>
        <v>0</v>
      </c>
      <c r="L45" s="80">
        <f t="shared" si="15"/>
        <v>0</v>
      </c>
      <c r="M45" s="114">
        <f>SUM(M36:M39)*0.094</f>
        <v>0</v>
      </c>
      <c r="N45" s="80">
        <f t="shared" si="16"/>
        <v>0</v>
      </c>
      <c r="O45" s="114">
        <f>SUM(O36:O39)*0.094</f>
        <v>0</v>
      </c>
      <c r="P45" s="80">
        <f t="shared" si="17"/>
        <v>0</v>
      </c>
      <c r="Q45" s="114">
        <f>SUM(Q36:Q39)*0.094</f>
        <v>0</v>
      </c>
      <c r="R45" s="80">
        <f t="shared" si="18"/>
        <v>0</v>
      </c>
      <c r="S45" s="114">
        <f>SUM(S36:S39)*0.094</f>
        <v>0</v>
      </c>
      <c r="T45" s="80">
        <f t="shared" si="19"/>
        <v>0</v>
      </c>
      <c r="U45" s="114">
        <f>SUM(U36:U39)*0.094</f>
        <v>0</v>
      </c>
      <c r="V45" s="80">
        <f t="shared" si="20"/>
        <v>0</v>
      </c>
    </row>
    <row r="46" spans="1:22" ht="12.75" customHeight="1">
      <c r="A46" s="1" t="s">
        <v>381</v>
      </c>
      <c r="B46" s="53"/>
      <c r="C46" s="82">
        <f>SUM(C36:C45)</f>
        <v>0</v>
      </c>
      <c r="D46" s="83">
        <f t="shared" si="11"/>
        <v>0</v>
      </c>
      <c r="E46" s="82">
        <f>SUM(E36:E45)</f>
        <v>0</v>
      </c>
      <c r="F46" s="83">
        <f t="shared" si="12"/>
        <v>0</v>
      </c>
      <c r="G46" s="82">
        <f>SUM(G36:G45)</f>
        <v>0</v>
      </c>
      <c r="H46" s="83">
        <f t="shared" si="13"/>
        <v>0</v>
      </c>
      <c r="I46" s="82">
        <f>SUM(I36:I45)</f>
        <v>0</v>
      </c>
      <c r="J46" s="83">
        <f t="shared" si="14"/>
        <v>0</v>
      </c>
      <c r="K46" s="82">
        <f>SUM(K36:K45)</f>
        <v>0</v>
      </c>
      <c r="L46" s="83">
        <f t="shared" si="15"/>
        <v>0</v>
      </c>
      <c r="M46" s="82">
        <f>SUM(M36:M45)</f>
        <v>0</v>
      </c>
      <c r="N46" s="83">
        <f t="shared" si="16"/>
        <v>0</v>
      </c>
      <c r="O46" s="82">
        <f>SUM(O36:O45)</f>
        <v>0</v>
      </c>
      <c r="P46" s="83">
        <f t="shared" si="17"/>
        <v>0</v>
      </c>
      <c r="Q46" s="82">
        <f>SUM(Q36:Q45)</f>
        <v>0</v>
      </c>
      <c r="R46" s="83">
        <f t="shared" si="18"/>
        <v>0</v>
      </c>
      <c r="S46" s="82">
        <f>SUM(S36:S45)</f>
        <v>0</v>
      </c>
      <c r="T46" s="83">
        <f t="shared" si="19"/>
        <v>0</v>
      </c>
      <c r="U46" s="82">
        <f>SUM(U36:U45)</f>
        <v>0</v>
      </c>
      <c r="V46" s="83">
        <f t="shared" si="20"/>
        <v>0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83" si="22">IFERROR(C52/C$28,0)</f>
        <v>0</v>
      </c>
      <c r="E52" s="179">
        <v>0</v>
      </c>
      <c r="F52" s="80">
        <f t="shared" ref="F52:F105" si="23">IFERROR(E52/E$28,0)</f>
        <v>0</v>
      </c>
      <c r="G52" s="179">
        <v>0</v>
      </c>
      <c r="H52" s="80">
        <f t="shared" ref="H52:H105" si="24">IFERROR(G52/G$28,0)</f>
        <v>0</v>
      </c>
      <c r="I52" s="179">
        <v>0</v>
      </c>
      <c r="J52" s="80">
        <f t="shared" ref="J52:J105" si="25">IFERROR(I52/I$28,0)</f>
        <v>0</v>
      </c>
      <c r="K52" s="179">
        <v>0</v>
      </c>
      <c r="L52" s="80">
        <f t="shared" ref="L52:L105" si="26">IFERROR(K52/K$28,0)</f>
        <v>0</v>
      </c>
      <c r="M52" s="179">
        <v>0</v>
      </c>
      <c r="N52" s="80">
        <f t="shared" ref="N52:N105" si="27">IFERROR(M52/M$28,0)</f>
        <v>0</v>
      </c>
      <c r="O52" s="179">
        <v>0</v>
      </c>
      <c r="P52" s="80">
        <f t="shared" ref="P52:P105" si="28">IFERROR(O52/O$28,0)</f>
        <v>0</v>
      </c>
      <c r="Q52" s="179">
        <v>0</v>
      </c>
      <c r="R52" s="80">
        <f t="shared" ref="R52:R105" si="29">IFERROR(Q52/Q$28,0)</f>
        <v>0</v>
      </c>
      <c r="S52" s="179">
        <v>0</v>
      </c>
      <c r="T52" s="80">
        <f t="shared" ref="T52:T105" si="30">IFERROR(S52/S$28,0)</f>
        <v>0</v>
      </c>
      <c r="U52" s="179">
        <v>0</v>
      </c>
      <c r="V52" s="80">
        <f t="shared" ref="V52:V105" si="31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2"/>
        <v>0</v>
      </c>
      <c r="E53" s="179">
        <v>0</v>
      </c>
      <c r="F53" s="80">
        <f t="shared" si="23"/>
        <v>0</v>
      </c>
      <c r="G53" s="179">
        <v>0</v>
      </c>
      <c r="H53" s="80">
        <f t="shared" si="24"/>
        <v>0</v>
      </c>
      <c r="I53" s="179">
        <v>0</v>
      </c>
      <c r="J53" s="80">
        <f t="shared" si="25"/>
        <v>0</v>
      </c>
      <c r="K53" s="179">
        <v>0</v>
      </c>
      <c r="L53" s="80">
        <f t="shared" si="26"/>
        <v>0</v>
      </c>
      <c r="M53" s="179">
        <v>0</v>
      </c>
      <c r="N53" s="80">
        <f t="shared" si="27"/>
        <v>0</v>
      </c>
      <c r="O53" s="179">
        <v>0</v>
      </c>
      <c r="P53" s="80">
        <f t="shared" si="28"/>
        <v>0</v>
      </c>
      <c r="Q53" s="179">
        <v>0</v>
      </c>
      <c r="R53" s="80">
        <f t="shared" si="29"/>
        <v>0</v>
      </c>
      <c r="S53" s="179">
        <v>0</v>
      </c>
      <c r="T53" s="80">
        <f t="shared" si="30"/>
        <v>0</v>
      </c>
      <c r="U53" s="179">
        <v>0</v>
      </c>
      <c r="V53" s="80">
        <f t="shared" si="31"/>
        <v>0</v>
      </c>
      <c r="X53" s="200"/>
    </row>
    <row r="54" spans="1:24" ht="12.75" customHeight="1">
      <c r="A54" s="2" t="s">
        <v>385</v>
      </c>
      <c r="B54" s="35"/>
      <c r="C54" s="179">
        <v>0</v>
      </c>
      <c r="D54" s="80">
        <f t="shared" si="22"/>
        <v>0</v>
      </c>
      <c r="E54" s="179">
        <v>0</v>
      </c>
      <c r="F54" s="80">
        <f t="shared" si="23"/>
        <v>0</v>
      </c>
      <c r="G54" s="179">
        <v>0</v>
      </c>
      <c r="H54" s="80">
        <f t="shared" si="24"/>
        <v>0</v>
      </c>
      <c r="I54" s="179">
        <v>0</v>
      </c>
      <c r="J54" s="80">
        <f t="shared" si="25"/>
        <v>0</v>
      </c>
      <c r="K54" s="179">
        <v>0</v>
      </c>
      <c r="L54" s="80">
        <f t="shared" si="26"/>
        <v>0</v>
      </c>
      <c r="M54" s="179">
        <v>0</v>
      </c>
      <c r="N54" s="80">
        <f t="shared" si="27"/>
        <v>0</v>
      </c>
      <c r="O54" s="179">
        <v>0</v>
      </c>
      <c r="P54" s="80">
        <f t="shared" si="28"/>
        <v>0</v>
      </c>
      <c r="Q54" s="179">
        <v>0</v>
      </c>
      <c r="R54" s="80">
        <f t="shared" si="29"/>
        <v>0</v>
      </c>
      <c r="S54" s="179">
        <v>0</v>
      </c>
      <c r="T54" s="80">
        <f t="shared" si="30"/>
        <v>0</v>
      </c>
      <c r="U54" s="179">
        <v>0</v>
      </c>
      <c r="V54" s="80">
        <f t="shared" si="31"/>
        <v>0</v>
      </c>
      <c r="X54" s="200"/>
    </row>
    <row r="55" spans="1:24" ht="12.75" customHeight="1">
      <c r="A55" s="2" t="s">
        <v>386</v>
      </c>
      <c r="B55" s="35"/>
      <c r="C55" s="179">
        <v>0</v>
      </c>
      <c r="D55" s="80">
        <f t="shared" si="22"/>
        <v>0</v>
      </c>
      <c r="E55" s="179">
        <v>0</v>
      </c>
      <c r="F55" s="80">
        <f t="shared" si="23"/>
        <v>0</v>
      </c>
      <c r="G55" s="179">
        <v>0</v>
      </c>
      <c r="H55" s="80">
        <f t="shared" si="24"/>
        <v>0</v>
      </c>
      <c r="I55" s="179">
        <v>0</v>
      </c>
      <c r="J55" s="80">
        <f t="shared" si="25"/>
        <v>0</v>
      </c>
      <c r="K55" s="179">
        <v>0</v>
      </c>
      <c r="L55" s="80">
        <f t="shared" si="26"/>
        <v>0</v>
      </c>
      <c r="M55" s="179">
        <v>0</v>
      </c>
      <c r="N55" s="80">
        <f t="shared" si="27"/>
        <v>0</v>
      </c>
      <c r="O55" s="179">
        <v>0</v>
      </c>
      <c r="P55" s="80">
        <f t="shared" si="28"/>
        <v>0</v>
      </c>
      <c r="Q55" s="179">
        <v>0</v>
      </c>
      <c r="R55" s="80">
        <f t="shared" si="29"/>
        <v>0</v>
      </c>
      <c r="S55" s="179">
        <v>0</v>
      </c>
      <c r="T55" s="80">
        <f t="shared" si="30"/>
        <v>0</v>
      </c>
      <c r="U55" s="179">
        <v>0</v>
      </c>
      <c r="V55" s="80">
        <f t="shared" si="31"/>
        <v>0</v>
      </c>
      <c r="X55" s="200"/>
    </row>
    <row r="56" spans="1:24" ht="12.75" customHeight="1">
      <c r="A56" s="2" t="s">
        <v>387</v>
      </c>
      <c r="B56" s="35"/>
      <c r="C56" s="179">
        <v>0</v>
      </c>
      <c r="D56" s="80">
        <f t="shared" si="22"/>
        <v>0</v>
      </c>
      <c r="E56" s="179">
        <v>0</v>
      </c>
      <c r="F56" s="80">
        <f t="shared" si="23"/>
        <v>0</v>
      </c>
      <c r="G56" s="179">
        <v>0</v>
      </c>
      <c r="H56" s="80">
        <f t="shared" si="24"/>
        <v>0</v>
      </c>
      <c r="I56" s="179">
        <v>0</v>
      </c>
      <c r="J56" s="80">
        <f t="shared" si="25"/>
        <v>0</v>
      </c>
      <c r="K56" s="179">
        <v>0</v>
      </c>
      <c r="L56" s="80">
        <f t="shared" si="26"/>
        <v>0</v>
      </c>
      <c r="M56" s="179">
        <v>0</v>
      </c>
      <c r="N56" s="80">
        <f t="shared" si="27"/>
        <v>0</v>
      </c>
      <c r="O56" s="179">
        <v>0</v>
      </c>
      <c r="P56" s="80">
        <f t="shared" si="28"/>
        <v>0</v>
      </c>
      <c r="Q56" s="179">
        <v>0</v>
      </c>
      <c r="R56" s="80">
        <f t="shared" si="29"/>
        <v>0</v>
      </c>
      <c r="S56" s="179">
        <v>0</v>
      </c>
      <c r="T56" s="80">
        <f t="shared" si="30"/>
        <v>0</v>
      </c>
      <c r="U56" s="179">
        <v>0</v>
      </c>
      <c r="V56" s="80">
        <f t="shared" si="31"/>
        <v>0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2"/>
        <v>0</v>
      </c>
      <c r="E57" s="179">
        <v>0</v>
      </c>
      <c r="F57" s="80">
        <f t="shared" si="23"/>
        <v>0</v>
      </c>
      <c r="G57" s="179">
        <v>0</v>
      </c>
      <c r="H57" s="80">
        <f t="shared" si="24"/>
        <v>0</v>
      </c>
      <c r="I57" s="179">
        <v>0</v>
      </c>
      <c r="J57" s="80">
        <f t="shared" si="25"/>
        <v>0</v>
      </c>
      <c r="K57" s="179">
        <v>0</v>
      </c>
      <c r="L57" s="80">
        <f t="shared" si="26"/>
        <v>0</v>
      </c>
      <c r="M57" s="179">
        <v>0</v>
      </c>
      <c r="N57" s="80">
        <f t="shared" si="27"/>
        <v>0</v>
      </c>
      <c r="O57" s="179">
        <v>0</v>
      </c>
      <c r="P57" s="80">
        <f t="shared" si="28"/>
        <v>0</v>
      </c>
      <c r="Q57" s="179">
        <v>0</v>
      </c>
      <c r="R57" s="80">
        <f t="shared" si="29"/>
        <v>0</v>
      </c>
      <c r="S57" s="179">
        <v>0</v>
      </c>
      <c r="T57" s="80">
        <f t="shared" si="30"/>
        <v>0</v>
      </c>
      <c r="U57" s="179">
        <v>0</v>
      </c>
      <c r="V57" s="80">
        <f t="shared" si="31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2"/>
        <v>0</v>
      </c>
      <c r="E58" s="179">
        <v>0</v>
      </c>
      <c r="F58" s="80">
        <f t="shared" si="23"/>
        <v>0</v>
      </c>
      <c r="G58" s="179">
        <v>0</v>
      </c>
      <c r="H58" s="80">
        <f t="shared" si="24"/>
        <v>0</v>
      </c>
      <c r="I58" s="179">
        <v>0</v>
      </c>
      <c r="J58" s="80">
        <f t="shared" si="25"/>
        <v>0</v>
      </c>
      <c r="K58" s="179">
        <v>0</v>
      </c>
      <c r="L58" s="80">
        <f t="shared" si="26"/>
        <v>0</v>
      </c>
      <c r="M58" s="179">
        <v>0</v>
      </c>
      <c r="N58" s="80">
        <f t="shared" si="27"/>
        <v>0</v>
      </c>
      <c r="O58" s="179">
        <v>0</v>
      </c>
      <c r="P58" s="80">
        <f t="shared" si="28"/>
        <v>0</v>
      </c>
      <c r="Q58" s="179">
        <v>0</v>
      </c>
      <c r="R58" s="80">
        <f t="shared" si="29"/>
        <v>0</v>
      </c>
      <c r="S58" s="179">
        <v>0</v>
      </c>
      <c r="T58" s="80">
        <f t="shared" si="30"/>
        <v>0</v>
      </c>
      <c r="U58" s="179">
        <v>0</v>
      </c>
      <c r="V58" s="80">
        <f t="shared" si="31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2"/>
        <v>0</v>
      </c>
      <c r="E59" s="179">
        <v>0</v>
      </c>
      <c r="F59" s="80">
        <f t="shared" si="23"/>
        <v>0</v>
      </c>
      <c r="G59" s="179">
        <v>0</v>
      </c>
      <c r="H59" s="80">
        <f t="shared" si="24"/>
        <v>0</v>
      </c>
      <c r="I59" s="179">
        <v>0</v>
      </c>
      <c r="J59" s="80">
        <f t="shared" si="25"/>
        <v>0</v>
      </c>
      <c r="K59" s="179">
        <v>0</v>
      </c>
      <c r="L59" s="80">
        <f t="shared" si="26"/>
        <v>0</v>
      </c>
      <c r="M59" s="179">
        <v>0</v>
      </c>
      <c r="N59" s="80">
        <f t="shared" si="27"/>
        <v>0</v>
      </c>
      <c r="O59" s="179">
        <v>0</v>
      </c>
      <c r="P59" s="80">
        <f t="shared" si="28"/>
        <v>0</v>
      </c>
      <c r="Q59" s="179">
        <v>0</v>
      </c>
      <c r="R59" s="80">
        <f t="shared" si="29"/>
        <v>0</v>
      </c>
      <c r="S59" s="179">
        <v>0</v>
      </c>
      <c r="T59" s="80">
        <f t="shared" si="30"/>
        <v>0</v>
      </c>
      <c r="U59" s="179">
        <v>0</v>
      </c>
      <c r="V59" s="80">
        <f t="shared" si="31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2"/>
        <v>0</v>
      </c>
      <c r="E60" s="179">
        <v>0</v>
      </c>
      <c r="F60" s="80">
        <f t="shared" si="23"/>
        <v>0</v>
      </c>
      <c r="G60" s="179">
        <v>0</v>
      </c>
      <c r="H60" s="80">
        <f t="shared" si="24"/>
        <v>0</v>
      </c>
      <c r="I60" s="179">
        <v>0</v>
      </c>
      <c r="J60" s="80">
        <f t="shared" si="25"/>
        <v>0</v>
      </c>
      <c r="K60" s="179">
        <v>0</v>
      </c>
      <c r="L60" s="80">
        <f t="shared" si="26"/>
        <v>0</v>
      </c>
      <c r="M60" s="179">
        <v>0</v>
      </c>
      <c r="N60" s="80">
        <f t="shared" si="27"/>
        <v>0</v>
      </c>
      <c r="O60" s="179">
        <v>0</v>
      </c>
      <c r="P60" s="80">
        <f t="shared" si="28"/>
        <v>0</v>
      </c>
      <c r="Q60" s="179">
        <v>0</v>
      </c>
      <c r="R60" s="80">
        <f t="shared" si="29"/>
        <v>0</v>
      </c>
      <c r="S60" s="179">
        <v>0</v>
      </c>
      <c r="T60" s="80">
        <f t="shared" si="30"/>
        <v>0</v>
      </c>
      <c r="U60" s="179">
        <v>0</v>
      </c>
      <c r="V60" s="80">
        <f t="shared" si="31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2"/>
        <v>0</v>
      </c>
      <c r="E61" s="179">
        <v>0</v>
      </c>
      <c r="F61" s="80">
        <f t="shared" si="23"/>
        <v>0</v>
      </c>
      <c r="G61" s="179">
        <v>0</v>
      </c>
      <c r="H61" s="80">
        <f t="shared" si="24"/>
        <v>0</v>
      </c>
      <c r="I61" s="179">
        <v>0</v>
      </c>
      <c r="J61" s="80">
        <f t="shared" si="25"/>
        <v>0</v>
      </c>
      <c r="K61" s="179">
        <v>0</v>
      </c>
      <c r="L61" s="80">
        <f t="shared" si="26"/>
        <v>0</v>
      </c>
      <c r="M61" s="179">
        <v>0</v>
      </c>
      <c r="N61" s="80">
        <f t="shared" si="27"/>
        <v>0</v>
      </c>
      <c r="O61" s="179">
        <v>0</v>
      </c>
      <c r="P61" s="80">
        <f t="shared" si="28"/>
        <v>0</v>
      </c>
      <c r="Q61" s="179">
        <v>0</v>
      </c>
      <c r="R61" s="80">
        <f t="shared" si="29"/>
        <v>0</v>
      </c>
      <c r="S61" s="179">
        <v>0</v>
      </c>
      <c r="T61" s="80">
        <f t="shared" si="30"/>
        <v>0</v>
      </c>
      <c r="U61" s="179">
        <v>0</v>
      </c>
      <c r="V61" s="80">
        <f t="shared" si="31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2"/>
        <v>0</v>
      </c>
      <c r="E62" s="179">
        <v>0</v>
      </c>
      <c r="F62" s="80">
        <f t="shared" si="23"/>
        <v>0</v>
      </c>
      <c r="G62" s="179">
        <v>0</v>
      </c>
      <c r="H62" s="80">
        <f t="shared" si="24"/>
        <v>0</v>
      </c>
      <c r="I62" s="179">
        <v>0</v>
      </c>
      <c r="J62" s="80">
        <f t="shared" si="25"/>
        <v>0</v>
      </c>
      <c r="K62" s="179">
        <v>0</v>
      </c>
      <c r="L62" s="80">
        <f t="shared" si="26"/>
        <v>0</v>
      </c>
      <c r="M62" s="179">
        <v>0</v>
      </c>
      <c r="N62" s="80">
        <f t="shared" si="27"/>
        <v>0</v>
      </c>
      <c r="O62" s="179">
        <v>0</v>
      </c>
      <c r="P62" s="80">
        <f t="shared" si="28"/>
        <v>0</v>
      </c>
      <c r="Q62" s="179">
        <v>0</v>
      </c>
      <c r="R62" s="80">
        <f t="shared" si="29"/>
        <v>0</v>
      </c>
      <c r="S62" s="179">
        <v>0</v>
      </c>
      <c r="T62" s="80">
        <f t="shared" si="30"/>
        <v>0</v>
      </c>
      <c r="U62" s="179">
        <v>0</v>
      </c>
      <c r="V62" s="80">
        <f t="shared" si="31"/>
        <v>0</v>
      </c>
      <c r="X62" s="200"/>
    </row>
    <row r="63" spans="1:24" ht="12.75" customHeight="1">
      <c r="A63" s="2" t="s">
        <v>394</v>
      </c>
      <c r="B63" s="35"/>
      <c r="C63" s="179">
        <v>0</v>
      </c>
      <c r="D63" s="80">
        <f t="shared" si="22"/>
        <v>0</v>
      </c>
      <c r="E63" s="179">
        <v>0</v>
      </c>
      <c r="F63" s="80">
        <f t="shared" si="23"/>
        <v>0</v>
      </c>
      <c r="G63" s="179">
        <v>0</v>
      </c>
      <c r="H63" s="80">
        <f t="shared" si="24"/>
        <v>0</v>
      </c>
      <c r="I63" s="179">
        <v>0</v>
      </c>
      <c r="J63" s="80">
        <f t="shared" si="25"/>
        <v>0</v>
      </c>
      <c r="K63" s="179">
        <v>0</v>
      </c>
      <c r="L63" s="80">
        <f t="shared" si="26"/>
        <v>0</v>
      </c>
      <c r="M63" s="179">
        <v>0</v>
      </c>
      <c r="N63" s="80">
        <f t="shared" si="27"/>
        <v>0</v>
      </c>
      <c r="O63" s="179">
        <v>0</v>
      </c>
      <c r="P63" s="80">
        <f t="shared" si="28"/>
        <v>0</v>
      </c>
      <c r="Q63" s="179">
        <v>0</v>
      </c>
      <c r="R63" s="80">
        <f t="shared" si="29"/>
        <v>0</v>
      </c>
      <c r="S63" s="179">
        <v>0</v>
      </c>
      <c r="T63" s="80">
        <f t="shared" si="30"/>
        <v>0</v>
      </c>
      <c r="U63" s="179">
        <v>0</v>
      </c>
      <c r="V63" s="80">
        <f t="shared" si="31"/>
        <v>0</v>
      </c>
      <c r="X63" s="200"/>
    </row>
    <row r="64" spans="1:24" ht="12.75" customHeight="1">
      <c r="A64" s="2" t="s">
        <v>395</v>
      </c>
      <c r="B64" s="35"/>
      <c r="C64" s="179">
        <v>0</v>
      </c>
      <c r="D64" s="80">
        <f t="shared" si="22"/>
        <v>0</v>
      </c>
      <c r="E64" s="179">
        <v>0</v>
      </c>
      <c r="F64" s="80">
        <f t="shared" si="23"/>
        <v>0</v>
      </c>
      <c r="G64" s="179">
        <v>0</v>
      </c>
      <c r="H64" s="80">
        <f t="shared" si="24"/>
        <v>0</v>
      </c>
      <c r="I64" s="179">
        <v>0</v>
      </c>
      <c r="J64" s="80">
        <f t="shared" si="25"/>
        <v>0</v>
      </c>
      <c r="K64" s="179">
        <v>0</v>
      </c>
      <c r="L64" s="80">
        <f t="shared" si="26"/>
        <v>0</v>
      </c>
      <c r="M64" s="179">
        <v>0</v>
      </c>
      <c r="N64" s="80">
        <f t="shared" si="27"/>
        <v>0</v>
      </c>
      <c r="O64" s="179">
        <v>0</v>
      </c>
      <c r="P64" s="80">
        <f t="shared" si="28"/>
        <v>0</v>
      </c>
      <c r="Q64" s="179">
        <v>0</v>
      </c>
      <c r="R64" s="80">
        <f t="shared" si="29"/>
        <v>0</v>
      </c>
      <c r="S64" s="179">
        <v>0</v>
      </c>
      <c r="T64" s="80">
        <f t="shared" si="30"/>
        <v>0</v>
      </c>
      <c r="U64" s="179">
        <v>0</v>
      </c>
      <c r="V64" s="80">
        <f t="shared" si="31"/>
        <v>0</v>
      </c>
      <c r="X64" s="200"/>
    </row>
    <row r="65" spans="1:24" ht="12.75" customHeight="1">
      <c r="A65" s="2" t="s">
        <v>396</v>
      </c>
      <c r="B65" s="35"/>
      <c r="C65" s="179">
        <v>0</v>
      </c>
      <c r="D65" s="80">
        <f t="shared" si="22"/>
        <v>0</v>
      </c>
      <c r="E65" s="179">
        <v>0</v>
      </c>
      <c r="F65" s="80">
        <f t="shared" si="23"/>
        <v>0</v>
      </c>
      <c r="G65" s="179">
        <v>0</v>
      </c>
      <c r="H65" s="80">
        <f t="shared" si="24"/>
        <v>0</v>
      </c>
      <c r="I65" s="179">
        <v>0</v>
      </c>
      <c r="J65" s="80">
        <f t="shared" si="25"/>
        <v>0</v>
      </c>
      <c r="K65" s="179">
        <v>0</v>
      </c>
      <c r="L65" s="80">
        <f t="shared" si="26"/>
        <v>0</v>
      </c>
      <c r="M65" s="179">
        <v>0</v>
      </c>
      <c r="N65" s="80">
        <f t="shared" si="27"/>
        <v>0</v>
      </c>
      <c r="O65" s="179">
        <v>0</v>
      </c>
      <c r="P65" s="80">
        <f t="shared" si="28"/>
        <v>0</v>
      </c>
      <c r="Q65" s="179">
        <v>0</v>
      </c>
      <c r="R65" s="80">
        <f t="shared" si="29"/>
        <v>0</v>
      </c>
      <c r="S65" s="179">
        <v>0</v>
      </c>
      <c r="T65" s="80">
        <f t="shared" si="30"/>
        <v>0</v>
      </c>
      <c r="U65" s="179">
        <v>0</v>
      </c>
      <c r="V65" s="80">
        <f t="shared" si="31"/>
        <v>0</v>
      </c>
      <c r="X65" s="200"/>
    </row>
    <row r="66" spans="1:24" ht="12.75" customHeight="1">
      <c r="A66" s="2" t="s">
        <v>397</v>
      </c>
      <c r="B66" s="35"/>
      <c r="C66" s="179">
        <v>0</v>
      </c>
      <c r="D66" s="80">
        <f t="shared" si="22"/>
        <v>0</v>
      </c>
      <c r="E66" s="179">
        <v>0</v>
      </c>
      <c r="F66" s="80">
        <f t="shared" si="23"/>
        <v>0</v>
      </c>
      <c r="G66" s="179">
        <v>0</v>
      </c>
      <c r="H66" s="80">
        <f t="shared" si="24"/>
        <v>0</v>
      </c>
      <c r="I66" s="179">
        <v>0</v>
      </c>
      <c r="J66" s="80">
        <f t="shared" si="25"/>
        <v>0</v>
      </c>
      <c r="K66" s="179">
        <v>0</v>
      </c>
      <c r="L66" s="80">
        <f t="shared" si="26"/>
        <v>0</v>
      </c>
      <c r="M66" s="179">
        <v>0</v>
      </c>
      <c r="N66" s="80">
        <f t="shared" si="27"/>
        <v>0</v>
      </c>
      <c r="O66" s="179">
        <v>0</v>
      </c>
      <c r="P66" s="80">
        <f t="shared" si="28"/>
        <v>0</v>
      </c>
      <c r="Q66" s="179">
        <v>0</v>
      </c>
      <c r="R66" s="80">
        <f t="shared" si="29"/>
        <v>0</v>
      </c>
      <c r="S66" s="179">
        <v>0</v>
      </c>
      <c r="T66" s="80">
        <f t="shared" si="30"/>
        <v>0</v>
      </c>
      <c r="U66" s="179">
        <v>0</v>
      </c>
      <c r="V66" s="80">
        <f t="shared" si="31"/>
        <v>0</v>
      </c>
      <c r="X66" s="200"/>
    </row>
    <row r="67" spans="1:24" ht="12.75" customHeight="1">
      <c r="A67" s="2" t="s">
        <v>398</v>
      </c>
      <c r="B67" s="35"/>
      <c r="C67" s="179">
        <v>0</v>
      </c>
      <c r="D67" s="80">
        <f t="shared" si="22"/>
        <v>0</v>
      </c>
      <c r="E67" s="179">
        <v>0</v>
      </c>
      <c r="F67" s="80">
        <f t="shared" si="23"/>
        <v>0</v>
      </c>
      <c r="G67" s="179">
        <v>0</v>
      </c>
      <c r="H67" s="80">
        <f t="shared" si="24"/>
        <v>0</v>
      </c>
      <c r="I67" s="179">
        <v>0</v>
      </c>
      <c r="J67" s="80">
        <f t="shared" si="25"/>
        <v>0</v>
      </c>
      <c r="K67" s="179">
        <v>0</v>
      </c>
      <c r="L67" s="80">
        <f t="shared" si="26"/>
        <v>0</v>
      </c>
      <c r="M67" s="179">
        <v>0</v>
      </c>
      <c r="N67" s="80">
        <f t="shared" si="27"/>
        <v>0</v>
      </c>
      <c r="O67" s="179">
        <v>0</v>
      </c>
      <c r="P67" s="80">
        <f t="shared" si="28"/>
        <v>0</v>
      </c>
      <c r="Q67" s="179">
        <v>0</v>
      </c>
      <c r="R67" s="80">
        <f t="shared" si="29"/>
        <v>0</v>
      </c>
      <c r="S67" s="179">
        <v>0</v>
      </c>
      <c r="T67" s="80">
        <f t="shared" si="30"/>
        <v>0</v>
      </c>
      <c r="U67" s="179">
        <v>0</v>
      </c>
      <c r="V67" s="80">
        <f t="shared" si="31"/>
        <v>0</v>
      </c>
      <c r="X67" s="200"/>
    </row>
    <row r="68" spans="1:24" ht="12.75" customHeight="1">
      <c r="A68" s="2" t="s">
        <v>399</v>
      </c>
      <c r="B68" s="35"/>
      <c r="C68" s="179">
        <v>0</v>
      </c>
      <c r="D68" s="80">
        <f t="shared" si="22"/>
        <v>0</v>
      </c>
      <c r="E68" s="179">
        <v>0</v>
      </c>
      <c r="F68" s="80">
        <f t="shared" si="23"/>
        <v>0</v>
      </c>
      <c r="G68" s="179">
        <v>0</v>
      </c>
      <c r="H68" s="80">
        <f t="shared" si="24"/>
        <v>0</v>
      </c>
      <c r="I68" s="179">
        <v>0</v>
      </c>
      <c r="J68" s="80">
        <f t="shared" si="25"/>
        <v>0</v>
      </c>
      <c r="K68" s="179">
        <v>0</v>
      </c>
      <c r="L68" s="80">
        <f t="shared" si="26"/>
        <v>0</v>
      </c>
      <c r="M68" s="179">
        <v>0</v>
      </c>
      <c r="N68" s="80">
        <f t="shared" si="27"/>
        <v>0</v>
      </c>
      <c r="O68" s="179">
        <v>0</v>
      </c>
      <c r="P68" s="80">
        <f t="shared" si="28"/>
        <v>0</v>
      </c>
      <c r="Q68" s="179">
        <v>0</v>
      </c>
      <c r="R68" s="80">
        <f t="shared" si="29"/>
        <v>0</v>
      </c>
      <c r="S68" s="179">
        <v>0</v>
      </c>
      <c r="T68" s="80">
        <f t="shared" si="30"/>
        <v>0</v>
      </c>
      <c r="U68" s="179">
        <v>0</v>
      </c>
      <c r="V68" s="80">
        <f t="shared" si="31"/>
        <v>0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2"/>
        <v>0</v>
      </c>
      <c r="E69" s="179">
        <v>0</v>
      </c>
      <c r="F69" s="80">
        <f t="shared" si="23"/>
        <v>0</v>
      </c>
      <c r="G69" s="179">
        <v>0</v>
      </c>
      <c r="H69" s="80">
        <f t="shared" si="24"/>
        <v>0</v>
      </c>
      <c r="I69" s="179">
        <v>0</v>
      </c>
      <c r="J69" s="80">
        <f t="shared" si="25"/>
        <v>0</v>
      </c>
      <c r="K69" s="179">
        <v>0</v>
      </c>
      <c r="L69" s="80">
        <f t="shared" si="26"/>
        <v>0</v>
      </c>
      <c r="M69" s="179">
        <v>0</v>
      </c>
      <c r="N69" s="80">
        <f t="shared" si="27"/>
        <v>0</v>
      </c>
      <c r="O69" s="179">
        <v>0</v>
      </c>
      <c r="P69" s="80">
        <f t="shared" si="28"/>
        <v>0</v>
      </c>
      <c r="Q69" s="179">
        <v>0</v>
      </c>
      <c r="R69" s="80">
        <f t="shared" si="29"/>
        <v>0</v>
      </c>
      <c r="S69" s="179">
        <v>0</v>
      </c>
      <c r="T69" s="80">
        <f t="shared" si="30"/>
        <v>0</v>
      </c>
      <c r="U69" s="179">
        <v>0</v>
      </c>
      <c r="V69" s="80">
        <f t="shared" si="31"/>
        <v>0</v>
      </c>
      <c r="X69" s="200"/>
    </row>
    <row r="70" spans="1:24" ht="12.75" customHeight="1">
      <c r="A70" s="2" t="s">
        <v>401</v>
      </c>
      <c r="B70" s="35"/>
      <c r="C70" s="179">
        <v>0</v>
      </c>
      <c r="D70" s="80">
        <f t="shared" si="22"/>
        <v>0</v>
      </c>
      <c r="E70" s="179">
        <v>0</v>
      </c>
      <c r="F70" s="80">
        <f t="shared" si="23"/>
        <v>0</v>
      </c>
      <c r="G70" s="179">
        <v>0</v>
      </c>
      <c r="H70" s="80">
        <f t="shared" si="24"/>
        <v>0</v>
      </c>
      <c r="I70" s="179">
        <v>0</v>
      </c>
      <c r="J70" s="80">
        <f t="shared" si="25"/>
        <v>0</v>
      </c>
      <c r="K70" s="179">
        <v>0</v>
      </c>
      <c r="L70" s="80">
        <f t="shared" si="26"/>
        <v>0</v>
      </c>
      <c r="M70" s="179">
        <v>0</v>
      </c>
      <c r="N70" s="80">
        <f t="shared" si="27"/>
        <v>0</v>
      </c>
      <c r="O70" s="179">
        <v>0</v>
      </c>
      <c r="P70" s="80">
        <f t="shared" si="28"/>
        <v>0</v>
      </c>
      <c r="Q70" s="179">
        <v>0</v>
      </c>
      <c r="R70" s="80">
        <f t="shared" si="29"/>
        <v>0</v>
      </c>
      <c r="S70" s="179">
        <v>0</v>
      </c>
      <c r="T70" s="80">
        <f t="shared" si="30"/>
        <v>0</v>
      </c>
      <c r="U70" s="179">
        <v>0</v>
      </c>
      <c r="V70" s="80">
        <f t="shared" si="31"/>
        <v>0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2"/>
        <v>0</v>
      </c>
      <c r="E71" s="179">
        <v>0</v>
      </c>
      <c r="F71" s="80">
        <f t="shared" si="23"/>
        <v>0</v>
      </c>
      <c r="G71" s="179">
        <v>0</v>
      </c>
      <c r="H71" s="80">
        <f t="shared" si="24"/>
        <v>0</v>
      </c>
      <c r="I71" s="179">
        <v>0</v>
      </c>
      <c r="J71" s="80">
        <f t="shared" si="25"/>
        <v>0</v>
      </c>
      <c r="K71" s="179">
        <v>0</v>
      </c>
      <c r="L71" s="80">
        <f t="shared" si="26"/>
        <v>0</v>
      </c>
      <c r="M71" s="179">
        <v>0</v>
      </c>
      <c r="N71" s="80">
        <f t="shared" si="27"/>
        <v>0</v>
      </c>
      <c r="O71" s="179">
        <v>0</v>
      </c>
      <c r="P71" s="80">
        <f t="shared" si="28"/>
        <v>0</v>
      </c>
      <c r="Q71" s="179">
        <v>0</v>
      </c>
      <c r="R71" s="80">
        <f t="shared" si="29"/>
        <v>0</v>
      </c>
      <c r="S71" s="179">
        <v>0</v>
      </c>
      <c r="T71" s="80">
        <f t="shared" si="30"/>
        <v>0</v>
      </c>
      <c r="U71" s="179">
        <v>0</v>
      </c>
      <c r="V71" s="80">
        <f t="shared" si="31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2"/>
        <v>0</v>
      </c>
      <c r="E72" s="179">
        <v>0</v>
      </c>
      <c r="F72" s="80">
        <f t="shared" si="23"/>
        <v>0</v>
      </c>
      <c r="G72" s="179">
        <v>0</v>
      </c>
      <c r="H72" s="80">
        <f t="shared" si="24"/>
        <v>0</v>
      </c>
      <c r="I72" s="179">
        <v>0</v>
      </c>
      <c r="J72" s="80">
        <f t="shared" si="25"/>
        <v>0</v>
      </c>
      <c r="K72" s="179">
        <v>0</v>
      </c>
      <c r="L72" s="80">
        <f t="shared" si="26"/>
        <v>0</v>
      </c>
      <c r="M72" s="179">
        <v>0</v>
      </c>
      <c r="N72" s="80">
        <f t="shared" si="27"/>
        <v>0</v>
      </c>
      <c r="O72" s="179">
        <v>0</v>
      </c>
      <c r="P72" s="80">
        <f t="shared" si="28"/>
        <v>0</v>
      </c>
      <c r="Q72" s="179">
        <v>0</v>
      </c>
      <c r="R72" s="80">
        <f t="shared" si="29"/>
        <v>0</v>
      </c>
      <c r="S72" s="179">
        <v>0</v>
      </c>
      <c r="T72" s="80">
        <f t="shared" si="30"/>
        <v>0</v>
      </c>
      <c r="U72" s="179">
        <v>0</v>
      </c>
      <c r="V72" s="80">
        <f t="shared" si="31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2"/>
        <v>0</v>
      </c>
      <c r="E73" s="179">
        <v>0</v>
      </c>
      <c r="F73" s="80">
        <f t="shared" si="23"/>
        <v>0</v>
      </c>
      <c r="G73" s="179">
        <v>0</v>
      </c>
      <c r="H73" s="80">
        <f t="shared" si="24"/>
        <v>0</v>
      </c>
      <c r="I73" s="179">
        <v>0</v>
      </c>
      <c r="J73" s="80">
        <f t="shared" si="25"/>
        <v>0</v>
      </c>
      <c r="K73" s="179">
        <v>0</v>
      </c>
      <c r="L73" s="80">
        <f t="shared" si="26"/>
        <v>0</v>
      </c>
      <c r="M73" s="179">
        <v>0</v>
      </c>
      <c r="N73" s="80">
        <f t="shared" si="27"/>
        <v>0</v>
      </c>
      <c r="O73" s="179">
        <v>0</v>
      </c>
      <c r="P73" s="80">
        <f t="shared" si="28"/>
        <v>0</v>
      </c>
      <c r="Q73" s="179">
        <v>0</v>
      </c>
      <c r="R73" s="80">
        <f t="shared" si="29"/>
        <v>0</v>
      </c>
      <c r="S73" s="179">
        <v>0</v>
      </c>
      <c r="T73" s="80">
        <f t="shared" si="30"/>
        <v>0</v>
      </c>
      <c r="U73" s="179">
        <v>0</v>
      </c>
      <c r="V73" s="80">
        <f t="shared" si="31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2"/>
        <v>0</v>
      </c>
      <c r="E74" s="179">
        <v>0</v>
      </c>
      <c r="F74" s="80">
        <f t="shared" si="23"/>
        <v>0</v>
      </c>
      <c r="G74" s="179">
        <v>0</v>
      </c>
      <c r="H74" s="80">
        <f t="shared" si="24"/>
        <v>0</v>
      </c>
      <c r="I74" s="179">
        <v>0</v>
      </c>
      <c r="J74" s="80">
        <f t="shared" si="25"/>
        <v>0</v>
      </c>
      <c r="K74" s="179">
        <v>0</v>
      </c>
      <c r="L74" s="80">
        <f t="shared" si="26"/>
        <v>0</v>
      </c>
      <c r="M74" s="179">
        <v>0</v>
      </c>
      <c r="N74" s="80">
        <f t="shared" si="27"/>
        <v>0</v>
      </c>
      <c r="O74" s="179">
        <v>0</v>
      </c>
      <c r="P74" s="80">
        <f t="shared" si="28"/>
        <v>0</v>
      </c>
      <c r="Q74" s="179">
        <v>0</v>
      </c>
      <c r="R74" s="80">
        <f t="shared" si="29"/>
        <v>0</v>
      </c>
      <c r="S74" s="179">
        <v>0</v>
      </c>
      <c r="T74" s="80">
        <f t="shared" si="30"/>
        <v>0</v>
      </c>
      <c r="U74" s="179">
        <v>0</v>
      </c>
      <c r="V74" s="80">
        <f t="shared" si="31"/>
        <v>0</v>
      </c>
      <c r="X74" s="200"/>
    </row>
    <row r="75" spans="1:24" ht="12.75" customHeight="1">
      <c r="A75" s="2" t="s">
        <v>406</v>
      </c>
      <c r="B75" s="35"/>
      <c r="C75" s="179">
        <v>0</v>
      </c>
      <c r="D75" s="80">
        <f t="shared" si="22"/>
        <v>0</v>
      </c>
      <c r="E75" s="179">
        <v>0</v>
      </c>
      <c r="F75" s="80">
        <f t="shared" si="23"/>
        <v>0</v>
      </c>
      <c r="G75" s="179">
        <v>0</v>
      </c>
      <c r="H75" s="80">
        <f t="shared" si="24"/>
        <v>0</v>
      </c>
      <c r="I75" s="179">
        <v>0</v>
      </c>
      <c r="J75" s="80">
        <f t="shared" si="25"/>
        <v>0</v>
      </c>
      <c r="K75" s="179">
        <v>0</v>
      </c>
      <c r="L75" s="80">
        <f t="shared" si="26"/>
        <v>0</v>
      </c>
      <c r="M75" s="179">
        <v>0</v>
      </c>
      <c r="N75" s="80">
        <f t="shared" si="27"/>
        <v>0</v>
      </c>
      <c r="O75" s="179">
        <v>0</v>
      </c>
      <c r="P75" s="80">
        <f t="shared" si="28"/>
        <v>0</v>
      </c>
      <c r="Q75" s="179">
        <v>0</v>
      </c>
      <c r="R75" s="80">
        <f t="shared" si="29"/>
        <v>0</v>
      </c>
      <c r="S75" s="179">
        <v>0</v>
      </c>
      <c r="T75" s="80">
        <f t="shared" si="30"/>
        <v>0</v>
      </c>
      <c r="U75" s="179">
        <v>0</v>
      </c>
      <c r="V75" s="80">
        <f t="shared" si="31"/>
        <v>0</v>
      </c>
      <c r="X75" s="200"/>
    </row>
    <row r="76" spans="1:24" ht="12.75" customHeight="1">
      <c r="A76" s="2" t="s">
        <v>407</v>
      </c>
      <c r="B76" s="35"/>
      <c r="C76" s="179">
        <v>0</v>
      </c>
      <c r="D76" s="80">
        <f t="shared" si="22"/>
        <v>0</v>
      </c>
      <c r="E76" s="179">
        <v>0</v>
      </c>
      <c r="F76" s="80">
        <f t="shared" si="23"/>
        <v>0</v>
      </c>
      <c r="G76" s="179">
        <v>0</v>
      </c>
      <c r="H76" s="80">
        <f t="shared" si="24"/>
        <v>0</v>
      </c>
      <c r="I76" s="179">
        <v>0</v>
      </c>
      <c r="J76" s="80">
        <f t="shared" si="25"/>
        <v>0</v>
      </c>
      <c r="K76" s="179">
        <v>0</v>
      </c>
      <c r="L76" s="80">
        <f t="shared" si="26"/>
        <v>0</v>
      </c>
      <c r="M76" s="179">
        <v>0</v>
      </c>
      <c r="N76" s="80">
        <f t="shared" si="27"/>
        <v>0</v>
      </c>
      <c r="O76" s="179">
        <v>0</v>
      </c>
      <c r="P76" s="80">
        <f t="shared" si="28"/>
        <v>0</v>
      </c>
      <c r="Q76" s="179">
        <v>0</v>
      </c>
      <c r="R76" s="80">
        <f t="shared" si="29"/>
        <v>0</v>
      </c>
      <c r="S76" s="179">
        <v>0</v>
      </c>
      <c r="T76" s="80">
        <f t="shared" si="30"/>
        <v>0</v>
      </c>
      <c r="U76" s="179">
        <v>0</v>
      </c>
      <c r="V76" s="80">
        <f t="shared" si="31"/>
        <v>0</v>
      </c>
      <c r="X76" s="200"/>
    </row>
    <row r="77" spans="1:24" ht="12.75" customHeight="1">
      <c r="A77" s="2" t="s">
        <v>408</v>
      </c>
      <c r="B77" s="35"/>
      <c r="C77" s="179">
        <v>0</v>
      </c>
      <c r="D77" s="80">
        <f t="shared" si="22"/>
        <v>0</v>
      </c>
      <c r="E77" s="179">
        <v>0</v>
      </c>
      <c r="F77" s="80">
        <f t="shared" si="23"/>
        <v>0</v>
      </c>
      <c r="G77" s="179">
        <v>0</v>
      </c>
      <c r="H77" s="80">
        <f t="shared" si="24"/>
        <v>0</v>
      </c>
      <c r="I77" s="179">
        <v>0</v>
      </c>
      <c r="J77" s="80">
        <f t="shared" si="25"/>
        <v>0</v>
      </c>
      <c r="K77" s="179">
        <v>0</v>
      </c>
      <c r="L77" s="80">
        <f t="shared" si="26"/>
        <v>0</v>
      </c>
      <c r="M77" s="179">
        <v>0</v>
      </c>
      <c r="N77" s="80">
        <f t="shared" si="27"/>
        <v>0</v>
      </c>
      <c r="O77" s="179">
        <v>0</v>
      </c>
      <c r="P77" s="80">
        <f t="shared" si="28"/>
        <v>0</v>
      </c>
      <c r="Q77" s="179">
        <v>0</v>
      </c>
      <c r="R77" s="80">
        <f t="shared" si="29"/>
        <v>0</v>
      </c>
      <c r="S77" s="179">
        <v>0</v>
      </c>
      <c r="T77" s="80">
        <f t="shared" si="30"/>
        <v>0</v>
      </c>
      <c r="U77" s="179">
        <v>0</v>
      </c>
      <c r="V77" s="80">
        <f t="shared" si="31"/>
        <v>0</v>
      </c>
      <c r="X77" s="200"/>
    </row>
    <row r="78" spans="1:24" ht="12.75" customHeight="1">
      <c r="A78" s="2" t="s">
        <v>409</v>
      </c>
      <c r="B78" s="35"/>
      <c r="C78" s="179">
        <v>0</v>
      </c>
      <c r="D78" s="80">
        <f t="shared" si="22"/>
        <v>0</v>
      </c>
      <c r="E78" s="179">
        <v>0</v>
      </c>
      <c r="F78" s="80">
        <f t="shared" si="23"/>
        <v>0</v>
      </c>
      <c r="G78" s="179">
        <v>0</v>
      </c>
      <c r="H78" s="80">
        <f t="shared" si="24"/>
        <v>0</v>
      </c>
      <c r="I78" s="179">
        <v>0</v>
      </c>
      <c r="J78" s="80">
        <f t="shared" si="25"/>
        <v>0</v>
      </c>
      <c r="K78" s="179">
        <v>0</v>
      </c>
      <c r="L78" s="80">
        <f t="shared" si="26"/>
        <v>0</v>
      </c>
      <c r="M78" s="179">
        <v>0</v>
      </c>
      <c r="N78" s="80">
        <f t="shared" si="27"/>
        <v>0</v>
      </c>
      <c r="O78" s="179">
        <v>0</v>
      </c>
      <c r="P78" s="80">
        <f t="shared" si="28"/>
        <v>0</v>
      </c>
      <c r="Q78" s="179">
        <v>0</v>
      </c>
      <c r="R78" s="80">
        <f t="shared" si="29"/>
        <v>0</v>
      </c>
      <c r="S78" s="179">
        <v>0</v>
      </c>
      <c r="T78" s="80">
        <f t="shared" si="30"/>
        <v>0</v>
      </c>
      <c r="U78" s="179">
        <v>0</v>
      </c>
      <c r="V78" s="80">
        <f t="shared" si="31"/>
        <v>0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2"/>
        <v>0</v>
      </c>
      <c r="E79" s="179">
        <v>0</v>
      </c>
      <c r="F79" s="80">
        <f t="shared" si="23"/>
        <v>0</v>
      </c>
      <c r="G79" s="179">
        <v>0</v>
      </c>
      <c r="H79" s="80">
        <f t="shared" si="24"/>
        <v>0</v>
      </c>
      <c r="I79" s="179">
        <v>0</v>
      </c>
      <c r="J79" s="80">
        <f t="shared" si="25"/>
        <v>0</v>
      </c>
      <c r="K79" s="179">
        <v>0</v>
      </c>
      <c r="L79" s="80">
        <f t="shared" si="26"/>
        <v>0</v>
      </c>
      <c r="M79" s="179">
        <v>0</v>
      </c>
      <c r="N79" s="80">
        <f t="shared" si="27"/>
        <v>0</v>
      </c>
      <c r="O79" s="179">
        <v>0</v>
      </c>
      <c r="P79" s="80">
        <f t="shared" si="28"/>
        <v>0</v>
      </c>
      <c r="Q79" s="179">
        <v>0</v>
      </c>
      <c r="R79" s="80">
        <f t="shared" si="29"/>
        <v>0</v>
      </c>
      <c r="S79" s="179">
        <v>0</v>
      </c>
      <c r="T79" s="80">
        <f t="shared" si="30"/>
        <v>0</v>
      </c>
      <c r="U79" s="179">
        <v>0</v>
      </c>
      <c r="V79" s="80">
        <f t="shared" si="31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2"/>
        <v>0</v>
      </c>
      <c r="E80" s="179">
        <v>0</v>
      </c>
      <c r="F80" s="80">
        <f t="shared" si="23"/>
        <v>0</v>
      </c>
      <c r="G80" s="179">
        <v>0</v>
      </c>
      <c r="H80" s="80">
        <f t="shared" si="24"/>
        <v>0</v>
      </c>
      <c r="I80" s="179">
        <v>0</v>
      </c>
      <c r="J80" s="80">
        <f t="shared" si="25"/>
        <v>0</v>
      </c>
      <c r="K80" s="179">
        <v>0</v>
      </c>
      <c r="L80" s="80">
        <f t="shared" si="26"/>
        <v>0</v>
      </c>
      <c r="M80" s="179">
        <v>0</v>
      </c>
      <c r="N80" s="80">
        <f t="shared" si="27"/>
        <v>0</v>
      </c>
      <c r="O80" s="179">
        <v>0</v>
      </c>
      <c r="P80" s="80">
        <f t="shared" si="28"/>
        <v>0</v>
      </c>
      <c r="Q80" s="179">
        <v>0</v>
      </c>
      <c r="R80" s="80">
        <f t="shared" si="29"/>
        <v>0</v>
      </c>
      <c r="S80" s="179">
        <v>0</v>
      </c>
      <c r="T80" s="80">
        <f t="shared" si="30"/>
        <v>0</v>
      </c>
      <c r="U80" s="179">
        <v>0</v>
      </c>
      <c r="V80" s="80">
        <f t="shared" si="31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2"/>
        <v>0</v>
      </c>
      <c r="E81" s="179">
        <v>0</v>
      </c>
      <c r="F81" s="80">
        <f t="shared" si="23"/>
        <v>0</v>
      </c>
      <c r="G81" s="179">
        <v>0</v>
      </c>
      <c r="H81" s="80">
        <f t="shared" si="24"/>
        <v>0</v>
      </c>
      <c r="I81" s="179">
        <v>0</v>
      </c>
      <c r="J81" s="80">
        <f t="shared" si="25"/>
        <v>0</v>
      </c>
      <c r="K81" s="179">
        <v>0</v>
      </c>
      <c r="L81" s="80">
        <f t="shared" si="26"/>
        <v>0</v>
      </c>
      <c r="M81" s="179">
        <v>0</v>
      </c>
      <c r="N81" s="80">
        <f t="shared" si="27"/>
        <v>0</v>
      </c>
      <c r="O81" s="179">
        <v>0</v>
      </c>
      <c r="P81" s="80">
        <f t="shared" si="28"/>
        <v>0</v>
      </c>
      <c r="Q81" s="179">
        <v>0</v>
      </c>
      <c r="R81" s="80">
        <f t="shared" si="29"/>
        <v>0</v>
      </c>
      <c r="S81" s="179">
        <v>0</v>
      </c>
      <c r="T81" s="80">
        <f t="shared" si="30"/>
        <v>0</v>
      </c>
      <c r="U81" s="179">
        <v>0</v>
      </c>
      <c r="V81" s="80">
        <f t="shared" si="31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2"/>
        <v>0</v>
      </c>
      <c r="E82" s="179">
        <v>0</v>
      </c>
      <c r="F82" s="80">
        <f t="shared" si="23"/>
        <v>0</v>
      </c>
      <c r="G82" s="179">
        <v>0</v>
      </c>
      <c r="H82" s="80">
        <f t="shared" si="24"/>
        <v>0</v>
      </c>
      <c r="I82" s="179">
        <v>0</v>
      </c>
      <c r="J82" s="80">
        <f t="shared" si="25"/>
        <v>0</v>
      </c>
      <c r="K82" s="179">
        <v>0</v>
      </c>
      <c r="L82" s="80">
        <f t="shared" si="26"/>
        <v>0</v>
      </c>
      <c r="M82" s="179">
        <v>0</v>
      </c>
      <c r="N82" s="80">
        <f t="shared" si="27"/>
        <v>0</v>
      </c>
      <c r="O82" s="179">
        <v>0</v>
      </c>
      <c r="P82" s="80">
        <f t="shared" si="28"/>
        <v>0</v>
      </c>
      <c r="Q82" s="179">
        <v>0</v>
      </c>
      <c r="R82" s="80">
        <f t="shared" si="29"/>
        <v>0</v>
      </c>
      <c r="S82" s="179">
        <v>0</v>
      </c>
      <c r="T82" s="80">
        <f t="shared" si="30"/>
        <v>0</v>
      </c>
      <c r="U82" s="179">
        <v>0</v>
      </c>
      <c r="V82" s="80">
        <f t="shared" si="31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2"/>
        <v>0</v>
      </c>
      <c r="E83" s="179">
        <v>0</v>
      </c>
      <c r="F83" s="80">
        <f t="shared" si="23"/>
        <v>0</v>
      </c>
      <c r="G83" s="179">
        <v>0</v>
      </c>
      <c r="H83" s="80">
        <f t="shared" si="24"/>
        <v>0</v>
      </c>
      <c r="I83" s="179">
        <v>0</v>
      </c>
      <c r="J83" s="80">
        <f t="shared" si="25"/>
        <v>0</v>
      </c>
      <c r="K83" s="179">
        <v>0</v>
      </c>
      <c r="L83" s="80">
        <f t="shared" si="26"/>
        <v>0</v>
      </c>
      <c r="M83" s="179">
        <v>0</v>
      </c>
      <c r="N83" s="80">
        <f t="shared" si="27"/>
        <v>0</v>
      </c>
      <c r="O83" s="179">
        <v>0</v>
      </c>
      <c r="P83" s="80">
        <f t="shared" si="28"/>
        <v>0</v>
      </c>
      <c r="Q83" s="179">
        <v>0</v>
      </c>
      <c r="R83" s="80">
        <f t="shared" si="29"/>
        <v>0</v>
      </c>
      <c r="S83" s="179">
        <v>0</v>
      </c>
      <c r="T83" s="80">
        <f t="shared" si="30"/>
        <v>0</v>
      </c>
      <c r="U83" s="179">
        <v>0</v>
      </c>
      <c r="V83" s="80">
        <f t="shared" si="31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ref="D84:D105" si="32">IFERROR(C84/C$28,0)</f>
        <v>0</v>
      </c>
      <c r="E84" s="179">
        <v>0</v>
      </c>
      <c r="F84" s="80">
        <f t="shared" si="23"/>
        <v>0</v>
      </c>
      <c r="G84" s="179">
        <v>0</v>
      </c>
      <c r="H84" s="80">
        <f t="shared" si="24"/>
        <v>0</v>
      </c>
      <c r="I84" s="179">
        <v>0</v>
      </c>
      <c r="J84" s="80">
        <f t="shared" si="25"/>
        <v>0</v>
      </c>
      <c r="K84" s="179">
        <v>0</v>
      </c>
      <c r="L84" s="80">
        <f t="shared" si="26"/>
        <v>0</v>
      </c>
      <c r="M84" s="179">
        <v>0</v>
      </c>
      <c r="N84" s="80">
        <f t="shared" si="27"/>
        <v>0</v>
      </c>
      <c r="O84" s="179">
        <v>0</v>
      </c>
      <c r="P84" s="80">
        <f t="shared" si="28"/>
        <v>0</v>
      </c>
      <c r="Q84" s="179">
        <v>0</v>
      </c>
      <c r="R84" s="80">
        <f t="shared" si="29"/>
        <v>0</v>
      </c>
      <c r="S84" s="179">
        <v>0</v>
      </c>
      <c r="T84" s="80">
        <f t="shared" si="30"/>
        <v>0</v>
      </c>
      <c r="U84" s="179">
        <v>0</v>
      </c>
      <c r="V84" s="80">
        <f t="shared" si="31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32"/>
        <v>0</v>
      </c>
      <c r="E85" s="179">
        <v>0</v>
      </c>
      <c r="F85" s="80">
        <f t="shared" si="23"/>
        <v>0</v>
      </c>
      <c r="G85" s="179">
        <v>0</v>
      </c>
      <c r="H85" s="80">
        <f t="shared" si="24"/>
        <v>0</v>
      </c>
      <c r="I85" s="179">
        <v>0</v>
      </c>
      <c r="J85" s="80">
        <f t="shared" si="25"/>
        <v>0</v>
      </c>
      <c r="K85" s="179">
        <v>0</v>
      </c>
      <c r="L85" s="80">
        <f t="shared" si="26"/>
        <v>0</v>
      </c>
      <c r="M85" s="179">
        <v>0</v>
      </c>
      <c r="N85" s="80">
        <f t="shared" si="27"/>
        <v>0</v>
      </c>
      <c r="O85" s="179">
        <v>0</v>
      </c>
      <c r="P85" s="80">
        <f t="shared" si="28"/>
        <v>0</v>
      </c>
      <c r="Q85" s="179">
        <v>0</v>
      </c>
      <c r="R85" s="80">
        <f t="shared" si="29"/>
        <v>0</v>
      </c>
      <c r="S85" s="179">
        <v>0</v>
      </c>
      <c r="T85" s="80">
        <f t="shared" si="30"/>
        <v>0</v>
      </c>
      <c r="U85" s="179">
        <v>0</v>
      </c>
      <c r="V85" s="80">
        <f t="shared" si="31"/>
        <v>0</v>
      </c>
      <c r="X85" s="200"/>
    </row>
    <row r="86" spans="1:24" ht="12.75" customHeight="1">
      <c r="A86" s="2" t="s">
        <v>417</v>
      </c>
      <c r="B86" s="35"/>
      <c r="C86" s="179">
        <v>0</v>
      </c>
      <c r="D86" s="80">
        <f t="shared" si="32"/>
        <v>0</v>
      </c>
      <c r="E86" s="179">
        <v>0</v>
      </c>
      <c r="F86" s="80">
        <f t="shared" si="23"/>
        <v>0</v>
      </c>
      <c r="G86" s="179">
        <v>0</v>
      </c>
      <c r="H86" s="80">
        <f t="shared" si="24"/>
        <v>0</v>
      </c>
      <c r="I86" s="179">
        <v>0</v>
      </c>
      <c r="J86" s="80">
        <f t="shared" si="25"/>
        <v>0</v>
      </c>
      <c r="K86" s="179">
        <v>0</v>
      </c>
      <c r="L86" s="80">
        <f t="shared" si="26"/>
        <v>0</v>
      </c>
      <c r="M86" s="179">
        <v>0</v>
      </c>
      <c r="N86" s="80">
        <f t="shared" si="27"/>
        <v>0</v>
      </c>
      <c r="O86" s="179">
        <v>0</v>
      </c>
      <c r="P86" s="80">
        <f t="shared" si="28"/>
        <v>0</v>
      </c>
      <c r="Q86" s="179">
        <v>0</v>
      </c>
      <c r="R86" s="80">
        <f t="shared" si="29"/>
        <v>0</v>
      </c>
      <c r="S86" s="179">
        <v>0</v>
      </c>
      <c r="T86" s="80">
        <f t="shared" si="30"/>
        <v>0</v>
      </c>
      <c r="U86" s="179">
        <v>0</v>
      </c>
      <c r="V86" s="80">
        <f t="shared" si="31"/>
        <v>0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32"/>
        <v>0</v>
      </c>
      <c r="E87" s="179">
        <v>0</v>
      </c>
      <c r="F87" s="80">
        <f t="shared" si="23"/>
        <v>0</v>
      </c>
      <c r="G87" s="179">
        <v>0</v>
      </c>
      <c r="H87" s="80">
        <f t="shared" si="24"/>
        <v>0</v>
      </c>
      <c r="I87" s="179">
        <v>0</v>
      </c>
      <c r="J87" s="80">
        <f t="shared" si="25"/>
        <v>0</v>
      </c>
      <c r="K87" s="179">
        <v>0</v>
      </c>
      <c r="L87" s="80">
        <f t="shared" si="26"/>
        <v>0</v>
      </c>
      <c r="M87" s="179">
        <v>0</v>
      </c>
      <c r="N87" s="80">
        <f t="shared" si="27"/>
        <v>0</v>
      </c>
      <c r="O87" s="179">
        <v>0</v>
      </c>
      <c r="P87" s="80">
        <f t="shared" si="28"/>
        <v>0</v>
      </c>
      <c r="Q87" s="179">
        <v>0</v>
      </c>
      <c r="R87" s="80">
        <f t="shared" si="29"/>
        <v>0</v>
      </c>
      <c r="S87" s="179">
        <v>0</v>
      </c>
      <c r="T87" s="80">
        <f t="shared" si="30"/>
        <v>0</v>
      </c>
      <c r="U87" s="179">
        <v>0</v>
      </c>
      <c r="V87" s="80">
        <f t="shared" si="31"/>
        <v>0</v>
      </c>
      <c r="X87" s="200"/>
    </row>
    <row r="88" spans="1:24" ht="12.75" customHeight="1">
      <c r="A88" s="2" t="s">
        <v>419</v>
      </c>
      <c r="B88" s="35"/>
      <c r="C88" s="179">
        <v>0</v>
      </c>
      <c r="D88" s="80">
        <f t="shared" si="32"/>
        <v>0</v>
      </c>
      <c r="E88" s="179">
        <v>0</v>
      </c>
      <c r="F88" s="80">
        <f t="shared" si="23"/>
        <v>0</v>
      </c>
      <c r="G88" s="179">
        <v>0</v>
      </c>
      <c r="H88" s="80">
        <f t="shared" si="24"/>
        <v>0</v>
      </c>
      <c r="I88" s="179">
        <v>0</v>
      </c>
      <c r="J88" s="80">
        <f t="shared" si="25"/>
        <v>0</v>
      </c>
      <c r="K88" s="179">
        <v>0</v>
      </c>
      <c r="L88" s="80">
        <f t="shared" si="26"/>
        <v>0</v>
      </c>
      <c r="M88" s="179">
        <v>0</v>
      </c>
      <c r="N88" s="80">
        <f t="shared" si="27"/>
        <v>0</v>
      </c>
      <c r="O88" s="179">
        <v>0</v>
      </c>
      <c r="P88" s="80">
        <f t="shared" si="28"/>
        <v>0</v>
      </c>
      <c r="Q88" s="179">
        <v>0</v>
      </c>
      <c r="R88" s="80">
        <f t="shared" si="29"/>
        <v>0</v>
      </c>
      <c r="S88" s="179">
        <v>0</v>
      </c>
      <c r="T88" s="80">
        <f t="shared" si="30"/>
        <v>0</v>
      </c>
      <c r="U88" s="179">
        <v>0</v>
      </c>
      <c r="V88" s="80">
        <f t="shared" si="31"/>
        <v>0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32"/>
        <v>0</v>
      </c>
      <c r="E89" s="179">
        <v>0</v>
      </c>
      <c r="F89" s="80">
        <f t="shared" si="23"/>
        <v>0</v>
      </c>
      <c r="G89" s="179">
        <v>0</v>
      </c>
      <c r="H89" s="80">
        <f t="shared" si="24"/>
        <v>0</v>
      </c>
      <c r="I89" s="179">
        <v>0</v>
      </c>
      <c r="J89" s="80">
        <f t="shared" si="25"/>
        <v>0</v>
      </c>
      <c r="K89" s="179">
        <v>0</v>
      </c>
      <c r="L89" s="80">
        <f t="shared" si="26"/>
        <v>0</v>
      </c>
      <c r="M89" s="179">
        <v>0</v>
      </c>
      <c r="N89" s="80">
        <f t="shared" si="27"/>
        <v>0</v>
      </c>
      <c r="O89" s="179">
        <v>0</v>
      </c>
      <c r="P89" s="80">
        <f t="shared" si="28"/>
        <v>0</v>
      </c>
      <c r="Q89" s="179">
        <v>0</v>
      </c>
      <c r="R89" s="80">
        <f t="shared" si="29"/>
        <v>0</v>
      </c>
      <c r="S89" s="179">
        <v>0</v>
      </c>
      <c r="T89" s="80">
        <f t="shared" si="30"/>
        <v>0</v>
      </c>
      <c r="U89" s="179">
        <v>0</v>
      </c>
      <c r="V89" s="80">
        <f t="shared" si="31"/>
        <v>0</v>
      </c>
      <c r="X89" s="200"/>
    </row>
    <row r="90" spans="1:24" ht="12.75" customHeight="1">
      <c r="A90" s="2" t="s">
        <v>421</v>
      </c>
      <c r="B90" s="35"/>
      <c r="C90" s="179">
        <v>0</v>
      </c>
      <c r="D90" s="80">
        <f t="shared" si="32"/>
        <v>0</v>
      </c>
      <c r="E90" s="179">
        <v>0</v>
      </c>
      <c r="F90" s="80">
        <f t="shared" si="23"/>
        <v>0</v>
      </c>
      <c r="G90" s="179">
        <v>0</v>
      </c>
      <c r="H90" s="80">
        <f t="shared" si="24"/>
        <v>0</v>
      </c>
      <c r="I90" s="179">
        <v>0</v>
      </c>
      <c r="J90" s="80">
        <f t="shared" si="25"/>
        <v>0</v>
      </c>
      <c r="K90" s="179">
        <v>0</v>
      </c>
      <c r="L90" s="80">
        <f t="shared" si="26"/>
        <v>0</v>
      </c>
      <c r="M90" s="179">
        <v>0</v>
      </c>
      <c r="N90" s="80">
        <f t="shared" si="27"/>
        <v>0</v>
      </c>
      <c r="O90" s="179">
        <v>0</v>
      </c>
      <c r="P90" s="80">
        <f t="shared" si="28"/>
        <v>0</v>
      </c>
      <c r="Q90" s="179">
        <v>0</v>
      </c>
      <c r="R90" s="80">
        <f t="shared" si="29"/>
        <v>0</v>
      </c>
      <c r="S90" s="179">
        <v>0</v>
      </c>
      <c r="T90" s="80">
        <f t="shared" si="30"/>
        <v>0</v>
      </c>
      <c r="U90" s="179">
        <v>0</v>
      </c>
      <c r="V90" s="80">
        <f t="shared" si="31"/>
        <v>0</v>
      </c>
      <c r="X90" s="200"/>
    </row>
    <row r="91" spans="1:24" ht="12.75" customHeight="1">
      <c r="A91" s="2" t="s">
        <v>422</v>
      </c>
      <c r="C91" s="179">
        <v>0</v>
      </c>
      <c r="D91" s="80">
        <f t="shared" si="32"/>
        <v>0</v>
      </c>
      <c r="E91" s="179">
        <v>0</v>
      </c>
      <c r="F91" s="80">
        <f t="shared" si="23"/>
        <v>0</v>
      </c>
      <c r="G91" s="179">
        <v>0</v>
      </c>
      <c r="H91" s="80">
        <f t="shared" si="24"/>
        <v>0</v>
      </c>
      <c r="I91" s="179">
        <v>0</v>
      </c>
      <c r="J91" s="80">
        <f t="shared" si="25"/>
        <v>0</v>
      </c>
      <c r="K91" s="179">
        <v>0</v>
      </c>
      <c r="L91" s="80">
        <f t="shared" si="26"/>
        <v>0</v>
      </c>
      <c r="M91" s="179">
        <v>0</v>
      </c>
      <c r="N91" s="80">
        <f t="shared" si="27"/>
        <v>0</v>
      </c>
      <c r="O91" s="179">
        <v>0</v>
      </c>
      <c r="P91" s="80">
        <f t="shared" si="28"/>
        <v>0</v>
      </c>
      <c r="Q91" s="179">
        <v>0</v>
      </c>
      <c r="R91" s="80">
        <f t="shared" si="29"/>
        <v>0</v>
      </c>
      <c r="S91" s="179">
        <v>0</v>
      </c>
      <c r="T91" s="80">
        <f t="shared" si="30"/>
        <v>0</v>
      </c>
      <c r="U91" s="179">
        <v>0</v>
      </c>
      <c r="V91" s="80">
        <f t="shared" si="31"/>
        <v>0</v>
      </c>
      <c r="X91" s="200"/>
    </row>
    <row r="92" spans="1:24" ht="12.75" customHeight="1">
      <c r="A92" s="2" t="s">
        <v>423</v>
      </c>
      <c r="B92" s="35"/>
      <c r="C92" s="179">
        <v>0</v>
      </c>
      <c r="D92" s="80">
        <f t="shared" si="32"/>
        <v>0</v>
      </c>
      <c r="E92" s="179">
        <v>0</v>
      </c>
      <c r="F92" s="80">
        <f t="shared" si="23"/>
        <v>0</v>
      </c>
      <c r="G92" s="179">
        <v>0</v>
      </c>
      <c r="H92" s="80">
        <f t="shared" si="24"/>
        <v>0</v>
      </c>
      <c r="I92" s="179">
        <v>0</v>
      </c>
      <c r="J92" s="80">
        <f t="shared" si="25"/>
        <v>0</v>
      </c>
      <c r="K92" s="179">
        <v>0</v>
      </c>
      <c r="L92" s="80">
        <f t="shared" si="26"/>
        <v>0</v>
      </c>
      <c r="M92" s="179">
        <v>0</v>
      </c>
      <c r="N92" s="80">
        <f t="shared" si="27"/>
        <v>0</v>
      </c>
      <c r="O92" s="179">
        <v>0</v>
      </c>
      <c r="P92" s="80">
        <f t="shared" si="28"/>
        <v>0</v>
      </c>
      <c r="Q92" s="179">
        <v>0</v>
      </c>
      <c r="R92" s="80">
        <f t="shared" si="29"/>
        <v>0</v>
      </c>
      <c r="S92" s="179">
        <v>0</v>
      </c>
      <c r="T92" s="80">
        <f t="shared" si="30"/>
        <v>0</v>
      </c>
      <c r="U92" s="179">
        <v>0</v>
      </c>
      <c r="V92" s="80">
        <f t="shared" si="31"/>
        <v>0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32"/>
        <v>0</v>
      </c>
      <c r="E93" s="179">
        <v>0</v>
      </c>
      <c r="F93" s="80">
        <f t="shared" si="23"/>
        <v>0</v>
      </c>
      <c r="G93" s="179">
        <v>0</v>
      </c>
      <c r="H93" s="80">
        <f t="shared" si="24"/>
        <v>0</v>
      </c>
      <c r="I93" s="179">
        <v>0</v>
      </c>
      <c r="J93" s="80">
        <f t="shared" si="25"/>
        <v>0</v>
      </c>
      <c r="K93" s="179">
        <v>0</v>
      </c>
      <c r="L93" s="80">
        <f t="shared" si="26"/>
        <v>0</v>
      </c>
      <c r="M93" s="179">
        <v>0</v>
      </c>
      <c r="N93" s="80">
        <f t="shared" si="27"/>
        <v>0</v>
      </c>
      <c r="O93" s="179">
        <v>0</v>
      </c>
      <c r="P93" s="80">
        <f t="shared" si="28"/>
        <v>0</v>
      </c>
      <c r="Q93" s="179">
        <v>0</v>
      </c>
      <c r="R93" s="80">
        <f t="shared" si="29"/>
        <v>0</v>
      </c>
      <c r="S93" s="179">
        <v>0</v>
      </c>
      <c r="T93" s="80">
        <f t="shared" si="30"/>
        <v>0</v>
      </c>
      <c r="U93" s="179">
        <v>0</v>
      </c>
      <c r="V93" s="80">
        <f t="shared" si="31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32"/>
        <v>0</v>
      </c>
      <c r="E94" s="179">
        <v>0</v>
      </c>
      <c r="F94" s="80">
        <f t="shared" si="23"/>
        <v>0</v>
      </c>
      <c r="G94" s="179">
        <v>0</v>
      </c>
      <c r="H94" s="80">
        <f t="shared" si="24"/>
        <v>0</v>
      </c>
      <c r="I94" s="179">
        <v>0</v>
      </c>
      <c r="J94" s="80">
        <f t="shared" si="25"/>
        <v>0</v>
      </c>
      <c r="K94" s="179">
        <v>0</v>
      </c>
      <c r="L94" s="80">
        <f t="shared" si="26"/>
        <v>0</v>
      </c>
      <c r="M94" s="179">
        <v>0</v>
      </c>
      <c r="N94" s="80">
        <f t="shared" si="27"/>
        <v>0</v>
      </c>
      <c r="O94" s="179">
        <v>0</v>
      </c>
      <c r="P94" s="80">
        <f t="shared" si="28"/>
        <v>0</v>
      </c>
      <c r="Q94" s="179">
        <v>0</v>
      </c>
      <c r="R94" s="80">
        <f t="shared" si="29"/>
        <v>0</v>
      </c>
      <c r="S94" s="179">
        <v>0</v>
      </c>
      <c r="T94" s="80">
        <f t="shared" si="30"/>
        <v>0</v>
      </c>
      <c r="U94" s="179">
        <v>0</v>
      </c>
      <c r="V94" s="80">
        <f t="shared" si="31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32"/>
        <v>0</v>
      </c>
      <c r="E95" s="179">
        <v>0</v>
      </c>
      <c r="F95" s="80">
        <f t="shared" si="23"/>
        <v>0</v>
      </c>
      <c r="G95" s="179">
        <v>0</v>
      </c>
      <c r="H95" s="80">
        <f t="shared" si="24"/>
        <v>0</v>
      </c>
      <c r="I95" s="179">
        <v>0</v>
      </c>
      <c r="J95" s="80">
        <f t="shared" si="25"/>
        <v>0</v>
      </c>
      <c r="K95" s="179">
        <v>0</v>
      </c>
      <c r="L95" s="80">
        <f t="shared" si="26"/>
        <v>0</v>
      </c>
      <c r="M95" s="179">
        <v>0</v>
      </c>
      <c r="N95" s="80">
        <f t="shared" si="27"/>
        <v>0</v>
      </c>
      <c r="O95" s="179">
        <v>0</v>
      </c>
      <c r="P95" s="80">
        <f t="shared" si="28"/>
        <v>0</v>
      </c>
      <c r="Q95" s="179">
        <v>0</v>
      </c>
      <c r="R95" s="80">
        <f t="shared" si="29"/>
        <v>0</v>
      </c>
      <c r="S95" s="179">
        <v>0</v>
      </c>
      <c r="T95" s="80">
        <f t="shared" si="30"/>
        <v>0</v>
      </c>
      <c r="U95" s="179">
        <v>0</v>
      </c>
      <c r="V95" s="80">
        <f t="shared" si="31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32"/>
        <v>0</v>
      </c>
      <c r="E96" s="179">
        <v>0</v>
      </c>
      <c r="F96" s="80">
        <f t="shared" si="23"/>
        <v>0</v>
      </c>
      <c r="G96" s="179">
        <v>0</v>
      </c>
      <c r="H96" s="80">
        <f t="shared" si="24"/>
        <v>0</v>
      </c>
      <c r="I96" s="179">
        <v>0</v>
      </c>
      <c r="J96" s="80">
        <f t="shared" si="25"/>
        <v>0</v>
      </c>
      <c r="K96" s="179">
        <v>0</v>
      </c>
      <c r="L96" s="80">
        <f t="shared" si="26"/>
        <v>0</v>
      </c>
      <c r="M96" s="179">
        <v>0</v>
      </c>
      <c r="N96" s="80">
        <f t="shared" si="27"/>
        <v>0</v>
      </c>
      <c r="O96" s="179">
        <v>0</v>
      </c>
      <c r="P96" s="80">
        <f t="shared" si="28"/>
        <v>0</v>
      </c>
      <c r="Q96" s="179">
        <v>0</v>
      </c>
      <c r="R96" s="80">
        <f t="shared" si="29"/>
        <v>0</v>
      </c>
      <c r="S96" s="179">
        <v>0</v>
      </c>
      <c r="T96" s="80">
        <f t="shared" si="30"/>
        <v>0</v>
      </c>
      <c r="U96" s="179">
        <v>0</v>
      </c>
      <c r="V96" s="80">
        <f t="shared" si="31"/>
        <v>0</v>
      </c>
      <c r="X96" s="200"/>
    </row>
    <row r="97" spans="1:24" ht="12.75" customHeight="1">
      <c r="A97" s="2" t="s">
        <v>428</v>
      </c>
      <c r="B97" s="35"/>
      <c r="C97" s="179">
        <v>0</v>
      </c>
      <c r="D97" s="80">
        <f t="shared" si="32"/>
        <v>0</v>
      </c>
      <c r="E97" s="179">
        <v>0</v>
      </c>
      <c r="F97" s="80">
        <f t="shared" si="23"/>
        <v>0</v>
      </c>
      <c r="G97" s="179">
        <v>0</v>
      </c>
      <c r="H97" s="80">
        <f t="shared" si="24"/>
        <v>0</v>
      </c>
      <c r="I97" s="179">
        <v>0</v>
      </c>
      <c r="J97" s="80">
        <f t="shared" si="25"/>
        <v>0</v>
      </c>
      <c r="K97" s="179">
        <v>0</v>
      </c>
      <c r="L97" s="80">
        <f t="shared" si="26"/>
        <v>0</v>
      </c>
      <c r="M97" s="179">
        <v>0</v>
      </c>
      <c r="N97" s="80">
        <f t="shared" si="27"/>
        <v>0</v>
      </c>
      <c r="O97" s="179">
        <v>0</v>
      </c>
      <c r="P97" s="80">
        <f t="shared" si="28"/>
        <v>0</v>
      </c>
      <c r="Q97" s="179">
        <v>0</v>
      </c>
      <c r="R97" s="80">
        <f t="shared" si="29"/>
        <v>0</v>
      </c>
      <c r="S97" s="179">
        <v>0</v>
      </c>
      <c r="T97" s="80">
        <f t="shared" si="30"/>
        <v>0</v>
      </c>
      <c r="U97" s="179">
        <v>0</v>
      </c>
      <c r="V97" s="80">
        <f t="shared" si="31"/>
        <v>0</v>
      </c>
      <c r="X97" s="200"/>
    </row>
    <row r="98" spans="1:24" ht="12.75" customHeight="1">
      <c r="A98" s="117" t="s">
        <v>431</v>
      </c>
      <c r="B98" s="35"/>
      <c r="C98" s="179">
        <v>0</v>
      </c>
      <c r="D98" s="80">
        <f t="shared" si="32"/>
        <v>0</v>
      </c>
      <c r="E98" s="179">
        <v>0</v>
      </c>
      <c r="F98" s="80">
        <f t="shared" si="23"/>
        <v>0</v>
      </c>
      <c r="G98" s="179">
        <v>0</v>
      </c>
      <c r="H98" s="80">
        <f t="shared" si="24"/>
        <v>0</v>
      </c>
      <c r="I98" s="179">
        <v>0</v>
      </c>
      <c r="J98" s="80">
        <f t="shared" si="25"/>
        <v>0</v>
      </c>
      <c r="K98" s="179">
        <v>0</v>
      </c>
      <c r="L98" s="80">
        <f t="shared" si="26"/>
        <v>0</v>
      </c>
      <c r="M98" s="179">
        <v>0</v>
      </c>
      <c r="N98" s="80">
        <f t="shared" si="27"/>
        <v>0</v>
      </c>
      <c r="O98" s="179">
        <v>0</v>
      </c>
      <c r="P98" s="80">
        <f t="shared" si="28"/>
        <v>0</v>
      </c>
      <c r="Q98" s="179">
        <v>0</v>
      </c>
      <c r="R98" s="80">
        <f t="shared" si="29"/>
        <v>0</v>
      </c>
      <c r="S98" s="179">
        <v>0</v>
      </c>
      <c r="T98" s="80">
        <f t="shared" si="30"/>
        <v>0</v>
      </c>
      <c r="U98" s="179">
        <v>0</v>
      </c>
      <c r="V98" s="80">
        <f t="shared" si="31"/>
        <v>0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32"/>
        <v>0</v>
      </c>
      <c r="E99" s="179">
        <v>0</v>
      </c>
      <c r="F99" s="80">
        <f t="shared" si="23"/>
        <v>0</v>
      </c>
      <c r="G99" s="179">
        <v>0</v>
      </c>
      <c r="H99" s="80">
        <f t="shared" si="24"/>
        <v>0</v>
      </c>
      <c r="I99" s="179">
        <v>0</v>
      </c>
      <c r="J99" s="80">
        <f t="shared" si="25"/>
        <v>0</v>
      </c>
      <c r="K99" s="179">
        <v>0</v>
      </c>
      <c r="L99" s="80">
        <f t="shared" si="26"/>
        <v>0</v>
      </c>
      <c r="M99" s="179">
        <v>0</v>
      </c>
      <c r="N99" s="80">
        <f t="shared" si="27"/>
        <v>0</v>
      </c>
      <c r="O99" s="179">
        <v>0</v>
      </c>
      <c r="P99" s="80">
        <f t="shared" si="28"/>
        <v>0</v>
      </c>
      <c r="Q99" s="179">
        <v>0</v>
      </c>
      <c r="R99" s="80">
        <f t="shared" si="29"/>
        <v>0</v>
      </c>
      <c r="S99" s="179">
        <v>0</v>
      </c>
      <c r="T99" s="80">
        <f t="shared" si="30"/>
        <v>0</v>
      </c>
      <c r="U99" s="179">
        <v>0</v>
      </c>
      <c r="V99" s="80">
        <f t="shared" si="31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32"/>
        <v>0</v>
      </c>
      <c r="E100" s="179">
        <v>0</v>
      </c>
      <c r="F100" s="80">
        <f t="shared" si="23"/>
        <v>0</v>
      </c>
      <c r="G100" s="179">
        <v>0</v>
      </c>
      <c r="H100" s="80">
        <f t="shared" si="24"/>
        <v>0</v>
      </c>
      <c r="I100" s="179">
        <v>0</v>
      </c>
      <c r="J100" s="80">
        <f t="shared" si="25"/>
        <v>0</v>
      </c>
      <c r="K100" s="179">
        <v>0</v>
      </c>
      <c r="L100" s="80">
        <f t="shared" si="26"/>
        <v>0</v>
      </c>
      <c r="M100" s="179">
        <v>0</v>
      </c>
      <c r="N100" s="80">
        <f t="shared" si="27"/>
        <v>0</v>
      </c>
      <c r="O100" s="179">
        <v>0</v>
      </c>
      <c r="P100" s="80">
        <f t="shared" si="28"/>
        <v>0</v>
      </c>
      <c r="Q100" s="179">
        <v>0</v>
      </c>
      <c r="R100" s="80">
        <f t="shared" si="29"/>
        <v>0</v>
      </c>
      <c r="S100" s="179">
        <v>0</v>
      </c>
      <c r="T100" s="80">
        <f t="shared" si="30"/>
        <v>0</v>
      </c>
      <c r="U100" s="179">
        <v>0</v>
      </c>
      <c r="V100" s="80">
        <f t="shared" si="31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32"/>
        <v>0</v>
      </c>
      <c r="E101" s="179"/>
      <c r="F101" s="80">
        <f t="shared" si="23"/>
        <v>0</v>
      </c>
      <c r="G101" s="179"/>
      <c r="H101" s="80">
        <f t="shared" si="24"/>
        <v>0</v>
      </c>
      <c r="I101" s="179">
        <v>0</v>
      </c>
      <c r="J101" s="80">
        <f t="shared" si="25"/>
        <v>0</v>
      </c>
      <c r="K101" s="179">
        <v>0</v>
      </c>
      <c r="L101" s="80">
        <f t="shared" si="26"/>
        <v>0</v>
      </c>
      <c r="M101" s="179">
        <v>0</v>
      </c>
      <c r="N101" s="80">
        <f t="shared" si="27"/>
        <v>0</v>
      </c>
      <c r="O101" s="179">
        <v>0</v>
      </c>
      <c r="P101" s="80">
        <f t="shared" si="28"/>
        <v>0</v>
      </c>
      <c r="Q101" s="179">
        <v>0</v>
      </c>
      <c r="R101" s="80">
        <f t="shared" si="29"/>
        <v>0</v>
      </c>
      <c r="S101" s="179">
        <v>0</v>
      </c>
      <c r="T101" s="80">
        <f t="shared" si="30"/>
        <v>0</v>
      </c>
      <c r="U101" s="179">
        <v>0</v>
      </c>
      <c r="V101" s="80">
        <f t="shared" si="31"/>
        <v>0</v>
      </c>
      <c r="X101" s="200"/>
    </row>
    <row r="102" spans="1:24" ht="12.75" customHeight="1">
      <c r="A102" s="117" t="s">
        <v>433</v>
      </c>
      <c r="B102" s="35"/>
      <c r="C102" s="179">
        <v>0</v>
      </c>
      <c r="D102" s="80">
        <f t="shared" si="32"/>
        <v>0</v>
      </c>
      <c r="E102" s="179">
        <v>0</v>
      </c>
      <c r="F102" s="80">
        <f t="shared" si="23"/>
        <v>0</v>
      </c>
      <c r="G102" s="179">
        <v>0</v>
      </c>
      <c r="H102" s="80">
        <f t="shared" si="24"/>
        <v>0</v>
      </c>
      <c r="I102" s="179">
        <v>0</v>
      </c>
      <c r="J102" s="80">
        <f t="shared" si="25"/>
        <v>0</v>
      </c>
      <c r="K102" s="179">
        <v>0</v>
      </c>
      <c r="L102" s="80">
        <f t="shared" si="26"/>
        <v>0</v>
      </c>
      <c r="M102" s="179">
        <v>0</v>
      </c>
      <c r="N102" s="80">
        <f t="shared" si="27"/>
        <v>0</v>
      </c>
      <c r="O102" s="179">
        <v>0</v>
      </c>
      <c r="P102" s="80">
        <f t="shared" si="28"/>
        <v>0</v>
      </c>
      <c r="Q102" s="179">
        <v>0</v>
      </c>
      <c r="R102" s="80">
        <f t="shared" si="29"/>
        <v>0</v>
      </c>
      <c r="S102" s="179">
        <v>0</v>
      </c>
      <c r="T102" s="80">
        <f t="shared" si="30"/>
        <v>0</v>
      </c>
      <c r="U102" s="179">
        <v>0</v>
      </c>
      <c r="V102" s="80">
        <f t="shared" si="31"/>
        <v>0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32"/>
        <v>0</v>
      </c>
      <c r="E103" s="179">
        <v>0</v>
      </c>
      <c r="F103" s="80">
        <f t="shared" si="23"/>
        <v>0</v>
      </c>
      <c r="G103" s="179">
        <v>0</v>
      </c>
      <c r="H103" s="80">
        <f t="shared" si="24"/>
        <v>0</v>
      </c>
      <c r="I103" s="179">
        <v>0</v>
      </c>
      <c r="J103" s="80">
        <f t="shared" si="25"/>
        <v>0</v>
      </c>
      <c r="K103" s="179">
        <v>0</v>
      </c>
      <c r="L103" s="80">
        <f t="shared" si="26"/>
        <v>0</v>
      </c>
      <c r="M103" s="179">
        <v>0</v>
      </c>
      <c r="N103" s="80">
        <f t="shared" si="27"/>
        <v>0</v>
      </c>
      <c r="O103" s="179">
        <v>0</v>
      </c>
      <c r="P103" s="80">
        <f t="shared" si="28"/>
        <v>0</v>
      </c>
      <c r="Q103" s="179">
        <v>0</v>
      </c>
      <c r="R103" s="80">
        <f t="shared" si="29"/>
        <v>0</v>
      </c>
      <c r="S103" s="179">
        <v>0</v>
      </c>
      <c r="T103" s="80">
        <f t="shared" si="30"/>
        <v>0</v>
      </c>
      <c r="U103" s="179">
        <v>0</v>
      </c>
      <c r="V103" s="80">
        <f t="shared" si="31"/>
        <v>0</v>
      </c>
      <c r="X103" s="200"/>
    </row>
    <row r="104" spans="1:24" ht="12.75" customHeight="1">
      <c r="A104" s="117" t="s">
        <v>433</v>
      </c>
      <c r="B104" s="35"/>
      <c r="C104" s="179">
        <v>0</v>
      </c>
      <c r="D104" s="80">
        <f t="shared" si="32"/>
        <v>0</v>
      </c>
      <c r="E104" s="179">
        <v>0</v>
      </c>
      <c r="F104" s="80">
        <f t="shared" si="23"/>
        <v>0</v>
      </c>
      <c r="G104" s="179">
        <v>0</v>
      </c>
      <c r="H104" s="80">
        <f t="shared" si="24"/>
        <v>0</v>
      </c>
      <c r="I104" s="179">
        <v>0</v>
      </c>
      <c r="J104" s="80">
        <f t="shared" si="25"/>
        <v>0</v>
      </c>
      <c r="K104" s="179">
        <v>0</v>
      </c>
      <c r="L104" s="80">
        <f t="shared" si="26"/>
        <v>0</v>
      </c>
      <c r="M104" s="179">
        <v>0</v>
      </c>
      <c r="N104" s="80">
        <f t="shared" si="27"/>
        <v>0</v>
      </c>
      <c r="O104" s="179">
        <v>0</v>
      </c>
      <c r="P104" s="80">
        <f t="shared" si="28"/>
        <v>0</v>
      </c>
      <c r="Q104" s="179">
        <v>0</v>
      </c>
      <c r="R104" s="80">
        <f t="shared" si="29"/>
        <v>0</v>
      </c>
      <c r="S104" s="179">
        <v>0</v>
      </c>
      <c r="T104" s="80">
        <f t="shared" si="30"/>
        <v>0</v>
      </c>
      <c r="U104" s="179">
        <v>0</v>
      </c>
      <c r="V104" s="80">
        <f t="shared" si="31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0</v>
      </c>
      <c r="D105" s="83">
        <f t="shared" si="32"/>
        <v>0</v>
      </c>
      <c r="E105" s="82">
        <f>SUM(E52:E104)</f>
        <v>0</v>
      </c>
      <c r="F105" s="83">
        <f t="shared" si="23"/>
        <v>0</v>
      </c>
      <c r="G105" s="82">
        <f>SUM(G52:G104)</f>
        <v>0</v>
      </c>
      <c r="H105" s="83">
        <f t="shared" si="24"/>
        <v>0</v>
      </c>
      <c r="I105" s="82">
        <f>SUM(I52:I104)</f>
        <v>0</v>
      </c>
      <c r="J105" s="83">
        <f t="shared" si="25"/>
        <v>0</v>
      </c>
      <c r="K105" s="82">
        <f>SUM(K52:K104)</f>
        <v>0</v>
      </c>
      <c r="L105" s="83">
        <f t="shared" si="26"/>
        <v>0</v>
      </c>
      <c r="M105" s="82">
        <f>SUM(M52:M104)</f>
        <v>0</v>
      </c>
      <c r="N105" s="83">
        <f t="shared" si="27"/>
        <v>0</v>
      </c>
      <c r="O105" s="82">
        <f>SUM(O52:O104)</f>
        <v>0</v>
      </c>
      <c r="P105" s="83">
        <f t="shared" si="28"/>
        <v>0</v>
      </c>
      <c r="Q105" s="82">
        <f>SUM(Q52:Q104)</f>
        <v>0</v>
      </c>
      <c r="R105" s="83">
        <f t="shared" si="29"/>
        <v>0</v>
      </c>
      <c r="S105" s="82">
        <f>SUM(S52:S104)</f>
        <v>0</v>
      </c>
      <c r="T105" s="83">
        <f t="shared" si="30"/>
        <v>0</v>
      </c>
      <c r="U105" s="82">
        <f>SUM(U52:U104)</f>
        <v>0</v>
      </c>
      <c r="V105" s="83">
        <f t="shared" si="31"/>
        <v>0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30000</v>
      </c>
      <c r="D107" s="83">
        <f>IFERROR(C107/C$28,0)</f>
        <v>1</v>
      </c>
      <c r="E107" s="82">
        <f>E28-E33-E46-E105</f>
        <v>30600</v>
      </c>
      <c r="F107" s="83">
        <f>IFERROR(E107/E$28,0)</f>
        <v>1</v>
      </c>
      <c r="G107" s="82">
        <f>G28-G33-G46-G105</f>
        <v>31212</v>
      </c>
      <c r="H107" s="83">
        <f>IFERROR(G107/G$28,0)</f>
        <v>1</v>
      </c>
      <c r="I107" s="82">
        <f>I28-I33-I46-I105</f>
        <v>31836.240000000002</v>
      </c>
      <c r="J107" s="83">
        <f>IFERROR(I107/I$28,0)</f>
        <v>1</v>
      </c>
      <c r="K107" s="82">
        <f>K28-K33-K46-K105</f>
        <v>32472.964800000002</v>
      </c>
      <c r="L107" s="83">
        <f>IFERROR(K107/K$28,0)</f>
        <v>1</v>
      </c>
      <c r="M107" s="82">
        <f>M28-M33-M46-M105</f>
        <v>33122.424096000002</v>
      </c>
      <c r="N107" s="83">
        <f>IFERROR(M107/M$28,0)</f>
        <v>1</v>
      </c>
      <c r="O107" s="82">
        <f>O28-O33-O46-O105</f>
        <v>33784.872577920003</v>
      </c>
      <c r="P107" s="83">
        <f>IFERROR(O107/O$28,0)</f>
        <v>1</v>
      </c>
      <c r="Q107" s="82">
        <f>Q28-Q33-Q46-Q105</f>
        <v>34460.570029478404</v>
      </c>
      <c r="R107" s="83">
        <f>IFERROR(Q107/Q$28,0)</f>
        <v>1</v>
      </c>
      <c r="S107" s="82">
        <f>S28-S33-S46-S105</f>
        <v>35149.781430067975</v>
      </c>
      <c r="T107" s="83">
        <f>IFERROR(S107/S$28,0)</f>
        <v>1</v>
      </c>
      <c r="U107" s="82">
        <f>U28-U33-U46-U105</f>
        <v>35852.777058669337</v>
      </c>
      <c r="V107" s="83">
        <f>IFERROR(U107/U$28,0)</f>
        <v>1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33">IFERROR(C111/C$28,0)</f>
        <v>0</v>
      </c>
      <c r="E111" s="79">
        <f>E59</f>
        <v>0</v>
      </c>
      <c r="F111" s="80">
        <f t="shared" ref="F111:F116" si="34">IFERROR(E111/E$28,0)</f>
        <v>0</v>
      </c>
      <c r="G111" s="79">
        <f>G59</f>
        <v>0</v>
      </c>
      <c r="H111" s="80">
        <f t="shared" ref="H111:H116" si="35">IFERROR(G111/G$28,0)</f>
        <v>0</v>
      </c>
      <c r="I111" s="79">
        <f>I59</f>
        <v>0</v>
      </c>
      <c r="J111" s="80">
        <f t="shared" ref="J111:J116" si="36">IFERROR(I111/I$28,0)</f>
        <v>0</v>
      </c>
      <c r="K111" s="79">
        <f>K59</f>
        <v>0</v>
      </c>
      <c r="L111" s="80">
        <f t="shared" ref="L111:L116" si="37">IFERROR(K111/K$28,0)</f>
        <v>0</v>
      </c>
      <c r="M111" s="79">
        <f>M59</f>
        <v>0</v>
      </c>
      <c r="N111" s="80">
        <f t="shared" ref="N111:N116" si="38">IFERROR(M111/M$28,0)</f>
        <v>0</v>
      </c>
      <c r="O111" s="79">
        <f>O59</f>
        <v>0</v>
      </c>
      <c r="P111" s="80">
        <f t="shared" ref="P111:P116" si="39">IFERROR(O111/O$28,0)</f>
        <v>0</v>
      </c>
      <c r="Q111" s="79">
        <f>Q59</f>
        <v>0</v>
      </c>
      <c r="R111" s="80">
        <f t="shared" ref="R111:R116" si="40">IFERROR(Q111/Q$28,0)</f>
        <v>0</v>
      </c>
      <c r="S111" s="79">
        <f>S59</f>
        <v>0</v>
      </c>
      <c r="T111" s="80">
        <f t="shared" ref="T111:T116" si="41">IFERROR(S111/S$28,0)</f>
        <v>0</v>
      </c>
      <c r="U111" s="79">
        <f>U59</f>
        <v>0</v>
      </c>
      <c r="V111" s="80">
        <f t="shared" ref="V111:V116" si="42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33"/>
        <v>0</v>
      </c>
      <c r="E112" s="79">
        <f>E62</f>
        <v>0</v>
      </c>
      <c r="F112" s="80">
        <f t="shared" si="34"/>
        <v>0</v>
      </c>
      <c r="G112" s="79">
        <f>G62</f>
        <v>0</v>
      </c>
      <c r="H112" s="80">
        <f t="shared" si="35"/>
        <v>0</v>
      </c>
      <c r="I112" s="79">
        <f>I62</f>
        <v>0</v>
      </c>
      <c r="J112" s="80">
        <f t="shared" si="36"/>
        <v>0</v>
      </c>
      <c r="K112" s="79">
        <f>K62</f>
        <v>0</v>
      </c>
      <c r="L112" s="80">
        <f t="shared" si="37"/>
        <v>0</v>
      </c>
      <c r="M112" s="79">
        <f>M62</f>
        <v>0</v>
      </c>
      <c r="N112" s="80">
        <f t="shared" si="38"/>
        <v>0</v>
      </c>
      <c r="O112" s="79">
        <f>O62</f>
        <v>0</v>
      </c>
      <c r="P112" s="80">
        <f t="shared" si="39"/>
        <v>0</v>
      </c>
      <c r="Q112" s="79">
        <f>Q62</f>
        <v>0</v>
      </c>
      <c r="R112" s="80">
        <f t="shared" si="40"/>
        <v>0</v>
      </c>
      <c r="S112" s="79">
        <f>S62</f>
        <v>0</v>
      </c>
      <c r="T112" s="80">
        <f t="shared" si="41"/>
        <v>0</v>
      </c>
      <c r="U112" s="79">
        <f>U62</f>
        <v>0</v>
      </c>
      <c r="V112" s="80">
        <f t="shared" si="42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33"/>
        <v>0</v>
      </c>
      <c r="E113" s="111">
        <v>0</v>
      </c>
      <c r="F113" s="80">
        <f t="shared" si="34"/>
        <v>0</v>
      </c>
      <c r="G113" s="111">
        <v>0</v>
      </c>
      <c r="H113" s="80">
        <f t="shared" si="35"/>
        <v>0</v>
      </c>
      <c r="I113" s="111">
        <v>0</v>
      </c>
      <c r="J113" s="80">
        <f t="shared" si="36"/>
        <v>0</v>
      </c>
      <c r="K113" s="111">
        <v>0</v>
      </c>
      <c r="L113" s="80">
        <f t="shared" si="37"/>
        <v>0</v>
      </c>
      <c r="M113" s="111">
        <v>0</v>
      </c>
      <c r="N113" s="80">
        <f t="shared" si="38"/>
        <v>0</v>
      </c>
      <c r="O113" s="111">
        <v>0</v>
      </c>
      <c r="P113" s="80">
        <f t="shared" si="39"/>
        <v>0</v>
      </c>
      <c r="Q113" s="111">
        <v>0</v>
      </c>
      <c r="R113" s="80">
        <f t="shared" si="40"/>
        <v>0</v>
      </c>
      <c r="S113" s="111">
        <v>0</v>
      </c>
      <c r="T113" s="80">
        <f t="shared" si="41"/>
        <v>0</v>
      </c>
      <c r="U113" s="111">
        <v>0</v>
      </c>
      <c r="V113" s="80">
        <f t="shared" si="42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33"/>
        <v>0</v>
      </c>
      <c r="E114" s="111">
        <v>0</v>
      </c>
      <c r="F114" s="80">
        <f t="shared" si="34"/>
        <v>0</v>
      </c>
      <c r="G114" s="111">
        <v>0</v>
      </c>
      <c r="H114" s="80">
        <f t="shared" si="35"/>
        <v>0</v>
      </c>
      <c r="I114" s="111">
        <v>0</v>
      </c>
      <c r="J114" s="80">
        <f t="shared" si="36"/>
        <v>0</v>
      </c>
      <c r="K114" s="111">
        <v>0</v>
      </c>
      <c r="L114" s="80">
        <f t="shared" si="37"/>
        <v>0</v>
      </c>
      <c r="M114" s="111">
        <v>0</v>
      </c>
      <c r="N114" s="80">
        <f t="shared" si="38"/>
        <v>0</v>
      </c>
      <c r="O114" s="111">
        <v>0</v>
      </c>
      <c r="P114" s="80">
        <f t="shared" si="39"/>
        <v>0</v>
      </c>
      <c r="Q114" s="111">
        <v>0</v>
      </c>
      <c r="R114" s="80">
        <f t="shared" si="40"/>
        <v>0</v>
      </c>
      <c r="S114" s="111">
        <v>0</v>
      </c>
      <c r="T114" s="80">
        <f t="shared" si="41"/>
        <v>0</v>
      </c>
      <c r="U114" s="111">
        <v>0</v>
      </c>
      <c r="V114" s="80">
        <f t="shared" si="42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33"/>
        <v>0</v>
      </c>
      <c r="E115" s="112">
        <v>0</v>
      </c>
      <c r="F115" s="80">
        <f t="shared" si="34"/>
        <v>0</v>
      </c>
      <c r="G115" s="112">
        <v>0</v>
      </c>
      <c r="H115" s="80">
        <f t="shared" si="35"/>
        <v>0</v>
      </c>
      <c r="I115" s="112">
        <v>0</v>
      </c>
      <c r="J115" s="80">
        <f t="shared" si="36"/>
        <v>0</v>
      </c>
      <c r="K115" s="112">
        <v>0</v>
      </c>
      <c r="L115" s="80">
        <f t="shared" si="37"/>
        <v>0</v>
      </c>
      <c r="M115" s="112">
        <v>0</v>
      </c>
      <c r="N115" s="80">
        <f t="shared" si="38"/>
        <v>0</v>
      </c>
      <c r="O115" s="112">
        <v>0</v>
      </c>
      <c r="P115" s="80">
        <f t="shared" si="39"/>
        <v>0</v>
      </c>
      <c r="Q115" s="112">
        <v>0</v>
      </c>
      <c r="R115" s="80">
        <f t="shared" si="40"/>
        <v>0</v>
      </c>
      <c r="S115" s="112">
        <v>0</v>
      </c>
      <c r="T115" s="80">
        <f t="shared" si="41"/>
        <v>0</v>
      </c>
      <c r="U115" s="112">
        <v>0</v>
      </c>
      <c r="V115" s="80">
        <f t="shared" si="42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33"/>
        <v>0</v>
      </c>
      <c r="E116" s="85">
        <f>SUM(E111:E115)</f>
        <v>0</v>
      </c>
      <c r="F116" s="83">
        <f t="shared" si="34"/>
        <v>0</v>
      </c>
      <c r="G116" s="85">
        <f>SUM(G111:G115)</f>
        <v>0</v>
      </c>
      <c r="H116" s="83">
        <f t="shared" si="35"/>
        <v>0</v>
      </c>
      <c r="I116" s="85">
        <f>SUM(I111:I115)</f>
        <v>0</v>
      </c>
      <c r="J116" s="83">
        <f t="shared" si="36"/>
        <v>0</v>
      </c>
      <c r="K116" s="85">
        <f>SUM(K111:K115)</f>
        <v>0</v>
      </c>
      <c r="L116" s="83">
        <f t="shared" si="37"/>
        <v>0</v>
      </c>
      <c r="M116" s="85">
        <f>SUM(M111:M115)</f>
        <v>0</v>
      </c>
      <c r="N116" s="83">
        <f t="shared" si="38"/>
        <v>0</v>
      </c>
      <c r="O116" s="85">
        <f>SUM(O111:O115)</f>
        <v>0</v>
      </c>
      <c r="P116" s="83">
        <f t="shared" si="39"/>
        <v>0</v>
      </c>
      <c r="Q116" s="85">
        <f>SUM(Q111:Q115)</f>
        <v>0</v>
      </c>
      <c r="R116" s="83">
        <f t="shared" si="40"/>
        <v>0</v>
      </c>
      <c r="S116" s="85">
        <f>SUM(S111:S115)</f>
        <v>0</v>
      </c>
      <c r="T116" s="83">
        <f t="shared" si="41"/>
        <v>0</v>
      </c>
      <c r="U116" s="85">
        <f>SUM(U111:U115)</f>
        <v>0</v>
      </c>
      <c r="V116" s="83">
        <f t="shared" si="42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 tint="0.59999389629810485"/>
  </sheetPr>
  <dimension ref="A1:X119"/>
  <sheetViews>
    <sheetView topLeftCell="A36" zoomScale="70" zoomScaleNormal="70" workbookViewId="0" xr3:uid="{33642244-9AC9-5136-AF77-195C889548CE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40.1406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37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Faculty Club (Graham Center)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220</v>
      </c>
      <c r="E8" s="109">
        <f>+C8</f>
        <v>220</v>
      </c>
      <c r="G8" s="109">
        <f>+E8</f>
        <v>220</v>
      </c>
      <c r="I8" s="109">
        <f>+G8</f>
        <v>220</v>
      </c>
      <c r="K8" s="109">
        <f>+I8</f>
        <v>220</v>
      </c>
      <c r="M8" s="109">
        <f>+K8</f>
        <v>220</v>
      </c>
      <c r="O8" s="109">
        <f>+M8</f>
        <v>220</v>
      </c>
      <c r="Q8" s="109">
        <f>+O8</f>
        <v>220</v>
      </c>
      <c r="S8" s="109">
        <f>+Q8</f>
        <v>220</v>
      </c>
      <c r="U8" s="109">
        <f>+S8</f>
        <v>220</v>
      </c>
    </row>
    <row r="10" spans="1:22" ht="12.75" customHeight="1">
      <c r="A10" s="2" t="s">
        <v>449</v>
      </c>
      <c r="C10" s="209">
        <f>+C14/C8/C12</f>
        <v>136.79999999999998</v>
      </c>
      <c r="D10" s="186"/>
      <c r="E10" s="209">
        <f>+E14/E8/E12</f>
        <v>148.95104895104893</v>
      </c>
      <c r="F10" s="186"/>
      <c r="G10" s="209">
        <f>+G14/G8/G12</f>
        <v>151.46402677077523</v>
      </c>
      <c r="H10" s="186"/>
      <c r="I10" s="209">
        <f>+I14/I8/I12</f>
        <v>154.25671724906027</v>
      </c>
      <c r="J10" s="186"/>
      <c r="K10" s="209">
        <f>+K14/K8/K12</f>
        <v>157.10126772310258</v>
      </c>
      <c r="L10" s="186"/>
      <c r="M10" s="209">
        <f>+M14/M8/M12</f>
        <v>159.02748660504898</v>
      </c>
      <c r="N10" s="186"/>
      <c r="O10" s="209">
        <f>+O14/O8/O12</f>
        <v>161.71724046321</v>
      </c>
      <c r="P10" s="186"/>
      <c r="Q10" s="209">
        <f>+Q14/Q8/Q12</f>
        <v>164.7024136935128</v>
      </c>
      <c r="R10" s="186"/>
      <c r="S10" s="209">
        <f>+S14/S8/S12</f>
        <v>166.98747420781916</v>
      </c>
      <c r="T10" s="186"/>
      <c r="U10" s="209">
        <f>+U14/U8/U12</f>
        <v>169.56342448259451</v>
      </c>
    </row>
    <row r="12" spans="1:22" ht="12.75" customHeight="1">
      <c r="A12" s="2" t="s">
        <v>450</v>
      </c>
      <c r="C12" s="110">
        <v>6.49</v>
      </c>
      <c r="E12" s="110">
        <v>6.5</v>
      </c>
      <c r="G12" s="110">
        <v>6.52</v>
      </c>
      <c r="I12" s="110">
        <v>6.53</v>
      </c>
      <c r="K12" s="110">
        <v>6.54</v>
      </c>
      <c r="M12" s="110">
        <v>6.59</v>
      </c>
      <c r="O12" s="110">
        <v>6.61</v>
      </c>
      <c r="Q12" s="110">
        <v>6.62</v>
      </c>
      <c r="S12" s="110">
        <v>6.66</v>
      </c>
      <c r="U12" s="110">
        <v>6.69</v>
      </c>
    </row>
    <row r="14" spans="1:22" ht="12.75" customHeight="1">
      <c r="A14" s="2" t="s">
        <v>451</v>
      </c>
      <c r="C14" s="121">
        <v>195323.04</v>
      </c>
      <c r="E14" s="121">
        <v>213000</v>
      </c>
      <c r="G14" s="121">
        <f>+E14*1.02</f>
        <v>217260</v>
      </c>
      <c r="I14" s="121">
        <f>+G14*1.02</f>
        <v>221605.2</v>
      </c>
      <c r="K14" s="121">
        <f>+I14*1.02</f>
        <v>226037.304</v>
      </c>
      <c r="M14" s="121">
        <f>+K14*1.02</f>
        <v>230558.05008000002</v>
      </c>
      <c r="O14" s="121">
        <f>+M14*1.02</f>
        <v>235169.21108160002</v>
      </c>
      <c r="Q14" s="121">
        <f>+O14*1.02</f>
        <v>239872.59530323202</v>
      </c>
      <c r="S14" s="121">
        <f>+Q14*1.02</f>
        <v>244670.04720929667</v>
      </c>
      <c r="U14" s="121">
        <f>+S14*1.02</f>
        <v>249563.4481534826</v>
      </c>
    </row>
    <row r="15" spans="1:22" ht="12.75" customHeight="1">
      <c r="A15" s="39">
        <v>7.0000000000000007E-2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</f>
        <v>171142.04764800001</v>
      </c>
      <c r="D19" s="80">
        <f>IFERROR(C19/C$28,0)</f>
        <v>0.87619999999999998</v>
      </c>
      <c r="E19" s="208">
        <f>+E14-E20</f>
        <v>99534.89999999998</v>
      </c>
      <c r="F19" s="80">
        <f>IFERROR(E19/E$28,0)</f>
        <v>0.46729999999999988</v>
      </c>
      <c r="G19" s="111">
        <f>E19*1.02</f>
        <v>101525.59799999998</v>
      </c>
      <c r="H19" s="80">
        <f>IFERROR(G19/G$28,0)</f>
        <v>0.46729999999999994</v>
      </c>
      <c r="I19" s="111">
        <f>G19*1.02</f>
        <v>103556.10995999999</v>
      </c>
      <c r="J19" s="80">
        <f>IFERROR(I19/I$28,0)</f>
        <v>0.46729999999999994</v>
      </c>
      <c r="K19" s="111">
        <f>I19*1.02</f>
        <v>105627.23215919999</v>
      </c>
      <c r="L19" s="80">
        <f>IFERROR(K19/K$28,0)</f>
        <v>0.46729999999999994</v>
      </c>
      <c r="M19" s="111">
        <f>K19*1.02</f>
        <v>107739.77680238399</v>
      </c>
      <c r="N19" s="80">
        <f>IFERROR(M19/M$28,0)</f>
        <v>0.46729999999999994</v>
      </c>
      <c r="O19" s="111">
        <f>M19*1.02</f>
        <v>109894.57233843167</v>
      </c>
      <c r="P19" s="80">
        <f>IFERROR(O19/O$28,0)</f>
        <v>0.46729999999999988</v>
      </c>
      <c r="Q19" s="111">
        <f>O19*1.02</f>
        <v>112092.46378520031</v>
      </c>
      <c r="R19" s="80">
        <f>IFERROR(Q19/Q$28,0)</f>
        <v>0.46729999999999994</v>
      </c>
      <c r="S19" s="111">
        <f>Q19*1.02</f>
        <v>114334.31306090431</v>
      </c>
      <c r="T19" s="80">
        <f>IFERROR(S19/S$28,0)</f>
        <v>0.46729999999999994</v>
      </c>
      <c r="U19" s="111">
        <f>S19*1.02</f>
        <v>116620.9993221224</v>
      </c>
      <c r="V19" s="80">
        <f>IFERROR(U19/U$28,0)</f>
        <v>0.46729999999999994</v>
      </c>
    </row>
    <row r="20" spans="1:24" ht="12.75" customHeight="1">
      <c r="A20" s="2" t="s">
        <v>357</v>
      </c>
      <c r="B20" s="35"/>
      <c r="C20" s="111">
        <f>+C14*12.38%</f>
        <v>24180.992352000001</v>
      </c>
      <c r="D20" s="80">
        <f>IFERROR(C20/C$28,0)</f>
        <v>0.12380000000000001</v>
      </c>
      <c r="E20" s="111">
        <f>+E14*53.27%</f>
        <v>113465.10000000002</v>
      </c>
      <c r="F20" s="80">
        <f>IFERROR(E20/E$28,0)</f>
        <v>0.53270000000000006</v>
      </c>
      <c r="G20" s="111">
        <f t="shared" ref="G20:U21" si="0">E20*1.02</f>
        <v>115734.40200000002</v>
      </c>
      <c r="H20" s="80">
        <f>IFERROR(G20/G$28,0)</f>
        <v>0.53270000000000006</v>
      </c>
      <c r="I20" s="111">
        <f t="shared" si="0"/>
        <v>118049.09004000002</v>
      </c>
      <c r="J20" s="80">
        <f>IFERROR(I20/I$28,0)</f>
        <v>0.53270000000000006</v>
      </c>
      <c r="K20" s="111">
        <f t="shared" si="0"/>
        <v>120410.07184080002</v>
      </c>
      <c r="L20" s="80">
        <f>IFERROR(K20/K$28,0)</f>
        <v>0.53270000000000006</v>
      </c>
      <c r="M20" s="111">
        <f t="shared" si="0"/>
        <v>122818.27327761603</v>
      </c>
      <c r="N20" s="80">
        <f>IFERROR(M20/M$28,0)</f>
        <v>0.53270000000000006</v>
      </c>
      <c r="O20" s="111">
        <f t="shared" si="0"/>
        <v>125274.63874316835</v>
      </c>
      <c r="P20" s="80">
        <f>IFERROR(O20/O$28,0)</f>
        <v>0.53270000000000006</v>
      </c>
      <c r="Q20" s="111">
        <f t="shared" si="0"/>
        <v>127780.13151803172</v>
      </c>
      <c r="R20" s="80">
        <f>IFERROR(Q20/Q$28,0)</f>
        <v>0.53270000000000006</v>
      </c>
      <c r="S20" s="111">
        <f t="shared" si="0"/>
        <v>130335.73414839235</v>
      </c>
      <c r="T20" s="80">
        <f>IFERROR(S20/S$28,0)</f>
        <v>0.53270000000000006</v>
      </c>
      <c r="U20" s="111">
        <f t="shared" si="0"/>
        <v>132942.44883136021</v>
      </c>
      <c r="V20" s="80">
        <f>IFERROR(U20/U$28,0)</f>
        <v>0.53270000000000006</v>
      </c>
    </row>
    <row r="21" spans="1:24" ht="12.75" customHeight="1">
      <c r="A21" s="2" t="s">
        <v>358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2" t="s">
        <v>360</v>
      </c>
      <c r="B23" s="35"/>
      <c r="C23" s="111"/>
      <c r="D23" s="80">
        <f t="shared" ref="D23:D28" si="1">IFERROR(C23/C$28,0)</f>
        <v>0</v>
      </c>
      <c r="E23" s="111"/>
      <c r="F23" s="80">
        <f t="shared" ref="F23:F28" si="2">IFERROR(E23/E$28,0)</f>
        <v>0</v>
      </c>
      <c r="G23" s="111"/>
      <c r="H23" s="80">
        <f t="shared" ref="H23:H28" si="3">IFERROR(G23/G$28,0)</f>
        <v>0</v>
      </c>
      <c r="I23" s="111"/>
      <c r="J23" s="80">
        <f t="shared" ref="J23:J28" si="4">IFERROR(I23/I$28,0)</f>
        <v>0</v>
      </c>
      <c r="K23" s="111"/>
      <c r="L23" s="80">
        <f t="shared" ref="L23:L28" si="5">IFERROR(K23/K$28,0)</f>
        <v>0</v>
      </c>
      <c r="M23" s="111"/>
      <c r="N23" s="80">
        <f t="shared" ref="N23:N28" si="6">IFERROR(M23/M$28,0)</f>
        <v>0</v>
      </c>
      <c r="O23" s="111"/>
      <c r="P23" s="80">
        <f t="shared" ref="P23:P28" si="7">IFERROR(O23/O$28,0)</f>
        <v>0</v>
      </c>
      <c r="Q23" s="111"/>
      <c r="R23" s="80">
        <f t="shared" ref="R23:R28" si="8">IFERROR(Q23/Q$28,0)</f>
        <v>0</v>
      </c>
      <c r="S23" s="111"/>
      <c r="T23" s="80">
        <f t="shared" ref="T23:T28" si="9">IFERROR(S23/S$28,0)</f>
        <v>0</v>
      </c>
      <c r="U23" s="111"/>
      <c r="V23" s="80">
        <f t="shared" ref="V23:V28" si="10">IFERROR(U23/U$28,0)</f>
        <v>0</v>
      </c>
    </row>
    <row r="24" spans="1:24" ht="12.75" customHeight="1">
      <c r="A24" s="2" t="s">
        <v>361</v>
      </c>
      <c r="B24" s="35"/>
      <c r="C24" s="111"/>
      <c r="D24" s="80">
        <f t="shared" si="1"/>
        <v>0</v>
      </c>
      <c r="E24" s="111"/>
      <c r="F24" s="80">
        <f t="shared" si="2"/>
        <v>0</v>
      </c>
      <c r="G24" s="111"/>
      <c r="H24" s="80">
        <f t="shared" si="3"/>
        <v>0</v>
      </c>
      <c r="I24" s="111"/>
      <c r="J24" s="80">
        <f t="shared" si="4"/>
        <v>0</v>
      </c>
      <c r="K24" s="111"/>
      <c r="L24" s="80">
        <f t="shared" si="5"/>
        <v>0</v>
      </c>
      <c r="M24" s="111"/>
      <c r="N24" s="80">
        <f t="shared" si="6"/>
        <v>0</v>
      </c>
      <c r="O24" s="111"/>
      <c r="P24" s="80">
        <f t="shared" si="7"/>
        <v>0</v>
      </c>
      <c r="Q24" s="111"/>
      <c r="R24" s="80">
        <f t="shared" si="8"/>
        <v>0</v>
      </c>
      <c r="S24" s="111"/>
      <c r="T24" s="80">
        <f t="shared" si="9"/>
        <v>0</v>
      </c>
      <c r="U24" s="111"/>
      <c r="V24" s="80">
        <f t="shared" si="10"/>
        <v>0</v>
      </c>
      <c r="X24" s="111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111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364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365</v>
      </c>
      <c r="B28" s="53"/>
      <c r="C28" s="82">
        <f>SUM(C19:C27)</f>
        <v>195323.04</v>
      </c>
      <c r="D28" s="83">
        <f t="shared" si="1"/>
        <v>1</v>
      </c>
      <c r="E28" s="82">
        <f>SUM(E19:E27)</f>
        <v>213000</v>
      </c>
      <c r="F28" s="83">
        <f t="shared" si="2"/>
        <v>1</v>
      </c>
      <c r="G28" s="82">
        <f>SUM(G19:G27)</f>
        <v>217260</v>
      </c>
      <c r="H28" s="83">
        <f t="shared" si="3"/>
        <v>1</v>
      </c>
      <c r="I28" s="82">
        <f>SUM(I19:I27)</f>
        <v>221605.2</v>
      </c>
      <c r="J28" s="83">
        <f t="shared" si="4"/>
        <v>1</v>
      </c>
      <c r="K28" s="82">
        <f>SUM(K19:K27)</f>
        <v>226037.304</v>
      </c>
      <c r="L28" s="83">
        <f t="shared" si="5"/>
        <v>1</v>
      </c>
      <c r="M28" s="82">
        <f>SUM(M19:M27)</f>
        <v>230558.05008000002</v>
      </c>
      <c r="N28" s="83">
        <f t="shared" si="6"/>
        <v>1</v>
      </c>
      <c r="O28" s="82">
        <f>SUM(O19:O27)</f>
        <v>235169.21108160002</v>
      </c>
      <c r="P28" s="83">
        <f t="shared" si="7"/>
        <v>1</v>
      </c>
      <c r="Q28" s="82">
        <f>SUM(Q19:Q27)</f>
        <v>239872.59530323202</v>
      </c>
      <c r="R28" s="83">
        <f t="shared" si="8"/>
        <v>1</v>
      </c>
      <c r="S28" s="82">
        <f>SUM(S19:S27)</f>
        <v>244670.04720929667</v>
      </c>
      <c r="T28" s="83">
        <f t="shared" si="9"/>
        <v>1</v>
      </c>
      <c r="U28" s="82">
        <f>SUM(U19:U27)</f>
        <v>249563.4481534826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0.33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64456.603200000005</v>
      </c>
      <c r="D31" s="80">
        <f>IFERROR(C31/C$28,0)</f>
        <v>0.33</v>
      </c>
      <c r="E31" s="179">
        <f>$C$30*E14</f>
        <v>70290</v>
      </c>
      <c r="F31" s="80">
        <f>IFERROR(E31/E$28,0)</f>
        <v>0.33</v>
      </c>
      <c r="G31" s="179">
        <f>$C$30*G14</f>
        <v>71695.8</v>
      </c>
      <c r="H31" s="80">
        <f>IFERROR(G31/G$28,0)</f>
        <v>0.33</v>
      </c>
      <c r="I31" s="179">
        <f>$C$30*I14</f>
        <v>73129.716</v>
      </c>
      <c r="J31" s="80">
        <f>IFERROR(I31/I$28,0)</f>
        <v>0.32999999999999996</v>
      </c>
      <c r="K31" s="179">
        <f>$C$30*K14</f>
        <v>74592.310320000004</v>
      </c>
      <c r="L31" s="80">
        <f>IFERROR(K31/K$28,0)</f>
        <v>0.33</v>
      </c>
      <c r="M31" s="179">
        <f>$C$30*M14</f>
        <v>76084.156526400009</v>
      </c>
      <c r="N31" s="80">
        <f>IFERROR(M31/M$28,0)</f>
        <v>0.33</v>
      </c>
      <c r="O31" s="179">
        <f>$C$30*O14</f>
        <v>77605.839656928016</v>
      </c>
      <c r="P31" s="80">
        <f>IFERROR(O31/O$28,0)</f>
        <v>0.33</v>
      </c>
      <c r="Q31" s="179">
        <f>$C$30*Q14</f>
        <v>79157.956450066573</v>
      </c>
      <c r="R31" s="80">
        <f>IFERROR(Q31/Q$28,0)</f>
        <v>0.33</v>
      </c>
      <c r="S31" s="179">
        <f>$C$30*S14</f>
        <v>80741.115579067904</v>
      </c>
      <c r="T31" s="80">
        <f>IFERROR(S31/S$28,0)</f>
        <v>0.33</v>
      </c>
      <c r="U31" s="179">
        <f>$C$30*U14</f>
        <v>82355.937890649264</v>
      </c>
      <c r="V31" s="80">
        <f>IFERROR(U31/U$28,0)</f>
        <v>0.33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64456.603200000005</v>
      </c>
      <c r="D33" s="83">
        <f>IFERROR(C33/C$28,0)</f>
        <v>0.33</v>
      </c>
      <c r="E33" s="82">
        <f>SUM(E31:E32)</f>
        <v>70290</v>
      </c>
      <c r="F33" s="83">
        <f>IFERROR(E33/E$28,0)</f>
        <v>0.33</v>
      </c>
      <c r="G33" s="82">
        <f>SUM(G31:G32)</f>
        <v>71695.8</v>
      </c>
      <c r="H33" s="83">
        <f>IFERROR(G33/G$28,0)</f>
        <v>0.33</v>
      </c>
      <c r="I33" s="82">
        <f>SUM(I31:I32)</f>
        <v>73129.716</v>
      </c>
      <c r="J33" s="83">
        <f>IFERROR(I33/I$28,0)</f>
        <v>0.32999999999999996</v>
      </c>
      <c r="K33" s="82">
        <f>SUM(K31:K32)</f>
        <v>74592.310320000004</v>
      </c>
      <c r="L33" s="83">
        <f>IFERROR(K33/K$28,0)</f>
        <v>0.33</v>
      </c>
      <c r="M33" s="82">
        <f>SUM(M31:M32)</f>
        <v>76084.156526400009</v>
      </c>
      <c r="N33" s="83">
        <f>IFERROR(M33/M$28,0)</f>
        <v>0.33</v>
      </c>
      <c r="O33" s="82">
        <f>SUM(O31:O32)</f>
        <v>77605.839656928016</v>
      </c>
      <c r="P33" s="83">
        <f>IFERROR(O33/O$28,0)</f>
        <v>0.33</v>
      </c>
      <c r="Q33" s="82">
        <f>SUM(Q31:Q32)</f>
        <v>79157.956450066573</v>
      </c>
      <c r="R33" s="83">
        <f>IFERROR(Q33/Q$28,0)</f>
        <v>0.33</v>
      </c>
      <c r="S33" s="82">
        <f>SUM(S31:S32)</f>
        <v>80741.115579067904</v>
      </c>
      <c r="T33" s="83">
        <f>IFERROR(S33/S$28,0)</f>
        <v>0.33</v>
      </c>
      <c r="U33" s="82">
        <f>SUM(U31:U32)</f>
        <v>82355.937890649264</v>
      </c>
      <c r="V33" s="83">
        <f>IFERROR(U33/U$28,0)</f>
        <v>0.33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>
        <v>0</v>
      </c>
      <c r="D36" s="80">
        <f t="shared" ref="D36:D46" si="11">IFERROR(C36/C$28,0)</f>
        <v>0</v>
      </c>
      <c r="E36" s="179"/>
      <c r="F36" s="80">
        <f t="shared" ref="F36:F46" si="12">IFERROR(E36/E$28,0)</f>
        <v>0</v>
      </c>
      <c r="G36" s="179"/>
      <c r="H36" s="80">
        <f t="shared" ref="H36:H46" si="13">IFERROR(G36/G$28,0)</f>
        <v>0</v>
      </c>
      <c r="I36" s="179"/>
      <c r="J36" s="80">
        <f t="shared" ref="J36:J46" si="14">IFERROR(I36/I$28,0)</f>
        <v>0</v>
      </c>
      <c r="K36" s="179"/>
      <c r="L36" s="80">
        <f t="shared" ref="L36:L46" si="15">IFERROR(K36/K$28,0)</f>
        <v>0</v>
      </c>
      <c r="M36" s="179"/>
      <c r="N36" s="80">
        <f t="shared" ref="N36:N46" si="16">IFERROR(M36/M$28,0)</f>
        <v>0</v>
      </c>
      <c r="O36" s="179"/>
      <c r="P36" s="80">
        <f t="shared" ref="P36:P46" si="17">IFERROR(O36/O$28,0)</f>
        <v>0</v>
      </c>
      <c r="Q36" s="179"/>
      <c r="R36" s="80">
        <f t="shared" ref="R36:R46" si="18">IFERROR(Q36/Q$28,0)</f>
        <v>0</v>
      </c>
      <c r="S36" s="179"/>
      <c r="T36" s="80">
        <f t="shared" ref="T36:T46" si="19">IFERROR(S36/S$28,0)</f>
        <v>0</v>
      </c>
      <c r="U36" s="179"/>
      <c r="V36" s="80">
        <f t="shared" ref="V36:V46" si="20">IFERROR(U36/U$28,0)</f>
        <v>0</v>
      </c>
    </row>
    <row r="37" spans="1:22" ht="12.75" customHeight="1">
      <c r="A37" s="2" t="s">
        <v>372</v>
      </c>
      <c r="B37" s="35"/>
      <c r="C37" s="179">
        <v>105082</v>
      </c>
      <c r="D37" s="80">
        <f t="shared" si="11"/>
        <v>0.537990807433675</v>
      </c>
      <c r="E37" s="179">
        <f>+C37*1.112</f>
        <v>116851.18400000001</v>
      </c>
      <c r="F37" s="80">
        <f t="shared" si="12"/>
        <v>0.54859710798122074</v>
      </c>
      <c r="G37" s="179">
        <f>+E37*1.035</f>
        <v>120940.97543999999</v>
      </c>
      <c r="H37" s="80">
        <f t="shared" si="13"/>
        <v>0.55666471251035621</v>
      </c>
      <c r="I37" s="179">
        <f>+G37*1.032</f>
        <v>124811.08665407999</v>
      </c>
      <c r="J37" s="80">
        <f t="shared" si="14"/>
        <v>0.56321370912812507</v>
      </c>
      <c r="K37" s="179">
        <f>+I37*1.025</f>
        <v>127931.36382043197</v>
      </c>
      <c r="L37" s="80">
        <f t="shared" si="15"/>
        <v>0.56597456064345897</v>
      </c>
      <c r="M37" s="179">
        <f>+K37*1.025</f>
        <v>131129.64791594277</v>
      </c>
      <c r="N37" s="80">
        <f t="shared" si="16"/>
        <v>0.5687489457446524</v>
      </c>
      <c r="O37" s="179">
        <f>+M37*1.025</f>
        <v>134407.88911384132</v>
      </c>
      <c r="P37" s="80">
        <f t="shared" si="17"/>
        <v>0.57153693077281231</v>
      </c>
      <c r="Q37" s="179">
        <f>+O37*1.025</f>
        <v>137768.08634168733</v>
      </c>
      <c r="R37" s="80">
        <f t="shared" si="18"/>
        <v>0.57433858239424762</v>
      </c>
      <c r="S37" s="179">
        <f>+Q37*1.025</f>
        <v>141212.28850022951</v>
      </c>
      <c r="T37" s="80">
        <f t="shared" si="19"/>
        <v>0.5771539676020625</v>
      </c>
      <c r="U37" s="179">
        <f>+S37*1.025</f>
        <v>144742.59571273523</v>
      </c>
      <c r="V37" s="80">
        <f t="shared" si="20"/>
        <v>0.57998315371775877</v>
      </c>
    </row>
    <row r="38" spans="1:22" ht="12.75" customHeight="1">
      <c r="A38" s="2" t="s">
        <v>373</v>
      </c>
      <c r="B38" s="35"/>
      <c r="C38" s="179"/>
      <c r="D38" s="80">
        <f t="shared" si="11"/>
        <v>0</v>
      </c>
      <c r="E38" s="179">
        <f t="shared" ref="E38:E39" si="21">+C38*1.112</f>
        <v>0</v>
      </c>
      <c r="F38" s="80">
        <f t="shared" si="12"/>
        <v>0</v>
      </c>
      <c r="G38" s="179">
        <f>+E38*1.035</f>
        <v>0</v>
      </c>
      <c r="H38" s="80">
        <f t="shared" si="13"/>
        <v>0</v>
      </c>
      <c r="I38" s="179">
        <f>+G38*1.032</f>
        <v>0</v>
      </c>
      <c r="J38" s="80">
        <f t="shared" si="14"/>
        <v>0</v>
      </c>
      <c r="K38" s="179">
        <f>+I38*1.025</f>
        <v>0</v>
      </c>
      <c r="L38" s="80">
        <f t="shared" si="15"/>
        <v>0</v>
      </c>
      <c r="M38" s="179">
        <f>+K38*1.025</f>
        <v>0</v>
      </c>
      <c r="N38" s="80">
        <f t="shared" si="16"/>
        <v>0</v>
      </c>
      <c r="O38" s="179">
        <f>+M38*1.025</f>
        <v>0</v>
      </c>
      <c r="P38" s="80">
        <f t="shared" si="17"/>
        <v>0</v>
      </c>
      <c r="Q38" s="179">
        <f>+O38*1.025</f>
        <v>0</v>
      </c>
      <c r="R38" s="80">
        <f t="shared" si="18"/>
        <v>0</v>
      </c>
      <c r="S38" s="179">
        <f>+Q38*1.025</f>
        <v>0</v>
      </c>
      <c r="T38" s="80">
        <f t="shared" si="19"/>
        <v>0</v>
      </c>
      <c r="U38" s="179">
        <f>+S38*1.025</f>
        <v>0</v>
      </c>
      <c r="V38" s="80">
        <f t="shared" si="20"/>
        <v>0</v>
      </c>
    </row>
    <row r="39" spans="1:22" ht="12.75" customHeight="1">
      <c r="A39" s="2" t="s">
        <v>374</v>
      </c>
      <c r="B39" s="35"/>
      <c r="C39" s="179"/>
      <c r="D39" s="80">
        <f t="shared" si="11"/>
        <v>0</v>
      </c>
      <c r="E39" s="179">
        <f t="shared" si="21"/>
        <v>0</v>
      </c>
      <c r="F39" s="80">
        <f t="shared" si="12"/>
        <v>0</v>
      </c>
      <c r="G39" s="179">
        <f>+E39*1.035</f>
        <v>0</v>
      </c>
      <c r="H39" s="80">
        <f t="shared" si="13"/>
        <v>0</v>
      </c>
      <c r="I39" s="179">
        <f>+G39*1.032</f>
        <v>0</v>
      </c>
      <c r="J39" s="80">
        <f t="shared" si="14"/>
        <v>0</v>
      </c>
      <c r="K39" s="179">
        <f>+I39*1.025</f>
        <v>0</v>
      </c>
      <c r="L39" s="80">
        <f t="shared" si="15"/>
        <v>0</v>
      </c>
      <c r="M39" s="179">
        <f>+K39*1.025</f>
        <v>0</v>
      </c>
      <c r="N39" s="80">
        <f t="shared" si="16"/>
        <v>0</v>
      </c>
      <c r="O39" s="179">
        <f>+M39*1.025</f>
        <v>0</v>
      </c>
      <c r="P39" s="80">
        <f t="shared" si="17"/>
        <v>0</v>
      </c>
      <c r="Q39" s="179">
        <f>+O39*1.025</f>
        <v>0</v>
      </c>
      <c r="R39" s="80">
        <f t="shared" si="18"/>
        <v>0</v>
      </c>
      <c r="S39" s="179">
        <f>+Q39*1.025</f>
        <v>0</v>
      </c>
      <c r="T39" s="80">
        <f t="shared" si="19"/>
        <v>0</v>
      </c>
      <c r="U39" s="179">
        <f>+S39*1.025</f>
        <v>0</v>
      </c>
      <c r="V39" s="80">
        <f t="shared" si="20"/>
        <v>0</v>
      </c>
    </row>
    <row r="40" spans="1:22" ht="12.75" customHeight="1">
      <c r="A40" s="2" t="s">
        <v>375</v>
      </c>
      <c r="B40" s="35"/>
      <c r="C40" s="179">
        <f>C36*0.124</f>
        <v>0</v>
      </c>
      <c r="D40" s="80">
        <f t="shared" si="11"/>
        <v>0</v>
      </c>
      <c r="E40" s="179">
        <f>E36*0.124</f>
        <v>0</v>
      </c>
      <c r="F40" s="80">
        <f t="shared" si="12"/>
        <v>0</v>
      </c>
      <c r="G40" s="179">
        <f>G36*0.124</f>
        <v>0</v>
      </c>
      <c r="H40" s="80">
        <f t="shared" si="13"/>
        <v>0</v>
      </c>
      <c r="I40" s="179">
        <f>I36*0.124</f>
        <v>0</v>
      </c>
      <c r="J40" s="80">
        <f t="shared" si="14"/>
        <v>0</v>
      </c>
      <c r="K40" s="179">
        <f>K36*0.124</f>
        <v>0</v>
      </c>
      <c r="L40" s="80">
        <f t="shared" si="15"/>
        <v>0</v>
      </c>
      <c r="M40" s="179">
        <f>M36*0.124</f>
        <v>0</v>
      </c>
      <c r="N40" s="80">
        <f t="shared" si="16"/>
        <v>0</v>
      </c>
      <c r="O40" s="179">
        <f>O36*0.124</f>
        <v>0</v>
      </c>
      <c r="P40" s="80">
        <f t="shared" si="17"/>
        <v>0</v>
      </c>
      <c r="Q40" s="179">
        <f>Q36*0.124</f>
        <v>0</v>
      </c>
      <c r="R40" s="80">
        <f t="shared" si="18"/>
        <v>0</v>
      </c>
      <c r="S40" s="179">
        <f>S36*0.124</f>
        <v>0</v>
      </c>
      <c r="T40" s="80">
        <f t="shared" si="19"/>
        <v>0</v>
      </c>
      <c r="U40" s="179">
        <f>U36*0.124</f>
        <v>0</v>
      </c>
      <c r="V40" s="80">
        <f t="shared" si="20"/>
        <v>0</v>
      </c>
    </row>
    <row r="41" spans="1:22" ht="12.75" customHeight="1">
      <c r="A41" s="2" t="s">
        <v>376</v>
      </c>
      <c r="B41" s="35"/>
      <c r="C41" s="179">
        <f>C37*0.124</f>
        <v>13030.168</v>
      </c>
      <c r="D41" s="80">
        <f t="shared" si="11"/>
        <v>6.6710860121775697E-2</v>
      </c>
      <c r="E41" s="179">
        <f>E37*0.124</f>
        <v>14489.546816</v>
      </c>
      <c r="F41" s="80">
        <f t="shared" si="12"/>
        <v>6.802604138967136E-2</v>
      </c>
      <c r="G41" s="179">
        <f>G37*0.124</f>
        <v>14996.680954559999</v>
      </c>
      <c r="H41" s="80">
        <f t="shared" si="13"/>
        <v>6.9026424351284171E-2</v>
      </c>
      <c r="I41" s="179">
        <f>I37*0.124</f>
        <v>15476.574745105918</v>
      </c>
      <c r="J41" s="80">
        <f t="shared" si="14"/>
        <v>6.983849993188751E-2</v>
      </c>
      <c r="K41" s="179">
        <f>K37*0.124</f>
        <v>15863.489113733565</v>
      </c>
      <c r="L41" s="80">
        <f t="shared" si="15"/>
        <v>7.0180845519788912E-2</v>
      </c>
      <c r="M41" s="179">
        <f>M37*0.124</f>
        <v>16260.076341576903</v>
      </c>
      <c r="N41" s="80">
        <f t="shared" si="16"/>
        <v>7.0524869272336893E-2</v>
      </c>
      <c r="O41" s="179">
        <f>O37*0.124</f>
        <v>16666.578250116323</v>
      </c>
      <c r="P41" s="80">
        <f t="shared" si="17"/>
        <v>7.0870579415828722E-2</v>
      </c>
      <c r="Q41" s="179">
        <f>Q37*0.124</f>
        <v>17083.24270636923</v>
      </c>
      <c r="R41" s="80">
        <f t="shared" si="18"/>
        <v>7.1217984216886701E-2</v>
      </c>
      <c r="S41" s="179">
        <f>S37*0.124</f>
        <v>17510.32377402846</v>
      </c>
      <c r="T41" s="80">
        <f t="shared" si="19"/>
        <v>7.1567091982655748E-2</v>
      </c>
      <c r="U41" s="179">
        <f>U37*0.124</f>
        <v>17948.081868379169</v>
      </c>
      <c r="V41" s="80">
        <f t="shared" si="20"/>
        <v>7.1917911061002093E-2</v>
      </c>
    </row>
    <row r="42" spans="1:22" ht="12.75" customHeight="1">
      <c r="A42" s="2" t="s">
        <v>377</v>
      </c>
      <c r="B42" s="35"/>
      <c r="C42" s="179"/>
      <c r="D42" s="80">
        <f t="shared" si="11"/>
        <v>0</v>
      </c>
      <c r="E42" s="179"/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79"/>
      <c r="D43" s="80">
        <f t="shared" si="11"/>
        <v>0</v>
      </c>
      <c r="E43" s="179"/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79"/>
      <c r="D44" s="80">
        <f t="shared" si="11"/>
        <v>0</v>
      </c>
      <c r="E44" s="179"/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82">
        <f>SUM(C36:C39)*0.094</f>
        <v>9877.7080000000005</v>
      </c>
      <c r="D45" s="80">
        <f t="shared" si="11"/>
        <v>5.0571135898765454E-2</v>
      </c>
      <c r="E45" s="182">
        <f>SUM(E36:E39)*0.094</f>
        <v>10984.011296000001</v>
      </c>
      <c r="F45" s="80">
        <f t="shared" si="12"/>
        <v>5.1568128150234746E-2</v>
      </c>
      <c r="G45" s="182">
        <f>SUM(G36:G39)*0.094</f>
        <v>11368.45169136</v>
      </c>
      <c r="H45" s="80">
        <f t="shared" si="13"/>
        <v>5.232648297597349E-2</v>
      </c>
      <c r="I45" s="182">
        <f>SUM(I36:I39)*0.094</f>
        <v>11732.242145483518</v>
      </c>
      <c r="J45" s="80">
        <f t="shared" si="14"/>
        <v>5.2942088658043757E-2</v>
      </c>
      <c r="K45" s="182">
        <f>SUM(K36:K39)*0.094</f>
        <v>12025.548199120605</v>
      </c>
      <c r="L45" s="80">
        <f t="shared" si="15"/>
        <v>5.320160870048514E-2</v>
      </c>
      <c r="M45" s="182">
        <f>SUM(M36:M39)*0.094</f>
        <v>12326.18690409862</v>
      </c>
      <c r="N45" s="80">
        <f t="shared" si="16"/>
        <v>5.346240089999732E-2</v>
      </c>
      <c r="O45" s="182">
        <f>SUM(O36:O39)*0.094</f>
        <v>12634.341576701083</v>
      </c>
      <c r="P45" s="80">
        <f t="shared" si="17"/>
        <v>5.3724471492644352E-2</v>
      </c>
      <c r="Q45" s="182">
        <f>SUM(Q36:Q39)*0.094</f>
        <v>12950.200116118609</v>
      </c>
      <c r="R45" s="80">
        <f t="shared" si="18"/>
        <v>5.3987826745059274E-2</v>
      </c>
      <c r="S45" s="182">
        <f>SUM(S36:S39)*0.094</f>
        <v>13273.955119021573</v>
      </c>
      <c r="T45" s="80">
        <f t="shared" si="19"/>
        <v>5.4252472954593872E-2</v>
      </c>
      <c r="U45" s="182">
        <f>SUM(U36:U39)*0.094</f>
        <v>13605.803996997112</v>
      </c>
      <c r="V45" s="80">
        <f t="shared" si="20"/>
        <v>5.451841644946933E-2</v>
      </c>
    </row>
    <row r="46" spans="1:22" ht="12.75" customHeight="1">
      <c r="A46" s="1" t="s">
        <v>381</v>
      </c>
      <c r="B46" s="53"/>
      <c r="C46" s="82">
        <f>SUM(C36:C45)</f>
        <v>127989.876</v>
      </c>
      <c r="D46" s="83">
        <f t="shared" si="11"/>
        <v>0.65527280345421612</v>
      </c>
      <c r="E46" s="82">
        <f>SUM(E36:E45)</f>
        <v>142324.74211200001</v>
      </c>
      <c r="F46" s="83">
        <f t="shared" si="12"/>
        <v>0.66819127752112684</v>
      </c>
      <c r="G46" s="82">
        <f>SUM(G36:G45)</f>
        <v>147306.10808592002</v>
      </c>
      <c r="H46" s="83">
        <f t="shared" si="13"/>
        <v>0.67801761983761399</v>
      </c>
      <c r="I46" s="82">
        <f>SUM(I36:I45)</f>
        <v>152019.90354466945</v>
      </c>
      <c r="J46" s="83">
        <f t="shared" si="14"/>
        <v>0.68599429771805642</v>
      </c>
      <c r="K46" s="82">
        <f>SUM(K36:K45)</f>
        <v>155820.40113328616</v>
      </c>
      <c r="L46" s="83">
        <f t="shared" si="15"/>
        <v>0.68935701486373313</v>
      </c>
      <c r="M46" s="82">
        <f>SUM(M36:M45)</f>
        <v>159715.91116161831</v>
      </c>
      <c r="N46" s="83">
        <f t="shared" si="16"/>
        <v>0.69273621591698664</v>
      </c>
      <c r="O46" s="82">
        <f>SUM(O36:O45)</f>
        <v>163708.80894065872</v>
      </c>
      <c r="P46" s="83">
        <f t="shared" si="17"/>
        <v>0.69613198168128543</v>
      </c>
      <c r="Q46" s="82">
        <f>SUM(Q36:Q45)</f>
        <v>167801.52916417518</v>
      </c>
      <c r="R46" s="83">
        <f t="shared" si="18"/>
        <v>0.69954439335619356</v>
      </c>
      <c r="S46" s="82">
        <f>SUM(S36:S45)</f>
        <v>171996.56739327955</v>
      </c>
      <c r="T46" s="83">
        <f t="shared" si="19"/>
        <v>0.70297353253931216</v>
      </c>
      <c r="U46" s="82">
        <f>SUM(U36:U45)</f>
        <v>176296.4815781115</v>
      </c>
      <c r="V46" s="83">
        <f t="shared" si="20"/>
        <v>0.70641948122823017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83" si="22">IFERROR(C52/C$28,0)</f>
        <v>0</v>
      </c>
      <c r="E52" s="179">
        <v>0</v>
      </c>
      <c r="F52" s="80">
        <f t="shared" ref="F52:F105" si="23">IFERROR(E52/E$28,0)</f>
        <v>0</v>
      </c>
      <c r="G52" s="179">
        <v>0</v>
      </c>
      <c r="H52" s="80">
        <f t="shared" ref="H52:H105" si="24">IFERROR(G52/G$28,0)</f>
        <v>0</v>
      </c>
      <c r="I52" s="179">
        <v>0</v>
      </c>
      <c r="J52" s="80">
        <f t="shared" ref="J52:J105" si="25">IFERROR(I52/I$28,0)</f>
        <v>0</v>
      </c>
      <c r="K52" s="179">
        <v>0</v>
      </c>
      <c r="L52" s="80">
        <f t="shared" ref="L52:L105" si="26">IFERROR(K52/K$28,0)</f>
        <v>0</v>
      </c>
      <c r="M52" s="179">
        <v>0</v>
      </c>
      <c r="N52" s="80">
        <f t="shared" ref="N52:N105" si="27">IFERROR(M52/M$28,0)</f>
        <v>0</v>
      </c>
      <c r="O52" s="179">
        <v>0</v>
      </c>
      <c r="P52" s="80">
        <f t="shared" ref="P52:P105" si="28">IFERROR(O52/O$28,0)</f>
        <v>0</v>
      </c>
      <c r="Q52" s="179">
        <v>0</v>
      </c>
      <c r="R52" s="80">
        <f t="shared" ref="R52:R105" si="29">IFERROR(Q52/Q$28,0)</f>
        <v>0</v>
      </c>
      <c r="S52" s="179">
        <v>0</v>
      </c>
      <c r="T52" s="80">
        <f t="shared" ref="T52:T105" si="30">IFERROR(S52/S$28,0)</f>
        <v>0</v>
      </c>
      <c r="U52" s="179">
        <v>0</v>
      </c>
      <c r="V52" s="80">
        <f t="shared" ref="V52:V105" si="31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2"/>
        <v>0</v>
      </c>
      <c r="E53" s="179">
        <v>0</v>
      </c>
      <c r="F53" s="80">
        <f t="shared" si="23"/>
        <v>0</v>
      </c>
      <c r="G53" s="179">
        <v>0</v>
      </c>
      <c r="H53" s="80">
        <f t="shared" si="24"/>
        <v>0</v>
      </c>
      <c r="I53" s="179">
        <v>0</v>
      </c>
      <c r="J53" s="80">
        <f t="shared" si="25"/>
        <v>0</v>
      </c>
      <c r="K53" s="179">
        <v>0</v>
      </c>
      <c r="L53" s="80">
        <f t="shared" si="26"/>
        <v>0</v>
      </c>
      <c r="M53" s="179">
        <v>0</v>
      </c>
      <c r="N53" s="80">
        <f t="shared" si="27"/>
        <v>0</v>
      </c>
      <c r="O53" s="179">
        <v>0</v>
      </c>
      <c r="P53" s="80">
        <f t="shared" si="28"/>
        <v>0</v>
      </c>
      <c r="Q53" s="179">
        <v>0</v>
      </c>
      <c r="R53" s="80">
        <f t="shared" si="29"/>
        <v>0</v>
      </c>
      <c r="S53" s="179">
        <v>0</v>
      </c>
      <c r="T53" s="80">
        <f t="shared" si="30"/>
        <v>0</v>
      </c>
      <c r="U53" s="179">
        <v>0</v>
      </c>
      <c r="V53" s="80">
        <f t="shared" si="31"/>
        <v>0</v>
      </c>
      <c r="X53" s="200"/>
    </row>
    <row r="54" spans="1:24" ht="12.75" customHeight="1">
      <c r="A54" s="2" t="s">
        <v>385</v>
      </c>
      <c r="B54" s="35"/>
      <c r="C54" s="179">
        <v>136.72612799999999</v>
      </c>
      <c r="D54" s="80">
        <f t="shared" si="22"/>
        <v>6.9999999999999988E-4</v>
      </c>
      <c r="E54" s="179">
        <v>149.1</v>
      </c>
      <c r="F54" s="80">
        <f t="shared" si="23"/>
        <v>6.9999999999999999E-4</v>
      </c>
      <c r="G54" s="179">
        <v>152.08200000000002</v>
      </c>
      <c r="H54" s="80">
        <f t="shared" si="24"/>
        <v>7.000000000000001E-4</v>
      </c>
      <c r="I54" s="179">
        <v>155.12364000000002</v>
      </c>
      <c r="J54" s="80">
        <f t="shared" si="25"/>
        <v>7.000000000000001E-4</v>
      </c>
      <c r="K54" s="179">
        <v>158.22611279999998</v>
      </c>
      <c r="L54" s="80">
        <f t="shared" si="26"/>
        <v>6.9999999999999988E-4</v>
      </c>
      <c r="M54" s="179">
        <v>161.39063505600001</v>
      </c>
      <c r="N54" s="80">
        <f t="shared" si="27"/>
        <v>6.9999999999999999E-4</v>
      </c>
      <c r="O54" s="179">
        <v>164.61844775712001</v>
      </c>
      <c r="P54" s="80">
        <f t="shared" si="28"/>
        <v>6.9999999999999999E-4</v>
      </c>
      <c r="Q54" s="179">
        <v>167.9108167122624</v>
      </c>
      <c r="R54" s="80">
        <f t="shared" si="29"/>
        <v>6.9999999999999988E-4</v>
      </c>
      <c r="S54" s="179">
        <v>171.26903304650764</v>
      </c>
      <c r="T54" s="80">
        <f t="shared" si="30"/>
        <v>6.9999999999999988E-4</v>
      </c>
      <c r="U54" s="179">
        <v>174.69441370743783</v>
      </c>
      <c r="V54" s="80">
        <f t="shared" si="31"/>
        <v>6.9999999999999999E-4</v>
      </c>
      <c r="X54" s="200"/>
    </row>
    <row r="55" spans="1:24" ht="12.75" customHeight="1">
      <c r="A55" s="2" t="s">
        <v>386</v>
      </c>
      <c r="B55" s="35"/>
      <c r="C55" s="179"/>
      <c r="D55" s="80">
        <f t="shared" si="22"/>
        <v>0</v>
      </c>
      <c r="E55" s="179"/>
      <c r="F55" s="80">
        <f t="shared" si="23"/>
        <v>0</v>
      </c>
      <c r="G55" s="179"/>
      <c r="H55" s="80">
        <f t="shared" si="24"/>
        <v>0</v>
      </c>
      <c r="I55" s="179"/>
      <c r="J55" s="80">
        <f t="shared" si="25"/>
        <v>0</v>
      </c>
      <c r="K55" s="179"/>
      <c r="L55" s="80">
        <f t="shared" si="26"/>
        <v>0</v>
      </c>
      <c r="M55" s="179"/>
      <c r="N55" s="80">
        <f t="shared" si="27"/>
        <v>0</v>
      </c>
      <c r="O55" s="179"/>
      <c r="P55" s="80">
        <f t="shared" si="28"/>
        <v>0</v>
      </c>
      <c r="Q55" s="179"/>
      <c r="R55" s="80">
        <f t="shared" si="29"/>
        <v>0</v>
      </c>
      <c r="S55" s="179"/>
      <c r="T55" s="80">
        <f t="shared" si="30"/>
        <v>0</v>
      </c>
      <c r="U55" s="179"/>
      <c r="V55" s="80">
        <f t="shared" si="31"/>
        <v>0</v>
      </c>
      <c r="X55" s="200"/>
    </row>
    <row r="56" spans="1:24" ht="12.75" customHeight="1">
      <c r="A56" s="2" t="s">
        <v>387</v>
      </c>
      <c r="B56" s="35"/>
      <c r="C56" s="179">
        <v>99.61475040000002</v>
      </c>
      <c r="D56" s="80">
        <f t="shared" si="22"/>
        <v>5.1000000000000004E-4</v>
      </c>
      <c r="E56" s="179">
        <v>108.63000000000001</v>
      </c>
      <c r="F56" s="80">
        <f t="shared" si="23"/>
        <v>5.1000000000000004E-4</v>
      </c>
      <c r="G56" s="179">
        <v>110.80260000000001</v>
      </c>
      <c r="H56" s="80">
        <f t="shared" si="24"/>
        <v>5.1000000000000004E-4</v>
      </c>
      <c r="I56" s="179">
        <v>113.01865200000003</v>
      </c>
      <c r="J56" s="80">
        <f t="shared" si="25"/>
        <v>5.1000000000000015E-4</v>
      </c>
      <c r="K56" s="179">
        <v>115.27902504000001</v>
      </c>
      <c r="L56" s="80">
        <f t="shared" si="26"/>
        <v>5.1000000000000004E-4</v>
      </c>
      <c r="M56" s="179">
        <v>117.58460554080001</v>
      </c>
      <c r="N56" s="80">
        <f t="shared" si="27"/>
        <v>5.1000000000000004E-4</v>
      </c>
      <c r="O56" s="179">
        <v>119.93629765161602</v>
      </c>
      <c r="P56" s="80">
        <f t="shared" si="28"/>
        <v>5.1000000000000004E-4</v>
      </c>
      <c r="Q56" s="179">
        <v>122.33502360464836</v>
      </c>
      <c r="R56" s="80">
        <f t="shared" si="29"/>
        <v>5.1000000000000015E-4</v>
      </c>
      <c r="S56" s="179">
        <v>124.7817240767413</v>
      </c>
      <c r="T56" s="80">
        <f t="shared" si="30"/>
        <v>5.1000000000000004E-4</v>
      </c>
      <c r="U56" s="179">
        <v>127.27735855827613</v>
      </c>
      <c r="V56" s="80">
        <f t="shared" si="31"/>
        <v>5.1000000000000004E-4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2"/>
        <v>0</v>
      </c>
      <c r="E57" s="179">
        <v>0</v>
      </c>
      <c r="F57" s="80">
        <f t="shared" si="23"/>
        <v>0</v>
      </c>
      <c r="G57" s="179">
        <v>0</v>
      </c>
      <c r="H57" s="80">
        <f t="shared" si="24"/>
        <v>0</v>
      </c>
      <c r="I57" s="179">
        <v>0</v>
      </c>
      <c r="J57" s="80">
        <f t="shared" si="25"/>
        <v>0</v>
      </c>
      <c r="K57" s="179">
        <v>0</v>
      </c>
      <c r="L57" s="80">
        <f t="shared" si="26"/>
        <v>0</v>
      </c>
      <c r="M57" s="179">
        <v>0</v>
      </c>
      <c r="N57" s="80">
        <f t="shared" si="27"/>
        <v>0</v>
      </c>
      <c r="O57" s="179">
        <v>0</v>
      </c>
      <c r="P57" s="80">
        <f t="shared" si="28"/>
        <v>0</v>
      </c>
      <c r="Q57" s="179">
        <v>0</v>
      </c>
      <c r="R57" s="80">
        <f t="shared" si="29"/>
        <v>0</v>
      </c>
      <c r="S57" s="179">
        <v>0</v>
      </c>
      <c r="T57" s="80">
        <f t="shared" si="30"/>
        <v>0</v>
      </c>
      <c r="U57" s="179">
        <v>0</v>
      </c>
      <c r="V57" s="80">
        <f t="shared" si="31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2"/>
        <v>0</v>
      </c>
      <c r="E58" s="179">
        <v>0</v>
      </c>
      <c r="F58" s="80">
        <f t="shared" si="23"/>
        <v>0</v>
      </c>
      <c r="G58" s="179">
        <v>0</v>
      </c>
      <c r="H58" s="80">
        <f t="shared" si="24"/>
        <v>0</v>
      </c>
      <c r="I58" s="179">
        <v>0</v>
      </c>
      <c r="J58" s="80">
        <f t="shared" si="25"/>
        <v>0</v>
      </c>
      <c r="K58" s="179">
        <v>0</v>
      </c>
      <c r="L58" s="80">
        <f t="shared" si="26"/>
        <v>0</v>
      </c>
      <c r="M58" s="179">
        <v>0</v>
      </c>
      <c r="N58" s="80">
        <f t="shared" si="27"/>
        <v>0</v>
      </c>
      <c r="O58" s="179">
        <v>0</v>
      </c>
      <c r="P58" s="80">
        <f t="shared" si="28"/>
        <v>0</v>
      </c>
      <c r="Q58" s="179">
        <v>0</v>
      </c>
      <c r="R58" s="80">
        <f t="shared" si="29"/>
        <v>0</v>
      </c>
      <c r="S58" s="179">
        <v>0</v>
      </c>
      <c r="T58" s="80">
        <f t="shared" si="30"/>
        <v>0</v>
      </c>
      <c r="U58" s="179">
        <v>0</v>
      </c>
      <c r="V58" s="80">
        <f t="shared" si="31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2"/>
        <v>0</v>
      </c>
      <c r="E59" s="179">
        <v>0</v>
      </c>
      <c r="F59" s="80">
        <f t="shared" si="23"/>
        <v>0</v>
      </c>
      <c r="G59" s="179">
        <v>0</v>
      </c>
      <c r="H59" s="80">
        <f t="shared" si="24"/>
        <v>0</v>
      </c>
      <c r="I59" s="179">
        <v>0</v>
      </c>
      <c r="J59" s="80">
        <f t="shared" si="25"/>
        <v>0</v>
      </c>
      <c r="K59" s="179">
        <v>0</v>
      </c>
      <c r="L59" s="80">
        <f t="shared" si="26"/>
        <v>0</v>
      </c>
      <c r="M59" s="179">
        <v>0</v>
      </c>
      <c r="N59" s="80">
        <f t="shared" si="27"/>
        <v>0</v>
      </c>
      <c r="O59" s="179">
        <v>0</v>
      </c>
      <c r="P59" s="80">
        <f t="shared" si="28"/>
        <v>0</v>
      </c>
      <c r="Q59" s="179">
        <v>0</v>
      </c>
      <c r="R59" s="80">
        <f t="shared" si="29"/>
        <v>0</v>
      </c>
      <c r="S59" s="179">
        <v>0</v>
      </c>
      <c r="T59" s="80">
        <f t="shared" si="30"/>
        <v>0</v>
      </c>
      <c r="U59" s="179">
        <v>0</v>
      </c>
      <c r="V59" s="80">
        <f t="shared" si="31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2"/>
        <v>0</v>
      </c>
      <c r="E60" s="179">
        <v>0</v>
      </c>
      <c r="F60" s="80">
        <f t="shared" si="23"/>
        <v>0</v>
      </c>
      <c r="G60" s="179">
        <v>0</v>
      </c>
      <c r="H60" s="80">
        <f t="shared" si="24"/>
        <v>0</v>
      </c>
      <c r="I60" s="179">
        <v>0</v>
      </c>
      <c r="J60" s="80">
        <f t="shared" si="25"/>
        <v>0</v>
      </c>
      <c r="K60" s="179">
        <v>0</v>
      </c>
      <c r="L60" s="80">
        <f t="shared" si="26"/>
        <v>0</v>
      </c>
      <c r="M60" s="179">
        <v>0</v>
      </c>
      <c r="N60" s="80">
        <f t="shared" si="27"/>
        <v>0</v>
      </c>
      <c r="O60" s="179">
        <v>0</v>
      </c>
      <c r="P60" s="80">
        <f t="shared" si="28"/>
        <v>0</v>
      </c>
      <c r="Q60" s="179">
        <v>0</v>
      </c>
      <c r="R60" s="80">
        <f t="shared" si="29"/>
        <v>0</v>
      </c>
      <c r="S60" s="179">
        <v>0</v>
      </c>
      <c r="T60" s="80">
        <f t="shared" si="30"/>
        <v>0</v>
      </c>
      <c r="U60" s="179">
        <v>0</v>
      </c>
      <c r="V60" s="80">
        <f t="shared" si="31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2"/>
        <v>0</v>
      </c>
      <c r="E61" s="179">
        <v>0</v>
      </c>
      <c r="F61" s="80">
        <f t="shared" si="23"/>
        <v>0</v>
      </c>
      <c r="G61" s="179">
        <v>0</v>
      </c>
      <c r="H61" s="80">
        <f t="shared" si="24"/>
        <v>0</v>
      </c>
      <c r="I61" s="179">
        <v>0</v>
      </c>
      <c r="J61" s="80">
        <f t="shared" si="25"/>
        <v>0</v>
      </c>
      <c r="K61" s="179">
        <v>0</v>
      </c>
      <c r="L61" s="80">
        <f t="shared" si="26"/>
        <v>0</v>
      </c>
      <c r="M61" s="179">
        <v>0</v>
      </c>
      <c r="N61" s="80">
        <f t="shared" si="27"/>
        <v>0</v>
      </c>
      <c r="O61" s="179">
        <v>0</v>
      </c>
      <c r="P61" s="80">
        <f t="shared" si="28"/>
        <v>0</v>
      </c>
      <c r="Q61" s="179">
        <v>0</v>
      </c>
      <c r="R61" s="80">
        <f t="shared" si="29"/>
        <v>0</v>
      </c>
      <c r="S61" s="179">
        <v>0</v>
      </c>
      <c r="T61" s="80">
        <f t="shared" si="30"/>
        <v>0</v>
      </c>
      <c r="U61" s="179">
        <v>0</v>
      </c>
      <c r="V61" s="80">
        <f t="shared" si="31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2"/>
        <v>0</v>
      </c>
      <c r="E62" s="179">
        <v>0</v>
      </c>
      <c r="F62" s="80">
        <f t="shared" si="23"/>
        <v>0</v>
      </c>
      <c r="G62" s="179">
        <v>0</v>
      </c>
      <c r="H62" s="80">
        <f t="shared" si="24"/>
        <v>0</v>
      </c>
      <c r="I62" s="179">
        <v>0</v>
      </c>
      <c r="J62" s="80">
        <f t="shared" si="25"/>
        <v>0</v>
      </c>
      <c r="K62" s="179">
        <v>0</v>
      </c>
      <c r="L62" s="80">
        <f t="shared" si="26"/>
        <v>0</v>
      </c>
      <c r="M62" s="179">
        <v>0</v>
      </c>
      <c r="N62" s="80">
        <f t="shared" si="27"/>
        <v>0</v>
      </c>
      <c r="O62" s="179">
        <v>0</v>
      </c>
      <c r="P62" s="80">
        <f t="shared" si="28"/>
        <v>0</v>
      </c>
      <c r="Q62" s="179">
        <v>0</v>
      </c>
      <c r="R62" s="80">
        <f t="shared" si="29"/>
        <v>0</v>
      </c>
      <c r="S62" s="179">
        <v>0</v>
      </c>
      <c r="T62" s="80">
        <f t="shared" si="30"/>
        <v>0</v>
      </c>
      <c r="U62" s="179">
        <v>0</v>
      </c>
      <c r="V62" s="80">
        <f t="shared" si="31"/>
        <v>0</v>
      </c>
      <c r="X62" s="200"/>
    </row>
    <row r="63" spans="1:24" ht="12.75" customHeight="1">
      <c r="A63" s="2" t="s">
        <v>394</v>
      </c>
      <c r="B63" s="35"/>
      <c r="C63" s="179">
        <v>2680.3078276681781</v>
      </c>
      <c r="D63" s="80">
        <f t="shared" si="22"/>
        <v>1.3722435549171148E-2</v>
      </c>
      <c r="E63" s="179">
        <v>1652.3092566654984</v>
      </c>
      <c r="F63" s="80">
        <f t="shared" si="23"/>
        <v>7.7573204538286308E-3</v>
      </c>
      <c r="G63" s="179">
        <v>1934.1670181059158</v>
      </c>
      <c r="H63" s="80">
        <f t="shared" si="24"/>
        <v>8.9025454207213289E-3</v>
      </c>
      <c r="I63" s="179">
        <v>1955.5905774851399</v>
      </c>
      <c r="J63" s="80">
        <f t="shared" si="25"/>
        <v>8.8246601500557732E-3</v>
      </c>
      <c r="K63" s="179">
        <v>1971.7307878122015</v>
      </c>
      <c r="L63" s="80">
        <f t="shared" si="26"/>
        <v>8.723032671687685E-3</v>
      </c>
      <c r="M63" s="179">
        <v>2006.9379356972463</v>
      </c>
      <c r="N63" s="80">
        <f t="shared" si="27"/>
        <v>8.7046968648497435E-3</v>
      </c>
      <c r="O63" s="179">
        <v>2042.8866401210626</v>
      </c>
      <c r="P63" s="80">
        <f t="shared" si="28"/>
        <v>8.686879675810168E-3</v>
      </c>
      <c r="Q63" s="179">
        <v>2079.520800998062</v>
      </c>
      <c r="R63" s="80">
        <f t="shared" si="29"/>
        <v>8.6692721124281037E-3</v>
      </c>
      <c r="S63" s="179">
        <v>2116.7848191255562</v>
      </c>
      <c r="T63" s="80">
        <f t="shared" si="30"/>
        <v>8.6515895315735451E-3</v>
      </c>
      <c r="U63" s="179">
        <v>2237.1251131470322</v>
      </c>
      <c r="V63" s="80">
        <f t="shared" si="31"/>
        <v>8.964153724030895E-3</v>
      </c>
      <c r="X63" s="200"/>
    </row>
    <row r="64" spans="1:24" ht="12.75" customHeight="1">
      <c r="A64" s="2" t="s">
        <v>395</v>
      </c>
      <c r="B64" s="35"/>
      <c r="C64" s="179">
        <v>937.55059199999982</v>
      </c>
      <c r="D64" s="80">
        <f t="shared" si="22"/>
        <v>4.7999999999999987E-3</v>
      </c>
      <c r="E64" s="179">
        <v>1022.3999999999999</v>
      </c>
      <c r="F64" s="80">
        <f t="shared" si="23"/>
        <v>4.7999999999999996E-3</v>
      </c>
      <c r="G64" s="179">
        <v>1042.848</v>
      </c>
      <c r="H64" s="80">
        <f t="shared" si="24"/>
        <v>4.7999999999999996E-3</v>
      </c>
      <c r="I64" s="179">
        <v>1063.70496</v>
      </c>
      <c r="J64" s="80">
        <f t="shared" si="25"/>
        <v>4.7999999999999996E-3</v>
      </c>
      <c r="K64" s="179">
        <v>1084.9790591999999</v>
      </c>
      <c r="L64" s="80">
        <f t="shared" si="26"/>
        <v>4.7999999999999996E-3</v>
      </c>
      <c r="M64" s="179">
        <v>1106.6786403840001</v>
      </c>
      <c r="N64" s="80">
        <f t="shared" si="27"/>
        <v>4.8000000000000004E-3</v>
      </c>
      <c r="O64" s="179">
        <v>1128.81221319168</v>
      </c>
      <c r="P64" s="80">
        <f t="shared" si="28"/>
        <v>4.7999999999999996E-3</v>
      </c>
      <c r="Q64" s="179">
        <v>1151.3884574555136</v>
      </c>
      <c r="R64" s="80">
        <f t="shared" si="29"/>
        <v>4.7999999999999996E-3</v>
      </c>
      <c r="S64" s="179">
        <v>1174.4162266046239</v>
      </c>
      <c r="T64" s="80">
        <f t="shared" si="30"/>
        <v>4.7999999999999996E-3</v>
      </c>
      <c r="U64" s="179">
        <v>1197.9045511367165</v>
      </c>
      <c r="V64" s="80">
        <f t="shared" si="31"/>
        <v>4.7999999999999996E-3</v>
      </c>
      <c r="X64" s="200"/>
    </row>
    <row r="65" spans="1:24" ht="12.75" customHeight="1">
      <c r="A65" s="2" t="s">
        <v>396</v>
      </c>
      <c r="B65" s="35"/>
      <c r="C65" s="179">
        <v>97.661519999999996</v>
      </c>
      <c r="D65" s="80">
        <f t="shared" si="22"/>
        <v>5.0000000000000001E-4</v>
      </c>
      <c r="E65" s="179">
        <v>106.5</v>
      </c>
      <c r="F65" s="80">
        <f t="shared" si="23"/>
        <v>5.0000000000000001E-4</v>
      </c>
      <c r="G65" s="179">
        <v>108.63000000000001</v>
      </c>
      <c r="H65" s="80">
        <f t="shared" si="24"/>
        <v>5.0000000000000001E-4</v>
      </c>
      <c r="I65" s="179">
        <v>110.80260000000003</v>
      </c>
      <c r="J65" s="80">
        <f t="shared" si="25"/>
        <v>5.0000000000000012E-4</v>
      </c>
      <c r="K65" s="179">
        <v>113.018652</v>
      </c>
      <c r="L65" s="80">
        <f t="shared" si="26"/>
        <v>5.0000000000000001E-4</v>
      </c>
      <c r="M65" s="179">
        <v>115.27902504000002</v>
      </c>
      <c r="N65" s="80">
        <f t="shared" si="27"/>
        <v>5.0000000000000001E-4</v>
      </c>
      <c r="O65" s="179">
        <v>117.58460554080001</v>
      </c>
      <c r="P65" s="80">
        <f t="shared" si="28"/>
        <v>5.0000000000000001E-4</v>
      </c>
      <c r="Q65" s="179">
        <v>119.93629765161602</v>
      </c>
      <c r="R65" s="80">
        <f t="shared" si="29"/>
        <v>5.0000000000000001E-4</v>
      </c>
      <c r="S65" s="179">
        <v>122.33502360464833</v>
      </c>
      <c r="T65" s="80">
        <f t="shared" si="30"/>
        <v>5.0000000000000001E-4</v>
      </c>
      <c r="U65" s="179">
        <v>124.78172407674131</v>
      </c>
      <c r="V65" s="80">
        <f t="shared" si="31"/>
        <v>5.0000000000000001E-4</v>
      </c>
      <c r="X65" s="200"/>
    </row>
    <row r="66" spans="1:24" ht="12.75" customHeight="1">
      <c r="A66" s="2" t="s">
        <v>397</v>
      </c>
      <c r="B66" s="35"/>
      <c r="C66" s="179">
        <v>546.90451199999995</v>
      </c>
      <c r="D66" s="80">
        <f t="shared" si="22"/>
        <v>2.7999999999999995E-3</v>
      </c>
      <c r="E66" s="179">
        <v>596.4</v>
      </c>
      <c r="F66" s="80">
        <f t="shared" si="23"/>
        <v>2.8E-3</v>
      </c>
      <c r="G66" s="179">
        <v>608.32800000000009</v>
      </c>
      <c r="H66" s="80">
        <f t="shared" si="24"/>
        <v>2.8000000000000004E-3</v>
      </c>
      <c r="I66" s="179">
        <v>620.49456000000009</v>
      </c>
      <c r="J66" s="80">
        <f t="shared" si="25"/>
        <v>2.8000000000000004E-3</v>
      </c>
      <c r="K66" s="179">
        <v>632.90445119999993</v>
      </c>
      <c r="L66" s="80">
        <f t="shared" si="26"/>
        <v>2.7999999999999995E-3</v>
      </c>
      <c r="M66" s="179">
        <v>645.56254022400003</v>
      </c>
      <c r="N66" s="80">
        <f t="shared" si="27"/>
        <v>2.8E-3</v>
      </c>
      <c r="O66" s="179">
        <v>658.47379102848004</v>
      </c>
      <c r="P66" s="80">
        <f t="shared" si="28"/>
        <v>2.8E-3</v>
      </c>
      <c r="Q66" s="179">
        <v>671.64326684904961</v>
      </c>
      <c r="R66" s="80">
        <f t="shared" si="29"/>
        <v>2.7999999999999995E-3</v>
      </c>
      <c r="S66" s="179">
        <v>685.07613218603058</v>
      </c>
      <c r="T66" s="80">
        <f t="shared" si="30"/>
        <v>2.7999999999999995E-3</v>
      </c>
      <c r="U66" s="179">
        <v>698.77765482975133</v>
      </c>
      <c r="V66" s="80">
        <f t="shared" si="31"/>
        <v>2.8E-3</v>
      </c>
      <c r="X66" s="200"/>
    </row>
    <row r="67" spans="1:24" ht="12.75" customHeight="1">
      <c r="A67" s="2" t="s">
        <v>398</v>
      </c>
      <c r="B67" s="35"/>
      <c r="C67" s="179">
        <v>2929.8455999999996</v>
      </c>
      <c r="D67" s="80">
        <f t="shared" si="22"/>
        <v>1.4999999999999998E-2</v>
      </c>
      <c r="E67" s="179">
        <v>3195</v>
      </c>
      <c r="F67" s="80">
        <f t="shared" si="23"/>
        <v>1.4999999999999999E-2</v>
      </c>
      <c r="G67" s="179">
        <v>3258.9</v>
      </c>
      <c r="H67" s="80">
        <f t="shared" si="24"/>
        <v>1.5000000000000001E-2</v>
      </c>
      <c r="I67" s="179">
        <v>3324.0780000000004</v>
      </c>
      <c r="J67" s="80">
        <f t="shared" si="25"/>
        <v>1.5000000000000001E-2</v>
      </c>
      <c r="K67" s="179">
        <v>3390.5595600000001</v>
      </c>
      <c r="L67" s="80">
        <f t="shared" si="26"/>
        <v>1.5000000000000001E-2</v>
      </c>
      <c r="M67" s="179">
        <v>3458.3707512000005</v>
      </c>
      <c r="N67" s="80">
        <f t="shared" si="27"/>
        <v>1.5000000000000001E-2</v>
      </c>
      <c r="O67" s="179">
        <v>3527.5381662240002</v>
      </c>
      <c r="P67" s="80">
        <f t="shared" si="28"/>
        <v>1.4999999999999999E-2</v>
      </c>
      <c r="Q67" s="179">
        <v>3598.0889295484803</v>
      </c>
      <c r="R67" s="80">
        <f t="shared" si="29"/>
        <v>1.4999999999999999E-2</v>
      </c>
      <c r="S67" s="179">
        <v>3670.0507081394499</v>
      </c>
      <c r="T67" s="80">
        <f t="shared" si="30"/>
        <v>1.4999999999999999E-2</v>
      </c>
      <c r="U67" s="179">
        <v>3743.4517223022394</v>
      </c>
      <c r="V67" s="80">
        <f t="shared" si="31"/>
        <v>1.5000000000000001E-2</v>
      </c>
      <c r="X67" s="200"/>
    </row>
    <row r="68" spans="1:24" ht="12.75" customHeight="1">
      <c r="A68" s="2" t="s">
        <v>399</v>
      </c>
      <c r="B68" s="35"/>
      <c r="C68" s="179">
        <v>332.04916800000001</v>
      </c>
      <c r="D68" s="80">
        <f t="shared" si="22"/>
        <v>1.6999999999999999E-3</v>
      </c>
      <c r="E68" s="179">
        <v>362.09999999999997</v>
      </c>
      <c r="F68" s="80">
        <f t="shared" si="23"/>
        <v>1.6999999999999999E-3</v>
      </c>
      <c r="G68" s="179">
        <v>369.34199999999998</v>
      </c>
      <c r="H68" s="80">
        <f t="shared" si="24"/>
        <v>1.6999999999999999E-3</v>
      </c>
      <c r="I68" s="179">
        <v>376.72884000000005</v>
      </c>
      <c r="J68" s="80">
        <f t="shared" si="25"/>
        <v>1.7000000000000001E-3</v>
      </c>
      <c r="K68" s="179">
        <v>384.26341679999996</v>
      </c>
      <c r="L68" s="80">
        <f t="shared" si="26"/>
        <v>1.6999999999999997E-3</v>
      </c>
      <c r="M68" s="179">
        <v>391.94868513599999</v>
      </c>
      <c r="N68" s="80">
        <f t="shared" si="27"/>
        <v>1.6999999999999999E-3</v>
      </c>
      <c r="O68" s="179">
        <v>399.78765883872001</v>
      </c>
      <c r="P68" s="80">
        <f t="shared" si="28"/>
        <v>1.6999999999999999E-3</v>
      </c>
      <c r="Q68" s="179">
        <v>407.78341201549443</v>
      </c>
      <c r="R68" s="80">
        <f t="shared" si="29"/>
        <v>1.6999999999999999E-3</v>
      </c>
      <c r="S68" s="179">
        <v>415.9390802558043</v>
      </c>
      <c r="T68" s="80">
        <f t="shared" si="30"/>
        <v>1.6999999999999999E-3</v>
      </c>
      <c r="U68" s="179">
        <v>424.2578618609204</v>
      </c>
      <c r="V68" s="80">
        <f t="shared" si="31"/>
        <v>1.6999999999999999E-3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2"/>
        <v>0</v>
      </c>
      <c r="E69" s="179">
        <v>0</v>
      </c>
      <c r="F69" s="80">
        <f t="shared" si="23"/>
        <v>0</v>
      </c>
      <c r="G69" s="179">
        <v>0</v>
      </c>
      <c r="H69" s="80">
        <f t="shared" si="24"/>
        <v>0</v>
      </c>
      <c r="I69" s="179">
        <v>0</v>
      </c>
      <c r="J69" s="80">
        <f t="shared" si="25"/>
        <v>0</v>
      </c>
      <c r="K69" s="179">
        <v>0</v>
      </c>
      <c r="L69" s="80">
        <f t="shared" si="26"/>
        <v>0</v>
      </c>
      <c r="M69" s="179">
        <v>0</v>
      </c>
      <c r="N69" s="80">
        <f t="shared" si="27"/>
        <v>0</v>
      </c>
      <c r="O69" s="179">
        <v>0</v>
      </c>
      <c r="P69" s="80">
        <f t="shared" si="28"/>
        <v>0</v>
      </c>
      <c r="Q69" s="179">
        <v>0</v>
      </c>
      <c r="R69" s="80">
        <f t="shared" si="29"/>
        <v>0</v>
      </c>
      <c r="S69" s="179">
        <v>0</v>
      </c>
      <c r="T69" s="80">
        <f t="shared" si="30"/>
        <v>0</v>
      </c>
      <c r="U69" s="179">
        <v>0</v>
      </c>
      <c r="V69" s="80">
        <f t="shared" si="31"/>
        <v>0</v>
      </c>
      <c r="X69" s="200"/>
    </row>
    <row r="70" spans="1:24" ht="12.75" customHeight="1">
      <c r="A70" s="2" t="s">
        <v>401</v>
      </c>
      <c r="B70" s="35"/>
      <c r="C70" s="179">
        <v>19.532304000000003</v>
      </c>
      <c r="D70" s="80">
        <f t="shared" si="22"/>
        <v>1.0000000000000002E-4</v>
      </c>
      <c r="E70" s="179">
        <v>21.3</v>
      </c>
      <c r="F70" s="80">
        <f t="shared" si="23"/>
        <v>1E-4</v>
      </c>
      <c r="G70" s="179">
        <v>21.725999999999999</v>
      </c>
      <c r="H70" s="80">
        <f t="shared" si="24"/>
        <v>9.9999999999999991E-5</v>
      </c>
      <c r="I70" s="179">
        <v>22.160520000000005</v>
      </c>
      <c r="J70" s="80">
        <f t="shared" si="25"/>
        <v>1.0000000000000002E-4</v>
      </c>
      <c r="K70" s="179">
        <v>22.6037304</v>
      </c>
      <c r="L70" s="80">
        <f t="shared" si="26"/>
        <v>9.9999999999999991E-5</v>
      </c>
      <c r="M70" s="179">
        <v>23.055805008000004</v>
      </c>
      <c r="N70" s="80">
        <f t="shared" si="27"/>
        <v>1E-4</v>
      </c>
      <c r="O70" s="179">
        <v>23.516921108160005</v>
      </c>
      <c r="P70" s="80">
        <f t="shared" si="28"/>
        <v>1.0000000000000002E-4</v>
      </c>
      <c r="Q70" s="179">
        <v>23.987259530323204</v>
      </c>
      <c r="R70" s="80">
        <f t="shared" si="29"/>
        <v>1E-4</v>
      </c>
      <c r="S70" s="179">
        <v>24.467004720929669</v>
      </c>
      <c r="T70" s="80">
        <f t="shared" si="30"/>
        <v>1E-4</v>
      </c>
      <c r="U70" s="179">
        <v>24.956344815348267</v>
      </c>
      <c r="V70" s="80">
        <f t="shared" si="31"/>
        <v>1.0000000000000003E-4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2"/>
        <v>0</v>
      </c>
      <c r="E71" s="179">
        <v>0</v>
      </c>
      <c r="F71" s="80">
        <f t="shared" si="23"/>
        <v>0</v>
      </c>
      <c r="G71" s="179">
        <v>0</v>
      </c>
      <c r="H71" s="80">
        <f t="shared" si="24"/>
        <v>0</v>
      </c>
      <c r="I71" s="179">
        <v>0</v>
      </c>
      <c r="J71" s="80">
        <f t="shared" si="25"/>
        <v>0</v>
      </c>
      <c r="K71" s="179">
        <v>0</v>
      </c>
      <c r="L71" s="80">
        <f t="shared" si="26"/>
        <v>0</v>
      </c>
      <c r="M71" s="179">
        <v>0</v>
      </c>
      <c r="N71" s="80">
        <f t="shared" si="27"/>
        <v>0</v>
      </c>
      <c r="O71" s="179">
        <v>0</v>
      </c>
      <c r="P71" s="80">
        <f t="shared" si="28"/>
        <v>0</v>
      </c>
      <c r="Q71" s="179">
        <v>0</v>
      </c>
      <c r="R71" s="80">
        <f t="shared" si="29"/>
        <v>0</v>
      </c>
      <c r="S71" s="179">
        <v>0</v>
      </c>
      <c r="T71" s="80">
        <f t="shared" si="30"/>
        <v>0</v>
      </c>
      <c r="U71" s="179">
        <v>0</v>
      </c>
      <c r="V71" s="80">
        <f t="shared" si="31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2"/>
        <v>0</v>
      </c>
      <c r="E72" s="179">
        <v>0</v>
      </c>
      <c r="F72" s="80">
        <f t="shared" si="23"/>
        <v>0</v>
      </c>
      <c r="G72" s="179">
        <v>0</v>
      </c>
      <c r="H72" s="80">
        <f t="shared" si="24"/>
        <v>0</v>
      </c>
      <c r="I72" s="179">
        <v>0</v>
      </c>
      <c r="J72" s="80">
        <f t="shared" si="25"/>
        <v>0</v>
      </c>
      <c r="K72" s="179">
        <v>0</v>
      </c>
      <c r="L72" s="80">
        <f t="shared" si="26"/>
        <v>0</v>
      </c>
      <c r="M72" s="179">
        <v>0</v>
      </c>
      <c r="N72" s="80">
        <f t="shared" si="27"/>
        <v>0</v>
      </c>
      <c r="O72" s="179">
        <v>0</v>
      </c>
      <c r="P72" s="80">
        <f t="shared" si="28"/>
        <v>0</v>
      </c>
      <c r="Q72" s="179">
        <v>0</v>
      </c>
      <c r="R72" s="80">
        <f t="shared" si="29"/>
        <v>0</v>
      </c>
      <c r="S72" s="179">
        <v>0</v>
      </c>
      <c r="T72" s="80">
        <f t="shared" si="30"/>
        <v>0</v>
      </c>
      <c r="U72" s="179">
        <v>0</v>
      </c>
      <c r="V72" s="80">
        <f t="shared" si="31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2"/>
        <v>0</v>
      </c>
      <c r="E73" s="179">
        <v>0</v>
      </c>
      <c r="F73" s="80">
        <f t="shared" si="23"/>
        <v>0</v>
      </c>
      <c r="G73" s="179">
        <v>0</v>
      </c>
      <c r="H73" s="80">
        <f t="shared" si="24"/>
        <v>0</v>
      </c>
      <c r="I73" s="179">
        <v>0</v>
      </c>
      <c r="J73" s="80">
        <f t="shared" si="25"/>
        <v>0</v>
      </c>
      <c r="K73" s="179">
        <v>0</v>
      </c>
      <c r="L73" s="80">
        <f t="shared" si="26"/>
        <v>0</v>
      </c>
      <c r="M73" s="179">
        <v>0</v>
      </c>
      <c r="N73" s="80">
        <f t="shared" si="27"/>
        <v>0</v>
      </c>
      <c r="O73" s="179">
        <v>0</v>
      </c>
      <c r="P73" s="80">
        <f t="shared" si="28"/>
        <v>0</v>
      </c>
      <c r="Q73" s="179">
        <v>0</v>
      </c>
      <c r="R73" s="80">
        <f t="shared" si="29"/>
        <v>0</v>
      </c>
      <c r="S73" s="179">
        <v>0</v>
      </c>
      <c r="T73" s="80">
        <f t="shared" si="30"/>
        <v>0</v>
      </c>
      <c r="U73" s="179">
        <v>0</v>
      </c>
      <c r="V73" s="80">
        <f t="shared" si="31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2"/>
        <v>0</v>
      </c>
      <c r="E74" s="179">
        <v>0</v>
      </c>
      <c r="F74" s="80">
        <f t="shared" si="23"/>
        <v>0</v>
      </c>
      <c r="G74" s="179">
        <v>0</v>
      </c>
      <c r="H74" s="80">
        <f t="shared" si="24"/>
        <v>0</v>
      </c>
      <c r="I74" s="179">
        <v>0</v>
      </c>
      <c r="J74" s="80">
        <f t="shared" si="25"/>
        <v>0</v>
      </c>
      <c r="K74" s="179">
        <v>0</v>
      </c>
      <c r="L74" s="80">
        <f t="shared" si="26"/>
        <v>0</v>
      </c>
      <c r="M74" s="179">
        <v>0</v>
      </c>
      <c r="N74" s="80">
        <f t="shared" si="27"/>
        <v>0</v>
      </c>
      <c r="O74" s="179">
        <v>0</v>
      </c>
      <c r="P74" s="80">
        <f t="shared" si="28"/>
        <v>0</v>
      </c>
      <c r="Q74" s="179">
        <v>0</v>
      </c>
      <c r="R74" s="80">
        <f t="shared" si="29"/>
        <v>0</v>
      </c>
      <c r="S74" s="179">
        <v>0</v>
      </c>
      <c r="T74" s="80">
        <f t="shared" si="30"/>
        <v>0</v>
      </c>
      <c r="U74" s="179">
        <v>0</v>
      </c>
      <c r="V74" s="80">
        <f t="shared" si="31"/>
        <v>0</v>
      </c>
      <c r="X74" s="200"/>
    </row>
    <row r="75" spans="1:24" ht="12.75" customHeight="1">
      <c r="A75" s="2" t="s">
        <v>406</v>
      </c>
      <c r="B75" s="35"/>
      <c r="C75" s="179">
        <v>976.61520000000007</v>
      </c>
      <c r="D75" s="80">
        <f t="shared" si="22"/>
        <v>5.0000000000000001E-3</v>
      </c>
      <c r="E75" s="179">
        <v>1065</v>
      </c>
      <c r="F75" s="80">
        <f t="shared" si="23"/>
        <v>5.0000000000000001E-3</v>
      </c>
      <c r="G75" s="179">
        <v>1086.3</v>
      </c>
      <c r="H75" s="80">
        <f t="shared" si="24"/>
        <v>5.0000000000000001E-3</v>
      </c>
      <c r="I75" s="179">
        <v>1108.0260000000003</v>
      </c>
      <c r="J75" s="80">
        <f t="shared" si="25"/>
        <v>5.000000000000001E-3</v>
      </c>
      <c r="K75" s="179">
        <v>1130.1865200000002</v>
      </c>
      <c r="L75" s="80">
        <f t="shared" si="26"/>
        <v>5.000000000000001E-3</v>
      </c>
      <c r="M75" s="179">
        <v>1152.7902504000001</v>
      </c>
      <c r="N75" s="80">
        <f t="shared" si="27"/>
        <v>5.0000000000000001E-3</v>
      </c>
      <c r="O75" s="179">
        <v>1175.8460554080002</v>
      </c>
      <c r="P75" s="80">
        <f t="shared" si="28"/>
        <v>5.0000000000000001E-3</v>
      </c>
      <c r="Q75" s="179">
        <v>1199.3629765161602</v>
      </c>
      <c r="R75" s="80">
        <f t="shared" si="29"/>
        <v>5.0000000000000001E-3</v>
      </c>
      <c r="S75" s="179">
        <v>1223.3502360464834</v>
      </c>
      <c r="T75" s="80">
        <f t="shared" si="30"/>
        <v>5.0000000000000001E-3</v>
      </c>
      <c r="U75" s="179">
        <v>1247.8172407674131</v>
      </c>
      <c r="V75" s="80">
        <f t="shared" si="31"/>
        <v>5.0000000000000001E-3</v>
      </c>
      <c r="X75" s="200"/>
    </row>
    <row r="76" spans="1:24" ht="12.75" customHeight="1">
      <c r="A76" s="2" t="s">
        <v>407</v>
      </c>
      <c r="B76" s="35"/>
      <c r="C76" s="179">
        <v>78.129216000000014</v>
      </c>
      <c r="D76" s="80">
        <f t="shared" si="22"/>
        <v>4.0000000000000007E-4</v>
      </c>
      <c r="E76" s="179">
        <v>85.2</v>
      </c>
      <c r="F76" s="80">
        <f t="shared" si="23"/>
        <v>4.0000000000000002E-4</v>
      </c>
      <c r="G76" s="179">
        <v>86.903999999999996</v>
      </c>
      <c r="H76" s="80">
        <f t="shared" si="24"/>
        <v>3.9999999999999996E-4</v>
      </c>
      <c r="I76" s="179">
        <v>88.642080000000021</v>
      </c>
      <c r="J76" s="80">
        <f t="shared" si="25"/>
        <v>4.0000000000000007E-4</v>
      </c>
      <c r="K76" s="179">
        <v>90.4149216</v>
      </c>
      <c r="L76" s="80">
        <f t="shared" si="26"/>
        <v>3.9999999999999996E-4</v>
      </c>
      <c r="M76" s="179">
        <v>92.223220032000015</v>
      </c>
      <c r="N76" s="80">
        <f t="shared" si="27"/>
        <v>4.0000000000000002E-4</v>
      </c>
      <c r="O76" s="179">
        <v>94.067684432640021</v>
      </c>
      <c r="P76" s="80">
        <f t="shared" si="28"/>
        <v>4.0000000000000007E-4</v>
      </c>
      <c r="Q76" s="179">
        <v>95.949038121292816</v>
      </c>
      <c r="R76" s="80">
        <f t="shared" si="29"/>
        <v>4.0000000000000002E-4</v>
      </c>
      <c r="S76" s="179">
        <v>97.868018883718676</v>
      </c>
      <c r="T76" s="80">
        <f t="shared" si="30"/>
        <v>4.0000000000000002E-4</v>
      </c>
      <c r="U76" s="179">
        <v>99.825379261393067</v>
      </c>
      <c r="V76" s="80">
        <f t="shared" si="31"/>
        <v>4.0000000000000013E-4</v>
      </c>
      <c r="X76" s="200"/>
    </row>
    <row r="77" spans="1:24" ht="12.75" customHeight="1">
      <c r="A77" s="2" t="s">
        <v>408</v>
      </c>
      <c r="B77" s="35"/>
      <c r="C77" s="179">
        <v>253.91995199999999</v>
      </c>
      <c r="D77" s="80">
        <f t="shared" si="22"/>
        <v>1.2999999999999999E-3</v>
      </c>
      <c r="E77" s="179">
        <v>276.89999999999998</v>
      </c>
      <c r="F77" s="80">
        <f t="shared" si="23"/>
        <v>1.2999999999999999E-3</v>
      </c>
      <c r="G77" s="179">
        <v>282.43799999999999</v>
      </c>
      <c r="H77" s="80">
        <f t="shared" si="24"/>
        <v>1.2999999999999999E-3</v>
      </c>
      <c r="I77" s="179">
        <v>288.08676000000003</v>
      </c>
      <c r="J77" s="80">
        <f t="shared" si="25"/>
        <v>1.3000000000000002E-3</v>
      </c>
      <c r="K77" s="179">
        <v>293.84849519999995</v>
      </c>
      <c r="L77" s="80">
        <f t="shared" si="26"/>
        <v>1.2999999999999997E-3</v>
      </c>
      <c r="M77" s="179">
        <v>299.72546510400002</v>
      </c>
      <c r="N77" s="80">
        <f t="shared" si="27"/>
        <v>1.2999999999999999E-3</v>
      </c>
      <c r="O77" s="179">
        <v>305.71997440607998</v>
      </c>
      <c r="P77" s="80">
        <f t="shared" si="28"/>
        <v>1.2999999999999997E-3</v>
      </c>
      <c r="Q77" s="179">
        <v>311.83437389420163</v>
      </c>
      <c r="R77" s="80">
        <f t="shared" si="29"/>
        <v>1.2999999999999999E-3</v>
      </c>
      <c r="S77" s="179">
        <v>318.07106137208564</v>
      </c>
      <c r="T77" s="80">
        <f t="shared" si="30"/>
        <v>1.2999999999999999E-3</v>
      </c>
      <c r="U77" s="179">
        <v>324.43248259952742</v>
      </c>
      <c r="V77" s="80">
        <f t="shared" si="31"/>
        <v>1.3000000000000002E-3</v>
      </c>
      <c r="X77" s="200"/>
    </row>
    <row r="78" spans="1:24" ht="12.75" customHeight="1">
      <c r="A78" s="2" t="s">
        <v>409</v>
      </c>
      <c r="B78" s="35"/>
      <c r="C78" s="179">
        <v>4297.1068799999994</v>
      </c>
      <c r="D78" s="80">
        <f t="shared" si="22"/>
        <v>2.1999999999999995E-2</v>
      </c>
      <c r="E78" s="179">
        <v>4686</v>
      </c>
      <c r="F78" s="80">
        <f t="shared" si="23"/>
        <v>2.1999999999999999E-2</v>
      </c>
      <c r="G78" s="179">
        <v>4779.7199999999993</v>
      </c>
      <c r="H78" s="80">
        <f t="shared" si="24"/>
        <v>2.1999999999999995E-2</v>
      </c>
      <c r="I78" s="179">
        <v>4875.3144000000002</v>
      </c>
      <c r="J78" s="80">
        <f t="shared" si="25"/>
        <v>2.1999999999999999E-2</v>
      </c>
      <c r="K78" s="179">
        <v>4972.8206879999998</v>
      </c>
      <c r="L78" s="80">
        <f t="shared" si="26"/>
        <v>2.1999999999999999E-2</v>
      </c>
      <c r="M78" s="179">
        <v>5072.2771017600007</v>
      </c>
      <c r="N78" s="80">
        <f t="shared" si="27"/>
        <v>2.2000000000000002E-2</v>
      </c>
      <c r="O78" s="179">
        <v>5173.7226437952004</v>
      </c>
      <c r="P78" s="80">
        <f t="shared" si="28"/>
        <v>2.1999999999999999E-2</v>
      </c>
      <c r="Q78" s="179">
        <v>5277.1970966711042</v>
      </c>
      <c r="R78" s="80">
        <f t="shared" si="29"/>
        <v>2.1999999999999999E-2</v>
      </c>
      <c r="S78" s="179">
        <v>5382.7410386045258</v>
      </c>
      <c r="T78" s="80">
        <f t="shared" si="30"/>
        <v>2.1999999999999995E-2</v>
      </c>
      <c r="U78" s="179">
        <v>5490.3958593766183</v>
      </c>
      <c r="V78" s="80">
        <f t="shared" si="31"/>
        <v>2.2000000000000006E-2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2"/>
        <v>0</v>
      </c>
      <c r="E79" s="179">
        <v>0</v>
      </c>
      <c r="F79" s="80">
        <f t="shared" si="23"/>
        <v>0</v>
      </c>
      <c r="G79" s="179">
        <v>0</v>
      </c>
      <c r="H79" s="80">
        <f t="shared" si="24"/>
        <v>0</v>
      </c>
      <c r="I79" s="179">
        <v>0</v>
      </c>
      <c r="J79" s="80">
        <f t="shared" si="25"/>
        <v>0</v>
      </c>
      <c r="K79" s="179">
        <v>0</v>
      </c>
      <c r="L79" s="80">
        <f t="shared" si="26"/>
        <v>0</v>
      </c>
      <c r="M79" s="179">
        <v>0</v>
      </c>
      <c r="N79" s="80">
        <f t="shared" si="27"/>
        <v>0</v>
      </c>
      <c r="O79" s="179">
        <v>0</v>
      </c>
      <c r="P79" s="80">
        <f t="shared" si="28"/>
        <v>0</v>
      </c>
      <c r="Q79" s="179">
        <v>0</v>
      </c>
      <c r="R79" s="80">
        <f t="shared" si="29"/>
        <v>0</v>
      </c>
      <c r="S79" s="179">
        <v>0</v>
      </c>
      <c r="T79" s="80">
        <f t="shared" si="30"/>
        <v>0</v>
      </c>
      <c r="U79" s="179">
        <v>0</v>
      </c>
      <c r="V79" s="80">
        <f t="shared" si="31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2"/>
        <v>0</v>
      </c>
      <c r="E80" s="179">
        <v>0</v>
      </c>
      <c r="F80" s="80">
        <f t="shared" si="23"/>
        <v>0</v>
      </c>
      <c r="G80" s="179">
        <v>0</v>
      </c>
      <c r="H80" s="80">
        <f t="shared" si="24"/>
        <v>0</v>
      </c>
      <c r="I80" s="179">
        <v>0</v>
      </c>
      <c r="J80" s="80">
        <f t="shared" si="25"/>
        <v>0</v>
      </c>
      <c r="K80" s="179">
        <v>0</v>
      </c>
      <c r="L80" s="80">
        <f t="shared" si="26"/>
        <v>0</v>
      </c>
      <c r="M80" s="179">
        <v>0</v>
      </c>
      <c r="N80" s="80">
        <f t="shared" si="27"/>
        <v>0</v>
      </c>
      <c r="O80" s="179">
        <v>0</v>
      </c>
      <c r="P80" s="80">
        <f t="shared" si="28"/>
        <v>0</v>
      </c>
      <c r="Q80" s="179">
        <v>0</v>
      </c>
      <c r="R80" s="80">
        <f t="shared" si="29"/>
        <v>0</v>
      </c>
      <c r="S80" s="179">
        <v>0</v>
      </c>
      <c r="T80" s="80">
        <f t="shared" si="30"/>
        <v>0</v>
      </c>
      <c r="U80" s="179">
        <v>0</v>
      </c>
      <c r="V80" s="80">
        <f t="shared" si="31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2"/>
        <v>0</v>
      </c>
      <c r="E81" s="179">
        <v>0</v>
      </c>
      <c r="F81" s="80">
        <f t="shared" si="23"/>
        <v>0</v>
      </c>
      <c r="G81" s="179">
        <v>0</v>
      </c>
      <c r="H81" s="80">
        <f t="shared" si="24"/>
        <v>0</v>
      </c>
      <c r="I81" s="179">
        <v>0</v>
      </c>
      <c r="J81" s="80">
        <f t="shared" si="25"/>
        <v>0</v>
      </c>
      <c r="K81" s="179">
        <v>0</v>
      </c>
      <c r="L81" s="80">
        <f t="shared" si="26"/>
        <v>0</v>
      </c>
      <c r="M81" s="179">
        <v>0</v>
      </c>
      <c r="N81" s="80">
        <f t="shared" si="27"/>
        <v>0</v>
      </c>
      <c r="O81" s="179">
        <v>0</v>
      </c>
      <c r="P81" s="80">
        <f t="shared" si="28"/>
        <v>0</v>
      </c>
      <c r="Q81" s="179">
        <v>0</v>
      </c>
      <c r="R81" s="80">
        <f t="shared" si="29"/>
        <v>0</v>
      </c>
      <c r="S81" s="179">
        <v>0</v>
      </c>
      <c r="T81" s="80">
        <f t="shared" si="30"/>
        <v>0</v>
      </c>
      <c r="U81" s="179">
        <v>0</v>
      </c>
      <c r="V81" s="80">
        <f t="shared" si="31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2"/>
        <v>0</v>
      </c>
      <c r="E82" s="179">
        <v>0</v>
      </c>
      <c r="F82" s="80">
        <f t="shared" si="23"/>
        <v>0</v>
      </c>
      <c r="G82" s="179">
        <v>0</v>
      </c>
      <c r="H82" s="80">
        <f t="shared" si="24"/>
        <v>0</v>
      </c>
      <c r="I82" s="179">
        <v>0</v>
      </c>
      <c r="J82" s="80">
        <f t="shared" si="25"/>
        <v>0</v>
      </c>
      <c r="K82" s="179">
        <v>0</v>
      </c>
      <c r="L82" s="80">
        <f t="shared" si="26"/>
        <v>0</v>
      </c>
      <c r="M82" s="179">
        <v>0</v>
      </c>
      <c r="N82" s="80">
        <f t="shared" si="27"/>
        <v>0</v>
      </c>
      <c r="O82" s="179">
        <v>0</v>
      </c>
      <c r="P82" s="80">
        <f t="shared" si="28"/>
        <v>0</v>
      </c>
      <c r="Q82" s="179">
        <v>0</v>
      </c>
      <c r="R82" s="80">
        <f t="shared" si="29"/>
        <v>0</v>
      </c>
      <c r="S82" s="179">
        <v>0</v>
      </c>
      <c r="T82" s="80">
        <f t="shared" si="30"/>
        <v>0</v>
      </c>
      <c r="U82" s="179">
        <v>0</v>
      </c>
      <c r="V82" s="80">
        <f t="shared" si="31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2"/>
        <v>0</v>
      </c>
      <c r="E83" s="179">
        <v>0</v>
      </c>
      <c r="F83" s="80">
        <f t="shared" si="23"/>
        <v>0</v>
      </c>
      <c r="G83" s="179">
        <v>0</v>
      </c>
      <c r="H83" s="80">
        <f t="shared" si="24"/>
        <v>0</v>
      </c>
      <c r="I83" s="179">
        <v>0</v>
      </c>
      <c r="J83" s="80">
        <f t="shared" si="25"/>
        <v>0</v>
      </c>
      <c r="K83" s="179">
        <v>0</v>
      </c>
      <c r="L83" s="80">
        <f t="shared" si="26"/>
        <v>0</v>
      </c>
      <c r="M83" s="179">
        <v>0</v>
      </c>
      <c r="N83" s="80">
        <f t="shared" si="27"/>
        <v>0</v>
      </c>
      <c r="O83" s="179">
        <v>0</v>
      </c>
      <c r="P83" s="80">
        <f t="shared" si="28"/>
        <v>0</v>
      </c>
      <c r="Q83" s="179">
        <v>0</v>
      </c>
      <c r="R83" s="80">
        <f t="shared" si="29"/>
        <v>0</v>
      </c>
      <c r="S83" s="179">
        <v>0</v>
      </c>
      <c r="T83" s="80">
        <f t="shared" si="30"/>
        <v>0</v>
      </c>
      <c r="U83" s="179">
        <v>0</v>
      </c>
      <c r="V83" s="80">
        <f t="shared" si="31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ref="D84:D105" si="32">IFERROR(C84/C$28,0)</f>
        <v>0</v>
      </c>
      <c r="E84" s="179">
        <v>0</v>
      </c>
      <c r="F84" s="80">
        <f t="shared" si="23"/>
        <v>0</v>
      </c>
      <c r="G84" s="179">
        <v>0</v>
      </c>
      <c r="H84" s="80">
        <f t="shared" si="24"/>
        <v>0</v>
      </c>
      <c r="I84" s="179">
        <v>0</v>
      </c>
      <c r="J84" s="80">
        <f t="shared" si="25"/>
        <v>0</v>
      </c>
      <c r="K84" s="179">
        <v>0</v>
      </c>
      <c r="L84" s="80">
        <f t="shared" si="26"/>
        <v>0</v>
      </c>
      <c r="M84" s="179">
        <v>0</v>
      </c>
      <c r="N84" s="80">
        <f t="shared" si="27"/>
        <v>0</v>
      </c>
      <c r="O84" s="179">
        <v>0</v>
      </c>
      <c r="P84" s="80">
        <f t="shared" si="28"/>
        <v>0</v>
      </c>
      <c r="Q84" s="179">
        <v>0</v>
      </c>
      <c r="R84" s="80">
        <f t="shared" si="29"/>
        <v>0</v>
      </c>
      <c r="S84" s="179">
        <v>0</v>
      </c>
      <c r="T84" s="80">
        <f t="shared" si="30"/>
        <v>0</v>
      </c>
      <c r="U84" s="179">
        <v>0</v>
      </c>
      <c r="V84" s="80">
        <f t="shared" si="31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32"/>
        <v>0</v>
      </c>
      <c r="E85" s="179">
        <v>0</v>
      </c>
      <c r="F85" s="80">
        <f t="shared" si="23"/>
        <v>0</v>
      </c>
      <c r="G85" s="179">
        <v>0</v>
      </c>
      <c r="H85" s="80">
        <f t="shared" si="24"/>
        <v>0</v>
      </c>
      <c r="I85" s="179">
        <v>0</v>
      </c>
      <c r="J85" s="80">
        <f t="shared" si="25"/>
        <v>0</v>
      </c>
      <c r="K85" s="179">
        <v>0</v>
      </c>
      <c r="L85" s="80">
        <f t="shared" si="26"/>
        <v>0</v>
      </c>
      <c r="M85" s="179">
        <v>0</v>
      </c>
      <c r="N85" s="80">
        <f t="shared" si="27"/>
        <v>0</v>
      </c>
      <c r="O85" s="179">
        <v>0</v>
      </c>
      <c r="P85" s="80">
        <f t="shared" si="28"/>
        <v>0</v>
      </c>
      <c r="Q85" s="179">
        <v>0</v>
      </c>
      <c r="R85" s="80">
        <f t="shared" si="29"/>
        <v>0</v>
      </c>
      <c r="S85" s="179">
        <v>0</v>
      </c>
      <c r="T85" s="80">
        <f t="shared" si="30"/>
        <v>0</v>
      </c>
      <c r="U85" s="179">
        <v>0</v>
      </c>
      <c r="V85" s="80">
        <f t="shared" si="31"/>
        <v>0</v>
      </c>
      <c r="X85" s="200"/>
    </row>
    <row r="86" spans="1:24" ht="12.75" customHeight="1">
      <c r="A86" s="2" t="s">
        <v>417</v>
      </c>
      <c r="B86" s="35"/>
      <c r="C86" s="179">
        <v>781.29215999999997</v>
      </c>
      <c r="D86" s="80">
        <f t="shared" si="32"/>
        <v>4.0000000000000001E-3</v>
      </c>
      <c r="E86" s="179">
        <v>852</v>
      </c>
      <c r="F86" s="80">
        <f t="shared" si="23"/>
        <v>4.0000000000000001E-3</v>
      </c>
      <c r="G86" s="179">
        <v>869.04000000000008</v>
      </c>
      <c r="H86" s="80">
        <f t="shared" si="24"/>
        <v>4.0000000000000001E-3</v>
      </c>
      <c r="I86" s="179">
        <v>886.42080000000021</v>
      </c>
      <c r="J86" s="80">
        <f t="shared" si="25"/>
        <v>4.000000000000001E-3</v>
      </c>
      <c r="K86" s="179">
        <v>904.14921600000002</v>
      </c>
      <c r="L86" s="80">
        <f t="shared" si="26"/>
        <v>4.0000000000000001E-3</v>
      </c>
      <c r="M86" s="179">
        <v>922.23220032000017</v>
      </c>
      <c r="N86" s="80">
        <f t="shared" si="27"/>
        <v>4.0000000000000001E-3</v>
      </c>
      <c r="O86" s="179">
        <v>940.6768443264001</v>
      </c>
      <c r="P86" s="80">
        <f t="shared" si="28"/>
        <v>4.0000000000000001E-3</v>
      </c>
      <c r="Q86" s="179">
        <v>959.49038121292813</v>
      </c>
      <c r="R86" s="80">
        <f t="shared" si="29"/>
        <v>4.0000000000000001E-3</v>
      </c>
      <c r="S86" s="179">
        <v>978.68018883718662</v>
      </c>
      <c r="T86" s="80">
        <f t="shared" si="30"/>
        <v>4.0000000000000001E-3</v>
      </c>
      <c r="U86" s="179">
        <v>998.2537926139305</v>
      </c>
      <c r="V86" s="80">
        <f t="shared" si="31"/>
        <v>4.0000000000000001E-3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32"/>
        <v>0</v>
      </c>
      <c r="E87" s="179">
        <v>0</v>
      </c>
      <c r="F87" s="80">
        <f t="shared" si="23"/>
        <v>0</v>
      </c>
      <c r="G87" s="179">
        <v>0</v>
      </c>
      <c r="H87" s="80">
        <f t="shared" si="24"/>
        <v>0</v>
      </c>
      <c r="I87" s="179">
        <v>0</v>
      </c>
      <c r="J87" s="80">
        <f t="shared" si="25"/>
        <v>0</v>
      </c>
      <c r="K87" s="179">
        <v>0</v>
      </c>
      <c r="L87" s="80">
        <f t="shared" si="26"/>
        <v>0</v>
      </c>
      <c r="M87" s="179">
        <v>0</v>
      </c>
      <c r="N87" s="80">
        <f t="shared" si="27"/>
        <v>0</v>
      </c>
      <c r="O87" s="179">
        <v>0</v>
      </c>
      <c r="P87" s="80">
        <f t="shared" si="28"/>
        <v>0</v>
      </c>
      <c r="Q87" s="179">
        <v>0</v>
      </c>
      <c r="R87" s="80">
        <f t="shared" si="29"/>
        <v>0</v>
      </c>
      <c r="S87" s="179">
        <v>0</v>
      </c>
      <c r="T87" s="80">
        <f t="shared" si="30"/>
        <v>0</v>
      </c>
      <c r="U87" s="179">
        <v>0</v>
      </c>
      <c r="V87" s="80">
        <f t="shared" si="31"/>
        <v>0</v>
      </c>
      <c r="X87" s="200"/>
    </row>
    <row r="88" spans="1:24" ht="12.75" customHeight="1">
      <c r="A88" s="2" t="s">
        <v>419</v>
      </c>
      <c r="B88" s="35"/>
      <c r="C88" s="179">
        <v>996.14750400000014</v>
      </c>
      <c r="D88" s="80">
        <f t="shared" si="32"/>
        <v>5.1000000000000004E-3</v>
      </c>
      <c r="E88" s="179">
        <v>1086.3</v>
      </c>
      <c r="F88" s="80">
        <f t="shared" si="23"/>
        <v>5.0999999999999995E-3</v>
      </c>
      <c r="G88" s="179">
        <v>1108.0260000000001</v>
      </c>
      <c r="H88" s="80">
        <f t="shared" si="24"/>
        <v>5.1000000000000004E-3</v>
      </c>
      <c r="I88" s="179">
        <v>1130.1865200000002</v>
      </c>
      <c r="J88" s="80">
        <f t="shared" si="25"/>
        <v>5.1000000000000004E-3</v>
      </c>
      <c r="K88" s="179">
        <v>1152.7902504000001</v>
      </c>
      <c r="L88" s="80">
        <f t="shared" si="26"/>
        <v>5.1000000000000004E-3</v>
      </c>
      <c r="M88" s="179">
        <v>1175.8460554080002</v>
      </c>
      <c r="N88" s="80">
        <f t="shared" si="27"/>
        <v>5.1000000000000004E-3</v>
      </c>
      <c r="O88" s="179">
        <v>1199.3629765161602</v>
      </c>
      <c r="P88" s="80">
        <f t="shared" si="28"/>
        <v>5.1000000000000004E-3</v>
      </c>
      <c r="Q88" s="179">
        <v>1223.3502360464834</v>
      </c>
      <c r="R88" s="80">
        <f t="shared" si="29"/>
        <v>5.1000000000000004E-3</v>
      </c>
      <c r="S88" s="179">
        <v>1247.8172407674131</v>
      </c>
      <c r="T88" s="80">
        <f t="shared" si="30"/>
        <v>5.1000000000000004E-3</v>
      </c>
      <c r="U88" s="179">
        <v>1272.7735855827616</v>
      </c>
      <c r="V88" s="80">
        <f t="shared" si="31"/>
        <v>5.1000000000000012E-3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32"/>
        <v>0</v>
      </c>
      <c r="E89" s="179">
        <v>0</v>
      </c>
      <c r="F89" s="80">
        <f t="shared" si="23"/>
        <v>0</v>
      </c>
      <c r="G89" s="179">
        <v>0</v>
      </c>
      <c r="H89" s="80">
        <f t="shared" si="24"/>
        <v>0</v>
      </c>
      <c r="I89" s="179">
        <v>0</v>
      </c>
      <c r="J89" s="80">
        <f t="shared" si="25"/>
        <v>0</v>
      </c>
      <c r="K89" s="179">
        <v>0</v>
      </c>
      <c r="L89" s="80">
        <f t="shared" si="26"/>
        <v>0</v>
      </c>
      <c r="M89" s="179">
        <v>0</v>
      </c>
      <c r="N89" s="80">
        <f t="shared" si="27"/>
        <v>0</v>
      </c>
      <c r="O89" s="179">
        <v>0</v>
      </c>
      <c r="P89" s="80">
        <f t="shared" si="28"/>
        <v>0</v>
      </c>
      <c r="Q89" s="179">
        <v>0</v>
      </c>
      <c r="R89" s="80">
        <f t="shared" si="29"/>
        <v>0</v>
      </c>
      <c r="S89" s="179">
        <v>0</v>
      </c>
      <c r="T89" s="80">
        <f t="shared" si="30"/>
        <v>0</v>
      </c>
      <c r="U89" s="179">
        <v>0</v>
      </c>
      <c r="V89" s="80">
        <f t="shared" si="31"/>
        <v>0</v>
      </c>
      <c r="X89" s="200"/>
    </row>
    <row r="90" spans="1:24" ht="12.75" customHeight="1">
      <c r="A90" s="2" t="s">
        <v>421</v>
      </c>
      <c r="B90" s="35"/>
      <c r="C90" s="179">
        <v>39.064608000000007</v>
      </c>
      <c r="D90" s="80">
        <f t="shared" si="32"/>
        <v>2.0000000000000004E-4</v>
      </c>
      <c r="E90" s="179">
        <v>42.6</v>
      </c>
      <c r="F90" s="80">
        <f t="shared" si="23"/>
        <v>2.0000000000000001E-4</v>
      </c>
      <c r="G90" s="179">
        <v>43.451999999999998</v>
      </c>
      <c r="H90" s="80">
        <f t="shared" si="24"/>
        <v>1.9999999999999998E-4</v>
      </c>
      <c r="I90" s="179">
        <v>44.321040000000011</v>
      </c>
      <c r="J90" s="80">
        <f t="shared" si="25"/>
        <v>2.0000000000000004E-4</v>
      </c>
      <c r="K90" s="179">
        <v>45.2074608</v>
      </c>
      <c r="L90" s="80">
        <f t="shared" si="26"/>
        <v>1.9999999999999998E-4</v>
      </c>
      <c r="M90" s="179">
        <v>46.111610016000007</v>
      </c>
      <c r="N90" s="80">
        <f t="shared" si="27"/>
        <v>2.0000000000000001E-4</v>
      </c>
      <c r="O90" s="179">
        <v>47.033842216320011</v>
      </c>
      <c r="P90" s="80">
        <f t="shared" si="28"/>
        <v>2.0000000000000004E-4</v>
      </c>
      <c r="Q90" s="179">
        <v>47.974519060646408</v>
      </c>
      <c r="R90" s="80">
        <f t="shared" si="29"/>
        <v>2.0000000000000001E-4</v>
      </c>
      <c r="S90" s="179">
        <v>48.934009441859338</v>
      </c>
      <c r="T90" s="80">
        <f t="shared" si="30"/>
        <v>2.0000000000000001E-4</v>
      </c>
      <c r="U90" s="179">
        <v>49.912689630696534</v>
      </c>
      <c r="V90" s="80">
        <f t="shared" si="31"/>
        <v>2.0000000000000006E-4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32"/>
        <v>0</v>
      </c>
      <c r="E91" s="179">
        <v>0</v>
      </c>
      <c r="F91" s="80">
        <f t="shared" si="23"/>
        <v>0</v>
      </c>
      <c r="G91" s="179">
        <v>0</v>
      </c>
      <c r="H91" s="80">
        <f t="shared" si="24"/>
        <v>0</v>
      </c>
      <c r="I91" s="179">
        <v>0</v>
      </c>
      <c r="J91" s="80">
        <f t="shared" si="25"/>
        <v>0</v>
      </c>
      <c r="K91" s="179">
        <v>0</v>
      </c>
      <c r="L91" s="80">
        <f t="shared" si="26"/>
        <v>0</v>
      </c>
      <c r="M91" s="179">
        <v>0</v>
      </c>
      <c r="N91" s="80">
        <f t="shared" si="27"/>
        <v>0</v>
      </c>
      <c r="O91" s="179">
        <v>0</v>
      </c>
      <c r="P91" s="80">
        <f t="shared" si="28"/>
        <v>0</v>
      </c>
      <c r="Q91" s="179">
        <v>0</v>
      </c>
      <c r="R91" s="80">
        <f t="shared" si="29"/>
        <v>0</v>
      </c>
      <c r="S91" s="179">
        <v>0</v>
      </c>
      <c r="T91" s="80">
        <f t="shared" si="30"/>
        <v>0</v>
      </c>
      <c r="U91" s="179">
        <v>0</v>
      </c>
      <c r="V91" s="80">
        <f t="shared" si="31"/>
        <v>0</v>
      </c>
      <c r="X91" s="200"/>
    </row>
    <row r="92" spans="1:24" ht="12.75" customHeight="1">
      <c r="A92" s="2" t="s">
        <v>423</v>
      </c>
      <c r="B92" s="35"/>
      <c r="C92" s="179">
        <v>1015.679808</v>
      </c>
      <c r="D92" s="80">
        <f t="shared" si="32"/>
        <v>5.1999999999999998E-3</v>
      </c>
      <c r="E92" s="179">
        <v>1107.5999999999999</v>
      </c>
      <c r="F92" s="80">
        <f t="shared" si="23"/>
        <v>5.1999999999999998E-3</v>
      </c>
      <c r="G92" s="179">
        <v>1129.752</v>
      </c>
      <c r="H92" s="80">
        <f t="shared" si="24"/>
        <v>5.1999999999999998E-3</v>
      </c>
      <c r="I92" s="179">
        <v>1152.3470400000001</v>
      </c>
      <c r="J92" s="80">
        <f t="shared" si="25"/>
        <v>5.2000000000000006E-3</v>
      </c>
      <c r="K92" s="179">
        <v>1175.3939807999998</v>
      </c>
      <c r="L92" s="80">
        <f t="shared" si="26"/>
        <v>5.1999999999999989E-3</v>
      </c>
      <c r="M92" s="179">
        <v>1198.9018604160001</v>
      </c>
      <c r="N92" s="80">
        <f t="shared" si="27"/>
        <v>5.1999999999999998E-3</v>
      </c>
      <c r="O92" s="179">
        <v>1222.8798976243199</v>
      </c>
      <c r="P92" s="80">
        <f t="shared" si="28"/>
        <v>5.1999999999999989E-3</v>
      </c>
      <c r="Q92" s="179">
        <v>1247.3374955768065</v>
      </c>
      <c r="R92" s="80">
        <f t="shared" si="29"/>
        <v>5.1999999999999998E-3</v>
      </c>
      <c r="S92" s="179">
        <v>1272.2842454883425</v>
      </c>
      <c r="T92" s="80">
        <f t="shared" si="30"/>
        <v>5.1999999999999998E-3</v>
      </c>
      <c r="U92" s="179">
        <v>1297.7299303981097</v>
      </c>
      <c r="V92" s="80">
        <f t="shared" si="31"/>
        <v>5.2000000000000006E-3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32"/>
        <v>0</v>
      </c>
      <c r="E93" s="179">
        <v>0</v>
      </c>
      <c r="F93" s="80">
        <f t="shared" si="23"/>
        <v>0</v>
      </c>
      <c r="G93" s="179">
        <v>0</v>
      </c>
      <c r="H93" s="80">
        <f t="shared" si="24"/>
        <v>0</v>
      </c>
      <c r="I93" s="179">
        <v>0</v>
      </c>
      <c r="J93" s="80">
        <f t="shared" si="25"/>
        <v>0</v>
      </c>
      <c r="K93" s="179">
        <v>0</v>
      </c>
      <c r="L93" s="80">
        <f t="shared" si="26"/>
        <v>0</v>
      </c>
      <c r="M93" s="179">
        <v>0</v>
      </c>
      <c r="N93" s="80">
        <f t="shared" si="27"/>
        <v>0</v>
      </c>
      <c r="O93" s="179">
        <v>0</v>
      </c>
      <c r="P93" s="80">
        <f t="shared" si="28"/>
        <v>0</v>
      </c>
      <c r="Q93" s="179">
        <v>0</v>
      </c>
      <c r="R93" s="80">
        <f t="shared" si="29"/>
        <v>0</v>
      </c>
      <c r="S93" s="179">
        <v>0</v>
      </c>
      <c r="T93" s="80">
        <f t="shared" si="30"/>
        <v>0</v>
      </c>
      <c r="U93" s="179">
        <v>0</v>
      </c>
      <c r="V93" s="80">
        <f t="shared" si="31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32"/>
        <v>0</v>
      </c>
      <c r="E94" s="179">
        <v>0</v>
      </c>
      <c r="F94" s="80">
        <f t="shared" si="23"/>
        <v>0</v>
      </c>
      <c r="G94" s="179">
        <v>0</v>
      </c>
      <c r="H94" s="80">
        <f t="shared" si="24"/>
        <v>0</v>
      </c>
      <c r="I94" s="179">
        <v>0</v>
      </c>
      <c r="J94" s="80">
        <f t="shared" si="25"/>
        <v>0</v>
      </c>
      <c r="K94" s="179">
        <v>0</v>
      </c>
      <c r="L94" s="80">
        <f t="shared" si="26"/>
        <v>0</v>
      </c>
      <c r="M94" s="179">
        <v>0</v>
      </c>
      <c r="N94" s="80">
        <f t="shared" si="27"/>
        <v>0</v>
      </c>
      <c r="O94" s="179">
        <v>0</v>
      </c>
      <c r="P94" s="80">
        <f t="shared" si="28"/>
        <v>0</v>
      </c>
      <c r="Q94" s="179">
        <v>0</v>
      </c>
      <c r="R94" s="80">
        <f t="shared" si="29"/>
        <v>0</v>
      </c>
      <c r="S94" s="179">
        <v>0</v>
      </c>
      <c r="T94" s="80">
        <f t="shared" si="30"/>
        <v>0</v>
      </c>
      <c r="U94" s="179">
        <v>0</v>
      </c>
      <c r="V94" s="80">
        <f t="shared" si="31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32"/>
        <v>0</v>
      </c>
      <c r="E95" s="179">
        <v>0</v>
      </c>
      <c r="F95" s="80">
        <f t="shared" si="23"/>
        <v>0</v>
      </c>
      <c r="G95" s="179">
        <v>0</v>
      </c>
      <c r="H95" s="80">
        <f t="shared" si="24"/>
        <v>0</v>
      </c>
      <c r="I95" s="179">
        <v>0</v>
      </c>
      <c r="J95" s="80">
        <f t="shared" si="25"/>
        <v>0</v>
      </c>
      <c r="K95" s="179">
        <v>0</v>
      </c>
      <c r="L95" s="80">
        <f t="shared" si="26"/>
        <v>0</v>
      </c>
      <c r="M95" s="179">
        <v>0</v>
      </c>
      <c r="N95" s="80">
        <f t="shared" si="27"/>
        <v>0</v>
      </c>
      <c r="O95" s="179">
        <v>0</v>
      </c>
      <c r="P95" s="80">
        <f t="shared" si="28"/>
        <v>0</v>
      </c>
      <c r="Q95" s="179">
        <v>0</v>
      </c>
      <c r="R95" s="80">
        <f t="shared" si="29"/>
        <v>0</v>
      </c>
      <c r="S95" s="179">
        <v>0</v>
      </c>
      <c r="T95" s="80">
        <f t="shared" si="30"/>
        <v>0</v>
      </c>
      <c r="U95" s="179">
        <v>0</v>
      </c>
      <c r="V95" s="80">
        <f t="shared" si="31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32"/>
        <v>0</v>
      </c>
      <c r="E96" s="179">
        <v>0</v>
      </c>
      <c r="F96" s="80">
        <f t="shared" si="23"/>
        <v>0</v>
      </c>
      <c r="G96" s="179">
        <v>0</v>
      </c>
      <c r="H96" s="80">
        <f t="shared" si="24"/>
        <v>0</v>
      </c>
      <c r="I96" s="179">
        <v>0</v>
      </c>
      <c r="J96" s="80">
        <f t="shared" si="25"/>
        <v>0</v>
      </c>
      <c r="K96" s="179">
        <v>0</v>
      </c>
      <c r="L96" s="80">
        <f t="shared" si="26"/>
        <v>0</v>
      </c>
      <c r="M96" s="179">
        <v>0</v>
      </c>
      <c r="N96" s="80">
        <f t="shared" si="27"/>
        <v>0</v>
      </c>
      <c r="O96" s="179">
        <v>0</v>
      </c>
      <c r="P96" s="80">
        <f t="shared" si="28"/>
        <v>0</v>
      </c>
      <c r="Q96" s="179">
        <v>0</v>
      </c>
      <c r="R96" s="80">
        <f t="shared" si="29"/>
        <v>0</v>
      </c>
      <c r="S96" s="179">
        <v>0</v>
      </c>
      <c r="T96" s="80">
        <f t="shared" si="30"/>
        <v>0</v>
      </c>
      <c r="U96" s="179">
        <v>0</v>
      </c>
      <c r="V96" s="80">
        <f t="shared" si="31"/>
        <v>0</v>
      </c>
      <c r="X96" s="200"/>
    </row>
    <row r="97" spans="1:24" ht="12.75" customHeight="1">
      <c r="A97" s="2" t="s">
        <v>428</v>
      </c>
      <c r="B97" s="35"/>
      <c r="C97" s="179">
        <v>4655.1325999999999</v>
      </c>
      <c r="D97" s="80">
        <f t="shared" si="32"/>
        <v>2.3832992769311803E-2</v>
      </c>
      <c r="E97" s="179">
        <v>5176.5074512000001</v>
      </c>
      <c r="F97" s="80">
        <f t="shared" si="23"/>
        <v>2.4302851883568077E-2</v>
      </c>
      <c r="G97" s="179">
        <v>5357.6852119919995</v>
      </c>
      <c r="H97" s="80">
        <f t="shared" si="24"/>
        <v>2.466024676420878E-2</v>
      </c>
      <c r="I97" s="179">
        <v>5529.1311387757432</v>
      </c>
      <c r="J97" s="80">
        <f t="shared" si="25"/>
        <v>2.495036731437594E-2</v>
      </c>
      <c r="K97" s="179">
        <v>5667.3594172451367</v>
      </c>
      <c r="L97" s="80">
        <f t="shared" si="26"/>
        <v>2.5072673036505233E-2</v>
      </c>
      <c r="M97" s="179">
        <v>5809.0434026762641</v>
      </c>
      <c r="N97" s="80">
        <f t="shared" si="27"/>
        <v>2.5195578296488098E-2</v>
      </c>
      <c r="O97" s="179">
        <v>5954.2694877431704</v>
      </c>
      <c r="P97" s="80">
        <f t="shared" si="28"/>
        <v>2.5319086033235585E-2</v>
      </c>
      <c r="Q97" s="179">
        <v>6103.1262249367483</v>
      </c>
      <c r="R97" s="80">
        <f t="shared" si="29"/>
        <v>2.5443199200065165E-2</v>
      </c>
      <c r="S97" s="179">
        <v>6255.704380560167</v>
      </c>
      <c r="T97" s="80">
        <f t="shared" si="30"/>
        <v>2.5567920764771369E-2</v>
      </c>
      <c r="U97" s="179">
        <v>6412.0969900741702</v>
      </c>
      <c r="V97" s="80">
        <f t="shared" si="31"/>
        <v>2.5693253709696714E-2</v>
      </c>
      <c r="X97" s="200"/>
    </row>
    <row r="98" spans="1:24" ht="12.75" customHeight="1">
      <c r="A98" s="117" t="s">
        <v>431</v>
      </c>
      <c r="B98" s="35"/>
      <c r="C98" s="179">
        <v>234.38764799999996</v>
      </c>
      <c r="D98" s="80">
        <f t="shared" si="32"/>
        <v>1.1999999999999997E-3</v>
      </c>
      <c r="E98" s="179">
        <v>255.59999999999997</v>
      </c>
      <c r="F98" s="80">
        <f t="shared" si="23"/>
        <v>1.1999999999999999E-3</v>
      </c>
      <c r="G98" s="179">
        <v>260.71199999999999</v>
      </c>
      <c r="H98" s="80">
        <f t="shared" si="24"/>
        <v>1.1999999999999999E-3</v>
      </c>
      <c r="I98" s="179">
        <v>265.92624000000001</v>
      </c>
      <c r="J98" s="80">
        <f t="shared" si="25"/>
        <v>1.1999999999999999E-3</v>
      </c>
      <c r="K98" s="179">
        <v>271.24476479999998</v>
      </c>
      <c r="L98" s="80">
        <f t="shared" si="26"/>
        <v>1.1999999999999999E-3</v>
      </c>
      <c r="M98" s="179">
        <v>276.66966009600003</v>
      </c>
      <c r="N98" s="80">
        <f t="shared" si="27"/>
        <v>1.2000000000000001E-3</v>
      </c>
      <c r="O98" s="179">
        <v>282.20305329792001</v>
      </c>
      <c r="P98" s="80">
        <f t="shared" si="28"/>
        <v>1.1999999999999999E-3</v>
      </c>
      <c r="Q98" s="179">
        <v>287.8471143638784</v>
      </c>
      <c r="R98" s="80">
        <f t="shared" si="29"/>
        <v>1.1999999999999999E-3</v>
      </c>
      <c r="S98" s="179">
        <v>293.60405665115599</v>
      </c>
      <c r="T98" s="80">
        <f t="shared" si="30"/>
        <v>1.1999999999999999E-3</v>
      </c>
      <c r="U98" s="179">
        <v>299.47613778417912</v>
      </c>
      <c r="V98" s="80">
        <f t="shared" si="31"/>
        <v>1.1999999999999999E-3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32"/>
        <v>0</v>
      </c>
      <c r="E99" s="179">
        <v>0</v>
      </c>
      <c r="F99" s="80">
        <f t="shared" si="23"/>
        <v>0</v>
      </c>
      <c r="G99" s="179">
        <v>0</v>
      </c>
      <c r="H99" s="80">
        <f t="shared" si="24"/>
        <v>0</v>
      </c>
      <c r="I99" s="179">
        <v>0</v>
      </c>
      <c r="J99" s="80">
        <f t="shared" si="25"/>
        <v>0</v>
      </c>
      <c r="K99" s="179">
        <v>0</v>
      </c>
      <c r="L99" s="80">
        <f t="shared" si="26"/>
        <v>0</v>
      </c>
      <c r="M99" s="179">
        <v>0</v>
      </c>
      <c r="N99" s="80">
        <f t="shared" si="27"/>
        <v>0</v>
      </c>
      <c r="O99" s="179">
        <v>0</v>
      </c>
      <c r="P99" s="80">
        <f t="shared" si="28"/>
        <v>0</v>
      </c>
      <c r="Q99" s="179">
        <v>0</v>
      </c>
      <c r="R99" s="80">
        <f t="shared" si="29"/>
        <v>0</v>
      </c>
      <c r="S99" s="179">
        <v>0</v>
      </c>
      <c r="T99" s="80">
        <f t="shared" si="30"/>
        <v>0</v>
      </c>
      <c r="U99" s="179">
        <v>0</v>
      </c>
      <c r="V99" s="80">
        <f t="shared" si="31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32"/>
        <v>0</v>
      </c>
      <c r="E100" s="179">
        <v>0</v>
      </c>
      <c r="F100" s="80">
        <f t="shared" si="23"/>
        <v>0</v>
      </c>
      <c r="G100" s="179">
        <v>0</v>
      </c>
      <c r="H100" s="80">
        <f t="shared" si="24"/>
        <v>0</v>
      </c>
      <c r="I100" s="179">
        <v>0</v>
      </c>
      <c r="J100" s="80">
        <f t="shared" si="25"/>
        <v>0</v>
      </c>
      <c r="K100" s="179">
        <v>0</v>
      </c>
      <c r="L100" s="80">
        <f t="shared" si="26"/>
        <v>0</v>
      </c>
      <c r="M100" s="179">
        <v>0</v>
      </c>
      <c r="N100" s="80">
        <f t="shared" si="27"/>
        <v>0</v>
      </c>
      <c r="O100" s="179">
        <v>0</v>
      </c>
      <c r="P100" s="80">
        <f t="shared" si="28"/>
        <v>0</v>
      </c>
      <c r="Q100" s="179">
        <v>0</v>
      </c>
      <c r="R100" s="80">
        <f t="shared" si="29"/>
        <v>0</v>
      </c>
      <c r="S100" s="179">
        <v>0</v>
      </c>
      <c r="T100" s="80">
        <f t="shared" si="30"/>
        <v>0</v>
      </c>
      <c r="U100" s="179">
        <v>0</v>
      </c>
      <c r="V100" s="80">
        <f t="shared" si="31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32"/>
        <v>0</v>
      </c>
      <c r="E101" s="179"/>
      <c r="F101" s="80">
        <f t="shared" si="23"/>
        <v>0</v>
      </c>
      <c r="G101" s="179"/>
      <c r="H101" s="80">
        <f t="shared" si="24"/>
        <v>0</v>
      </c>
      <c r="I101" s="179">
        <v>0</v>
      </c>
      <c r="J101" s="80">
        <f t="shared" si="25"/>
        <v>0</v>
      </c>
      <c r="K101" s="179">
        <v>0</v>
      </c>
      <c r="L101" s="80">
        <f t="shared" si="26"/>
        <v>0</v>
      </c>
      <c r="M101" s="179">
        <v>0</v>
      </c>
      <c r="N101" s="80">
        <f t="shared" si="27"/>
        <v>0</v>
      </c>
      <c r="O101" s="179">
        <v>0</v>
      </c>
      <c r="P101" s="80">
        <f t="shared" si="28"/>
        <v>0</v>
      </c>
      <c r="Q101" s="179">
        <v>0</v>
      </c>
      <c r="R101" s="80">
        <f t="shared" si="29"/>
        <v>0</v>
      </c>
      <c r="S101" s="179">
        <v>0</v>
      </c>
      <c r="T101" s="80">
        <f t="shared" si="30"/>
        <v>0</v>
      </c>
      <c r="U101" s="179">
        <v>0</v>
      </c>
      <c r="V101" s="80">
        <f t="shared" si="31"/>
        <v>0</v>
      </c>
      <c r="X101" s="200"/>
    </row>
    <row r="102" spans="1:24" ht="12.75" customHeight="1">
      <c r="A102" s="117" t="s">
        <v>433</v>
      </c>
      <c r="B102" s="35"/>
      <c r="C102" s="179">
        <v>1953.2304000000001</v>
      </c>
      <c r="D102" s="80">
        <f t="shared" si="32"/>
        <v>0.01</v>
      </c>
      <c r="E102" s="179">
        <v>2130</v>
      </c>
      <c r="F102" s="80">
        <f t="shared" si="23"/>
        <v>0.01</v>
      </c>
      <c r="G102" s="179">
        <v>2172.6</v>
      </c>
      <c r="H102" s="80">
        <f t="shared" si="24"/>
        <v>0.01</v>
      </c>
      <c r="I102" s="179">
        <v>2216.0520000000006</v>
      </c>
      <c r="J102" s="80">
        <f t="shared" si="25"/>
        <v>1.0000000000000002E-2</v>
      </c>
      <c r="K102" s="179">
        <v>2260.3730400000004</v>
      </c>
      <c r="L102" s="80">
        <f t="shared" si="26"/>
        <v>1.0000000000000002E-2</v>
      </c>
      <c r="M102" s="179">
        <v>2305.5805008000002</v>
      </c>
      <c r="N102" s="80">
        <f t="shared" si="27"/>
        <v>0.01</v>
      </c>
      <c r="O102" s="179">
        <v>2351.6921108160004</v>
      </c>
      <c r="P102" s="80">
        <f t="shared" si="28"/>
        <v>0.01</v>
      </c>
      <c r="Q102" s="179">
        <v>2398.7259530323204</v>
      </c>
      <c r="R102" s="80">
        <f t="shared" si="29"/>
        <v>0.01</v>
      </c>
      <c r="S102" s="179">
        <v>2446.7004720929667</v>
      </c>
      <c r="T102" s="80">
        <f t="shared" si="30"/>
        <v>0.01</v>
      </c>
      <c r="U102" s="179">
        <v>2495.6344815348261</v>
      </c>
      <c r="V102" s="80">
        <f t="shared" si="31"/>
        <v>0.01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32"/>
        <v>0</v>
      </c>
      <c r="E103" s="179">
        <v>0</v>
      </c>
      <c r="F103" s="80">
        <f t="shared" si="23"/>
        <v>0</v>
      </c>
      <c r="G103" s="179">
        <v>0</v>
      </c>
      <c r="H103" s="80">
        <f t="shared" si="24"/>
        <v>0</v>
      </c>
      <c r="I103" s="179">
        <v>0</v>
      </c>
      <c r="J103" s="80">
        <f t="shared" si="25"/>
        <v>0</v>
      </c>
      <c r="K103" s="179">
        <v>0</v>
      </c>
      <c r="L103" s="80">
        <f t="shared" si="26"/>
        <v>0</v>
      </c>
      <c r="M103" s="179">
        <v>0</v>
      </c>
      <c r="N103" s="80">
        <f t="shared" si="27"/>
        <v>0</v>
      </c>
      <c r="O103" s="179">
        <v>0</v>
      </c>
      <c r="P103" s="80">
        <f t="shared" si="28"/>
        <v>0</v>
      </c>
      <c r="Q103" s="179">
        <v>0</v>
      </c>
      <c r="R103" s="80">
        <f t="shared" si="29"/>
        <v>0</v>
      </c>
      <c r="S103" s="179">
        <v>0</v>
      </c>
      <c r="T103" s="80">
        <f t="shared" si="30"/>
        <v>0</v>
      </c>
      <c r="U103" s="179">
        <v>0</v>
      </c>
      <c r="V103" s="80">
        <f t="shared" si="31"/>
        <v>0</v>
      </c>
      <c r="X103" s="200"/>
    </row>
    <row r="104" spans="1:24" ht="12.75" customHeight="1">
      <c r="A104" s="117" t="s">
        <v>433</v>
      </c>
      <c r="B104" s="35"/>
      <c r="C104" s="179">
        <v>0</v>
      </c>
      <c r="D104" s="80">
        <f t="shared" si="32"/>
        <v>0</v>
      </c>
      <c r="E104" s="179">
        <v>0</v>
      </c>
      <c r="F104" s="80">
        <f t="shared" si="23"/>
        <v>0</v>
      </c>
      <c r="G104" s="179">
        <v>0</v>
      </c>
      <c r="H104" s="80">
        <f t="shared" si="24"/>
        <v>0</v>
      </c>
      <c r="I104" s="179">
        <v>0</v>
      </c>
      <c r="J104" s="80">
        <f t="shared" si="25"/>
        <v>0</v>
      </c>
      <c r="K104" s="179">
        <v>0</v>
      </c>
      <c r="L104" s="80">
        <f t="shared" si="26"/>
        <v>0</v>
      </c>
      <c r="M104" s="179">
        <v>0</v>
      </c>
      <c r="N104" s="80">
        <f t="shared" si="27"/>
        <v>0</v>
      </c>
      <c r="O104" s="179">
        <v>0</v>
      </c>
      <c r="P104" s="80">
        <f t="shared" si="28"/>
        <v>0</v>
      </c>
      <c r="Q104" s="179">
        <v>0</v>
      </c>
      <c r="R104" s="80">
        <f t="shared" si="29"/>
        <v>0</v>
      </c>
      <c r="S104" s="179">
        <v>0</v>
      </c>
      <c r="T104" s="80">
        <f t="shared" si="30"/>
        <v>0</v>
      </c>
      <c r="U104" s="179">
        <v>0</v>
      </c>
      <c r="V104" s="80">
        <f t="shared" si="31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23060.898378068181</v>
      </c>
      <c r="D105" s="83">
        <f t="shared" si="32"/>
        <v>0.11806542831848296</v>
      </c>
      <c r="E105" s="82">
        <f>SUM(E52:E104)</f>
        <v>23977.446707865496</v>
      </c>
      <c r="F105" s="83">
        <f t="shared" si="23"/>
        <v>0.11257017233739669</v>
      </c>
      <c r="G105" s="82">
        <f>SUM(G52:G104)</f>
        <v>24783.454830097911</v>
      </c>
      <c r="H105" s="83">
        <f t="shared" si="24"/>
        <v>0.11407279218493009</v>
      </c>
      <c r="I105" s="82">
        <f>SUM(I52:I104)</f>
        <v>25326.156368260887</v>
      </c>
      <c r="J105" s="83">
        <f t="shared" si="25"/>
        <v>0.11428502746443173</v>
      </c>
      <c r="K105" s="82">
        <f>SUM(K52:K104)</f>
        <v>25837.353550097338</v>
      </c>
      <c r="L105" s="83">
        <f t="shared" si="26"/>
        <v>0.11430570570819291</v>
      </c>
      <c r="M105" s="82">
        <f>SUM(M52:M104)</f>
        <v>26378.209950314307</v>
      </c>
      <c r="N105" s="83">
        <f t="shared" si="27"/>
        <v>0.11441027516133782</v>
      </c>
      <c r="O105" s="82">
        <f>SUM(O52:O104)</f>
        <v>26930.629312043849</v>
      </c>
      <c r="P105" s="83">
        <f t="shared" si="28"/>
        <v>0.11451596570904575</v>
      </c>
      <c r="Q105" s="82">
        <f>SUM(Q52:Q104)</f>
        <v>27494.789673798023</v>
      </c>
      <c r="R105" s="83">
        <f t="shared" si="29"/>
        <v>0.11462247131249328</v>
      </c>
      <c r="S105" s="82">
        <f>SUM(S52:S104)</f>
        <v>28070.874700506196</v>
      </c>
      <c r="T105" s="83">
        <f t="shared" si="30"/>
        <v>0.1147295102963449</v>
      </c>
      <c r="U105" s="82">
        <f>SUM(U52:U104)</f>
        <v>28741.575314058089</v>
      </c>
      <c r="V105" s="83">
        <f t="shared" si="31"/>
        <v>0.11516740743372762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-20184.337578068189</v>
      </c>
      <c r="D107" s="83">
        <f>IFERROR(C107/C$28,0)</f>
        <v>-0.10333823177269916</v>
      </c>
      <c r="E107" s="82">
        <f>E28-E33-E46-E105</f>
        <v>-23592.188819865503</v>
      </c>
      <c r="F107" s="83">
        <f>IFERROR(E107/E$28,0)</f>
        <v>-0.11076144985852349</v>
      </c>
      <c r="G107" s="82">
        <f>G28-G33-G46-G105</f>
        <v>-26525.362916017915</v>
      </c>
      <c r="H107" s="83">
        <f>IFERROR(G107/G$28,0)</f>
        <v>-0.12209041202254403</v>
      </c>
      <c r="I107" s="82">
        <f>I28-I33-I46-I105</f>
        <v>-28870.575912930337</v>
      </c>
      <c r="J107" s="83">
        <f>IFERROR(I107/I$28,0)</f>
        <v>-0.13027932518248819</v>
      </c>
      <c r="K107" s="82">
        <f>K28-K33-K46-K105</f>
        <v>-30212.761003383479</v>
      </c>
      <c r="L107" s="83">
        <f>IFERROR(K107/K$28,0)</f>
        <v>-0.13366272057192594</v>
      </c>
      <c r="M107" s="82">
        <f>M28-M33-M46-M105</f>
        <v>-31620.227558332608</v>
      </c>
      <c r="N107" s="83">
        <f>IFERROR(M107/M$28,0)</f>
        <v>-0.13714649107832447</v>
      </c>
      <c r="O107" s="82">
        <f>O28-O33-O46-O105</f>
        <v>-33076.066828030554</v>
      </c>
      <c r="P107" s="83">
        <f>IFERROR(O107/O$28,0)</f>
        <v>-0.14064794739033112</v>
      </c>
      <c r="Q107" s="82">
        <f>Q28-Q33-Q46-Q105</f>
        <v>-34581.679984807764</v>
      </c>
      <c r="R107" s="83">
        <f>IFERROR(Q107/Q$28,0)</f>
        <v>-0.14416686466868694</v>
      </c>
      <c r="S107" s="82">
        <f>S28-S33-S46-S105</f>
        <v>-36138.510463556981</v>
      </c>
      <c r="T107" s="83">
        <f>IFERROR(S107/S$28,0)</f>
        <v>-0.14770304283565705</v>
      </c>
      <c r="U107" s="82">
        <f>U28-U33-U46-U105</f>
        <v>-37830.54662933627</v>
      </c>
      <c r="V107" s="83">
        <f>IFERROR(U107/U$28,0)</f>
        <v>-0.15158688866195791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33">IFERROR(C111/C$28,0)</f>
        <v>0</v>
      </c>
      <c r="E111" s="79">
        <f>E59</f>
        <v>0</v>
      </c>
      <c r="F111" s="80">
        <f t="shared" ref="F111:F116" si="34">IFERROR(E111/E$28,0)</f>
        <v>0</v>
      </c>
      <c r="G111" s="79">
        <f>G59</f>
        <v>0</v>
      </c>
      <c r="H111" s="80">
        <f t="shared" ref="H111:H116" si="35">IFERROR(G111/G$28,0)</f>
        <v>0</v>
      </c>
      <c r="I111" s="79">
        <f>I59</f>
        <v>0</v>
      </c>
      <c r="J111" s="80">
        <f t="shared" ref="J111:J116" si="36">IFERROR(I111/I$28,0)</f>
        <v>0</v>
      </c>
      <c r="K111" s="79">
        <f>K59</f>
        <v>0</v>
      </c>
      <c r="L111" s="80">
        <f t="shared" ref="L111:L116" si="37">IFERROR(K111/K$28,0)</f>
        <v>0</v>
      </c>
      <c r="M111" s="79">
        <f>M59</f>
        <v>0</v>
      </c>
      <c r="N111" s="80">
        <f t="shared" ref="N111:N116" si="38">IFERROR(M111/M$28,0)</f>
        <v>0</v>
      </c>
      <c r="O111" s="79">
        <f>O59</f>
        <v>0</v>
      </c>
      <c r="P111" s="80">
        <f t="shared" ref="P111:P116" si="39">IFERROR(O111/O$28,0)</f>
        <v>0</v>
      </c>
      <c r="Q111" s="79">
        <f>Q59</f>
        <v>0</v>
      </c>
      <c r="R111" s="80">
        <f t="shared" ref="R111:R116" si="40">IFERROR(Q111/Q$28,0)</f>
        <v>0</v>
      </c>
      <c r="S111" s="79">
        <f>S59</f>
        <v>0</v>
      </c>
      <c r="T111" s="80">
        <f t="shared" ref="T111:T116" si="41">IFERROR(S111/S$28,0)</f>
        <v>0</v>
      </c>
      <c r="U111" s="79">
        <f>U59</f>
        <v>0</v>
      </c>
      <c r="V111" s="80">
        <f t="shared" ref="V111:V116" si="42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33"/>
        <v>0</v>
      </c>
      <c r="E112" s="79">
        <f>E62</f>
        <v>0</v>
      </c>
      <c r="F112" s="80">
        <f t="shared" si="34"/>
        <v>0</v>
      </c>
      <c r="G112" s="79">
        <f>G62</f>
        <v>0</v>
      </c>
      <c r="H112" s="80">
        <f t="shared" si="35"/>
        <v>0</v>
      </c>
      <c r="I112" s="79">
        <f>I62</f>
        <v>0</v>
      </c>
      <c r="J112" s="80">
        <f t="shared" si="36"/>
        <v>0</v>
      </c>
      <c r="K112" s="79">
        <f>K62</f>
        <v>0</v>
      </c>
      <c r="L112" s="80">
        <f t="shared" si="37"/>
        <v>0</v>
      </c>
      <c r="M112" s="79">
        <f>M62</f>
        <v>0</v>
      </c>
      <c r="N112" s="80">
        <f t="shared" si="38"/>
        <v>0</v>
      </c>
      <c r="O112" s="79">
        <f>O62</f>
        <v>0</v>
      </c>
      <c r="P112" s="80">
        <f t="shared" si="39"/>
        <v>0</v>
      </c>
      <c r="Q112" s="79">
        <f>Q62</f>
        <v>0</v>
      </c>
      <c r="R112" s="80">
        <f t="shared" si="40"/>
        <v>0</v>
      </c>
      <c r="S112" s="79">
        <f>S62</f>
        <v>0</v>
      </c>
      <c r="T112" s="80">
        <f t="shared" si="41"/>
        <v>0</v>
      </c>
      <c r="U112" s="79">
        <f>U62</f>
        <v>0</v>
      </c>
      <c r="V112" s="80">
        <f t="shared" si="42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33"/>
        <v>0</v>
      </c>
      <c r="E113" s="111">
        <v>0</v>
      </c>
      <c r="F113" s="80">
        <f t="shared" si="34"/>
        <v>0</v>
      </c>
      <c r="G113" s="111">
        <v>0</v>
      </c>
      <c r="H113" s="80">
        <f t="shared" si="35"/>
        <v>0</v>
      </c>
      <c r="I113" s="111">
        <v>0</v>
      </c>
      <c r="J113" s="80">
        <f t="shared" si="36"/>
        <v>0</v>
      </c>
      <c r="K113" s="111">
        <v>0</v>
      </c>
      <c r="L113" s="80">
        <f t="shared" si="37"/>
        <v>0</v>
      </c>
      <c r="M113" s="111">
        <v>0</v>
      </c>
      <c r="N113" s="80">
        <f t="shared" si="38"/>
        <v>0</v>
      </c>
      <c r="O113" s="111">
        <v>0</v>
      </c>
      <c r="P113" s="80">
        <f t="shared" si="39"/>
        <v>0</v>
      </c>
      <c r="Q113" s="111">
        <v>0</v>
      </c>
      <c r="R113" s="80">
        <f t="shared" si="40"/>
        <v>0</v>
      </c>
      <c r="S113" s="111">
        <v>0</v>
      </c>
      <c r="T113" s="80">
        <f t="shared" si="41"/>
        <v>0</v>
      </c>
      <c r="U113" s="111">
        <v>0</v>
      </c>
      <c r="V113" s="80">
        <f t="shared" si="42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33"/>
        <v>0</v>
      </c>
      <c r="E114" s="111">
        <v>0</v>
      </c>
      <c r="F114" s="80">
        <f t="shared" si="34"/>
        <v>0</v>
      </c>
      <c r="G114" s="111">
        <v>0</v>
      </c>
      <c r="H114" s="80">
        <f t="shared" si="35"/>
        <v>0</v>
      </c>
      <c r="I114" s="111">
        <v>0</v>
      </c>
      <c r="J114" s="80">
        <f t="shared" si="36"/>
        <v>0</v>
      </c>
      <c r="K114" s="111">
        <v>0</v>
      </c>
      <c r="L114" s="80">
        <f t="shared" si="37"/>
        <v>0</v>
      </c>
      <c r="M114" s="111">
        <v>0</v>
      </c>
      <c r="N114" s="80">
        <f t="shared" si="38"/>
        <v>0</v>
      </c>
      <c r="O114" s="111">
        <v>0</v>
      </c>
      <c r="P114" s="80">
        <f t="shared" si="39"/>
        <v>0</v>
      </c>
      <c r="Q114" s="111">
        <v>0</v>
      </c>
      <c r="R114" s="80">
        <f t="shared" si="40"/>
        <v>0</v>
      </c>
      <c r="S114" s="111">
        <v>0</v>
      </c>
      <c r="T114" s="80">
        <f t="shared" si="41"/>
        <v>0</v>
      </c>
      <c r="U114" s="111">
        <v>0</v>
      </c>
      <c r="V114" s="80">
        <f t="shared" si="42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33"/>
        <v>0</v>
      </c>
      <c r="E115" s="112">
        <v>0</v>
      </c>
      <c r="F115" s="80">
        <f t="shared" si="34"/>
        <v>0</v>
      </c>
      <c r="G115" s="112">
        <v>0</v>
      </c>
      <c r="H115" s="80">
        <f t="shared" si="35"/>
        <v>0</v>
      </c>
      <c r="I115" s="112">
        <v>0</v>
      </c>
      <c r="J115" s="80">
        <f t="shared" si="36"/>
        <v>0</v>
      </c>
      <c r="K115" s="112">
        <v>0</v>
      </c>
      <c r="L115" s="80">
        <f t="shared" si="37"/>
        <v>0</v>
      </c>
      <c r="M115" s="112">
        <v>0</v>
      </c>
      <c r="N115" s="80">
        <f t="shared" si="38"/>
        <v>0</v>
      </c>
      <c r="O115" s="112">
        <v>0</v>
      </c>
      <c r="P115" s="80">
        <f t="shared" si="39"/>
        <v>0</v>
      </c>
      <c r="Q115" s="112">
        <v>0</v>
      </c>
      <c r="R115" s="80">
        <f t="shared" si="40"/>
        <v>0</v>
      </c>
      <c r="S115" s="112">
        <v>0</v>
      </c>
      <c r="T115" s="80">
        <f t="shared" si="41"/>
        <v>0</v>
      </c>
      <c r="U115" s="112">
        <v>0</v>
      </c>
      <c r="V115" s="80">
        <f t="shared" si="42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33"/>
        <v>0</v>
      </c>
      <c r="E116" s="85">
        <f>SUM(E111:E115)</f>
        <v>0</v>
      </c>
      <c r="F116" s="83">
        <f t="shared" si="34"/>
        <v>0</v>
      </c>
      <c r="G116" s="85">
        <f>SUM(G111:G115)</f>
        <v>0</v>
      </c>
      <c r="H116" s="83">
        <f t="shared" si="35"/>
        <v>0</v>
      </c>
      <c r="I116" s="85">
        <f>SUM(I111:I115)</f>
        <v>0</v>
      </c>
      <c r="J116" s="83">
        <f t="shared" si="36"/>
        <v>0</v>
      </c>
      <c r="K116" s="85">
        <f>SUM(K111:K115)</f>
        <v>0</v>
      </c>
      <c r="L116" s="83">
        <f t="shared" si="37"/>
        <v>0</v>
      </c>
      <c r="M116" s="85">
        <f>SUM(M111:M115)</f>
        <v>0</v>
      </c>
      <c r="N116" s="83">
        <f t="shared" si="38"/>
        <v>0</v>
      </c>
      <c r="O116" s="85">
        <f>SUM(O111:O115)</f>
        <v>0</v>
      </c>
      <c r="P116" s="83">
        <f t="shared" si="39"/>
        <v>0</v>
      </c>
      <c r="Q116" s="85">
        <f>SUM(Q111:Q115)</f>
        <v>0</v>
      </c>
      <c r="R116" s="83">
        <f t="shared" si="40"/>
        <v>0</v>
      </c>
      <c r="S116" s="85">
        <f>SUM(S111:S115)</f>
        <v>0</v>
      </c>
      <c r="T116" s="83">
        <f t="shared" si="41"/>
        <v>0</v>
      </c>
      <c r="U116" s="85">
        <f>SUM(U111:U115)</f>
        <v>0</v>
      </c>
      <c r="V116" s="83">
        <f t="shared" si="42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7" tint="0.59999389629810485"/>
  </sheetPr>
  <dimension ref="A1:X120"/>
  <sheetViews>
    <sheetView topLeftCell="A12" zoomScale="70" zoomScaleNormal="70" workbookViewId="0" xr3:uid="{D624DF06-3800-545C-AC8D-BADC89115800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40.1406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38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Almazar (Graham Center)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36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235</v>
      </c>
      <c r="E8" s="109">
        <f>+C8</f>
        <v>235</v>
      </c>
      <c r="G8" s="109">
        <f>+E8</f>
        <v>235</v>
      </c>
      <c r="I8" s="109">
        <f>+G8</f>
        <v>235</v>
      </c>
      <c r="K8" s="109">
        <f>+I8</f>
        <v>235</v>
      </c>
      <c r="M8" s="109">
        <f>+K8</f>
        <v>235</v>
      </c>
      <c r="O8" s="109">
        <f>+M8</f>
        <v>235</v>
      </c>
      <c r="Q8" s="109">
        <f>+O8</f>
        <v>235</v>
      </c>
      <c r="S8" s="109">
        <f>+Q8</f>
        <v>235</v>
      </c>
      <c r="U8" s="109">
        <f>+S8</f>
        <v>235</v>
      </c>
    </row>
    <row r="10" spans="1:22" ht="12.75" customHeight="1">
      <c r="A10" s="2" t="s">
        <v>449</v>
      </c>
      <c r="C10" s="109"/>
      <c r="E10" s="109"/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450</v>
      </c>
      <c r="C12" s="110"/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451</v>
      </c>
      <c r="C14" s="121">
        <f>C12*C10*C8</f>
        <v>0</v>
      </c>
      <c r="E14" s="121">
        <f>E12*E10*E8</f>
        <v>0</v>
      </c>
      <c r="G14" s="121">
        <f>G12*G10*G8</f>
        <v>0</v>
      </c>
      <c r="I14" s="121">
        <f>I12*I10*I8</f>
        <v>0</v>
      </c>
      <c r="K14" s="121">
        <f>K12*K10*K8</f>
        <v>0</v>
      </c>
      <c r="M14" s="121">
        <f>M12*M10*M8</f>
        <v>0</v>
      </c>
      <c r="O14" s="121">
        <f>O12*O10*O8</f>
        <v>0</v>
      </c>
      <c r="Q14" s="121">
        <f>Q12*Q10*Q8</f>
        <v>0</v>
      </c>
      <c r="S14" s="121">
        <f>S12*S10*S8</f>
        <v>0</v>
      </c>
      <c r="U14" s="121">
        <f>U12*U10*U8</f>
        <v>0</v>
      </c>
    </row>
    <row r="15" spans="1:22" ht="12.75" customHeight="1">
      <c r="A15" s="39">
        <v>7.0000000000000007E-2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</f>
        <v>0</v>
      </c>
      <c r="D19" s="80">
        <f>IFERROR(C19/C$28,0)</f>
        <v>0</v>
      </c>
      <c r="E19" s="208">
        <f>+E14-E20</f>
        <v>0</v>
      </c>
      <c r="F19" s="80">
        <f>IFERROR(E19/E$28,0)</f>
        <v>0</v>
      </c>
      <c r="G19" s="111">
        <f>E19*1.02</f>
        <v>0</v>
      </c>
      <c r="H19" s="80">
        <f>IFERROR(G19/G$28,0)</f>
        <v>0</v>
      </c>
      <c r="I19" s="111">
        <f>G19*1.02</f>
        <v>0</v>
      </c>
      <c r="J19" s="80">
        <f>IFERROR(I19/I$28,0)</f>
        <v>0</v>
      </c>
      <c r="K19" s="111">
        <f>I19*1.02</f>
        <v>0</v>
      </c>
      <c r="L19" s="80">
        <f>IFERROR(K19/K$28,0)</f>
        <v>0</v>
      </c>
      <c r="M19" s="111">
        <f>K19*1.02</f>
        <v>0</v>
      </c>
      <c r="N19" s="80">
        <f>IFERROR(M19/M$28,0)</f>
        <v>0</v>
      </c>
      <c r="O19" s="111">
        <f>M19*1.02</f>
        <v>0</v>
      </c>
      <c r="P19" s="80">
        <f>IFERROR(O19/O$28,0)</f>
        <v>0</v>
      </c>
      <c r="Q19" s="111">
        <f>O19*1.02</f>
        <v>0</v>
      </c>
      <c r="R19" s="80">
        <f>IFERROR(Q19/Q$28,0)</f>
        <v>0</v>
      </c>
      <c r="S19" s="111">
        <f>Q19*1.02</f>
        <v>0</v>
      </c>
      <c r="T19" s="80">
        <f>IFERROR(S19/S$28,0)</f>
        <v>0</v>
      </c>
      <c r="U19" s="111">
        <f>S19*1.02</f>
        <v>0</v>
      </c>
      <c r="V19" s="80">
        <f>IFERROR(U19/U$28,0)</f>
        <v>0</v>
      </c>
    </row>
    <row r="20" spans="1:24" ht="12.75" customHeight="1">
      <c r="A20" s="2" t="s">
        <v>357</v>
      </c>
      <c r="B20" s="35"/>
      <c r="C20" s="111">
        <f>+C14*12.38%</f>
        <v>0</v>
      </c>
      <c r="D20" s="80">
        <f>IFERROR(C20/C$28,0)</f>
        <v>0</v>
      </c>
      <c r="E20" s="111">
        <f>+E14*53.27%</f>
        <v>0</v>
      </c>
      <c r="F20" s="80">
        <f>IFERROR(E20/E$28,0)</f>
        <v>0</v>
      </c>
      <c r="G20" s="111">
        <f t="shared" ref="G20:U21" si="0">E20*1.02</f>
        <v>0</v>
      </c>
      <c r="H20" s="80">
        <f>IFERROR(G20/G$28,0)</f>
        <v>0</v>
      </c>
      <c r="I20" s="111">
        <f t="shared" si="0"/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2" t="s">
        <v>358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359</v>
      </c>
      <c r="B22" s="123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456</v>
      </c>
      <c r="B27" s="35"/>
      <c r="C27" s="112">
        <f>380000*0.15</f>
        <v>57000</v>
      </c>
      <c r="D27" s="80">
        <f t="shared" si="1"/>
        <v>1</v>
      </c>
      <c r="E27" s="112">
        <f>+C27*1.02</f>
        <v>58140</v>
      </c>
      <c r="F27" s="80">
        <f t="shared" si="2"/>
        <v>1</v>
      </c>
      <c r="G27" s="112">
        <f>+E27*1.02</f>
        <v>59302.8</v>
      </c>
      <c r="H27" s="80">
        <f t="shared" si="3"/>
        <v>1</v>
      </c>
      <c r="I27" s="112">
        <f>+G27*1.02</f>
        <v>60488.856000000007</v>
      </c>
      <c r="J27" s="80">
        <f t="shared" si="4"/>
        <v>1</v>
      </c>
      <c r="K27" s="112">
        <f>+I27*1.02</f>
        <v>61698.633120000006</v>
      </c>
      <c r="L27" s="80">
        <f t="shared" si="5"/>
        <v>1</v>
      </c>
      <c r="M27" s="112">
        <f>+K27*1.02</f>
        <v>62932.605782400009</v>
      </c>
      <c r="N27" s="80">
        <f t="shared" si="6"/>
        <v>1</v>
      </c>
      <c r="O27" s="112">
        <f>+M27*1.02</f>
        <v>64191.25789804801</v>
      </c>
      <c r="P27" s="80">
        <f t="shared" si="7"/>
        <v>1</v>
      </c>
      <c r="Q27" s="112">
        <f>+O27*1.02</f>
        <v>65475.083056008974</v>
      </c>
      <c r="R27" s="80">
        <f t="shared" si="8"/>
        <v>1</v>
      </c>
      <c r="S27" s="112">
        <f>+Q27*1.02</f>
        <v>66784.584717129153</v>
      </c>
      <c r="T27" s="80">
        <f t="shared" si="9"/>
        <v>1</v>
      </c>
      <c r="U27" s="112">
        <f>+S27*1.02</f>
        <v>68120.276411471743</v>
      </c>
      <c r="V27" s="80">
        <f t="shared" si="10"/>
        <v>1</v>
      </c>
    </row>
    <row r="28" spans="1:24" ht="12.75" customHeight="1">
      <c r="A28" s="1" t="s">
        <v>365</v>
      </c>
      <c r="B28" s="53"/>
      <c r="C28" s="82">
        <f>SUM(C19:C27)</f>
        <v>57000</v>
      </c>
      <c r="D28" s="83">
        <f t="shared" si="1"/>
        <v>1</v>
      </c>
      <c r="E28" s="82">
        <f>SUM(E19:E27)</f>
        <v>58140</v>
      </c>
      <c r="F28" s="83">
        <f t="shared" si="2"/>
        <v>1</v>
      </c>
      <c r="G28" s="82">
        <f>SUM(G19:G27)</f>
        <v>59302.8</v>
      </c>
      <c r="H28" s="83">
        <f t="shared" si="3"/>
        <v>1</v>
      </c>
      <c r="I28" s="82">
        <f>SUM(I19:I27)</f>
        <v>60488.856000000007</v>
      </c>
      <c r="J28" s="83">
        <f t="shared" si="4"/>
        <v>1</v>
      </c>
      <c r="K28" s="82">
        <f>SUM(K19:K27)</f>
        <v>61698.633120000006</v>
      </c>
      <c r="L28" s="83">
        <f t="shared" si="5"/>
        <v>1</v>
      </c>
      <c r="M28" s="82">
        <f>SUM(M19:M27)</f>
        <v>62932.605782400009</v>
      </c>
      <c r="N28" s="83">
        <f t="shared" si="6"/>
        <v>1</v>
      </c>
      <c r="O28" s="82">
        <f>SUM(O19:O27)</f>
        <v>64191.25789804801</v>
      </c>
      <c r="P28" s="83">
        <f t="shared" si="7"/>
        <v>1</v>
      </c>
      <c r="Q28" s="82">
        <f>SUM(Q19:Q27)</f>
        <v>65475.083056008974</v>
      </c>
      <c r="R28" s="83">
        <f t="shared" si="8"/>
        <v>1</v>
      </c>
      <c r="S28" s="82">
        <f>SUM(S19:S27)</f>
        <v>66784.584717129153</v>
      </c>
      <c r="T28" s="83">
        <f t="shared" si="9"/>
        <v>1</v>
      </c>
      <c r="U28" s="82">
        <f>SUM(U19:U27)</f>
        <v>68120.276411471743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0</v>
      </c>
      <c r="D31" s="80">
        <f>IFERROR(C31/C$28,0)</f>
        <v>0</v>
      </c>
      <c r="E31" s="179">
        <f>$C$30*E14</f>
        <v>0</v>
      </c>
      <c r="F31" s="80">
        <f>IFERROR(E31/E$28,0)</f>
        <v>0</v>
      </c>
      <c r="G31" s="179">
        <f>$C$30*G14</f>
        <v>0</v>
      </c>
      <c r="H31" s="80">
        <f>IFERROR(G31/G$28,0)</f>
        <v>0</v>
      </c>
      <c r="I31" s="179">
        <f>$C$30*I14</f>
        <v>0</v>
      </c>
      <c r="J31" s="80">
        <f>IFERROR(I31/I$28,0)</f>
        <v>0</v>
      </c>
      <c r="K31" s="179">
        <f>$C$30*K14</f>
        <v>0</v>
      </c>
      <c r="L31" s="80">
        <f>IFERROR(K31/K$28,0)</f>
        <v>0</v>
      </c>
      <c r="M31" s="179">
        <f>$C$30*M14</f>
        <v>0</v>
      </c>
      <c r="N31" s="80">
        <f>IFERROR(M31/M$28,0)</f>
        <v>0</v>
      </c>
      <c r="O31" s="179">
        <f>$C$30*O14</f>
        <v>0</v>
      </c>
      <c r="P31" s="80">
        <f>IFERROR(O31/O$28,0)</f>
        <v>0</v>
      </c>
      <c r="Q31" s="179">
        <f>$C$30*Q14</f>
        <v>0</v>
      </c>
      <c r="R31" s="80">
        <f>IFERROR(Q31/Q$28,0)</f>
        <v>0</v>
      </c>
      <c r="S31" s="179">
        <f>$C$30*S14</f>
        <v>0</v>
      </c>
      <c r="T31" s="80">
        <f>IFERROR(S31/S$28,0)</f>
        <v>0</v>
      </c>
      <c r="U31" s="179">
        <f>$C$30*U14</f>
        <v>0</v>
      </c>
      <c r="V31" s="80">
        <f>IFERROR(U31/U$28,0)</f>
        <v>0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0</v>
      </c>
      <c r="D33" s="83">
        <f>IFERROR(C33/C$28,0)</f>
        <v>0</v>
      </c>
      <c r="E33" s="82">
        <f>SUM(E31:E32)</f>
        <v>0</v>
      </c>
      <c r="F33" s="83">
        <f>IFERROR(E33/E$28,0)</f>
        <v>0</v>
      </c>
      <c r="G33" s="82">
        <f>SUM(G31:G32)</f>
        <v>0</v>
      </c>
      <c r="H33" s="83">
        <f>IFERROR(G33/G$28,0)</f>
        <v>0</v>
      </c>
      <c r="I33" s="82">
        <f>SUM(I31:I32)</f>
        <v>0</v>
      </c>
      <c r="J33" s="83">
        <f>IFERROR(I33/I$28,0)</f>
        <v>0</v>
      </c>
      <c r="K33" s="82">
        <f>SUM(K31:K32)</f>
        <v>0</v>
      </c>
      <c r="L33" s="83">
        <f>IFERROR(K33/K$28,0)</f>
        <v>0</v>
      </c>
      <c r="M33" s="82">
        <f>SUM(M31:M32)</f>
        <v>0</v>
      </c>
      <c r="N33" s="83">
        <f>IFERROR(M33/M$28,0)</f>
        <v>0</v>
      </c>
      <c r="O33" s="82">
        <f>SUM(O31:O32)</f>
        <v>0</v>
      </c>
      <c r="P33" s="83">
        <f>IFERROR(O33/O$28,0)</f>
        <v>0</v>
      </c>
      <c r="Q33" s="82">
        <f>SUM(Q31:Q32)</f>
        <v>0</v>
      </c>
      <c r="R33" s="83">
        <f>IFERROR(Q33/Q$28,0)</f>
        <v>0</v>
      </c>
      <c r="S33" s="82">
        <f>SUM(S31:S32)</f>
        <v>0</v>
      </c>
      <c r="T33" s="83">
        <f>IFERROR(S33/S$28,0)</f>
        <v>0</v>
      </c>
      <c r="U33" s="82">
        <f>SUM(U31:U32)</f>
        <v>0</v>
      </c>
      <c r="V33" s="83">
        <f>IFERROR(U33/U$28,0)</f>
        <v>0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13"/>
      <c r="D36" s="80">
        <f t="shared" ref="D36:D46" si="11">IFERROR(C36/C$28,0)</f>
        <v>0</v>
      </c>
      <c r="E36" s="179"/>
      <c r="F36" s="80">
        <f t="shared" ref="F36:F46" si="12">IFERROR(E36/E$28,0)</f>
        <v>0</v>
      </c>
      <c r="G36" s="179"/>
      <c r="H36" s="80">
        <f t="shared" ref="H36:H46" si="13">IFERROR(G36/G$28,0)</f>
        <v>0</v>
      </c>
      <c r="I36" s="179"/>
      <c r="J36" s="80">
        <f t="shared" ref="J36:J46" si="14">IFERROR(I36/I$28,0)</f>
        <v>0</v>
      </c>
      <c r="K36" s="179"/>
      <c r="L36" s="80">
        <f t="shared" ref="L36:L46" si="15">IFERROR(K36/K$28,0)</f>
        <v>0</v>
      </c>
      <c r="M36" s="179"/>
      <c r="N36" s="80">
        <f t="shared" ref="N36:N46" si="16">IFERROR(M36/M$28,0)</f>
        <v>0</v>
      </c>
      <c r="O36" s="179"/>
      <c r="P36" s="80">
        <f t="shared" ref="P36:P46" si="17">IFERROR(O36/O$28,0)</f>
        <v>0</v>
      </c>
      <c r="Q36" s="179"/>
      <c r="R36" s="80">
        <f t="shared" ref="R36:R46" si="18">IFERROR(Q36/Q$28,0)</f>
        <v>0</v>
      </c>
      <c r="S36" s="179"/>
      <c r="T36" s="80">
        <f t="shared" ref="T36:T46" si="19">IFERROR(S36/S$28,0)</f>
        <v>0</v>
      </c>
      <c r="U36" s="179"/>
      <c r="V36" s="80">
        <f t="shared" ref="V36:V46" si="20">IFERROR(U36/U$28,0)</f>
        <v>0</v>
      </c>
    </row>
    <row r="37" spans="1:22" ht="12.75" customHeight="1">
      <c r="A37" s="2" t="s">
        <v>372</v>
      </c>
      <c r="B37" s="35"/>
      <c r="C37" s="113"/>
      <c r="D37" s="80">
        <f t="shared" si="11"/>
        <v>0</v>
      </c>
      <c r="E37" s="179">
        <f>+C37*1.112</f>
        <v>0</v>
      </c>
      <c r="F37" s="80">
        <f t="shared" si="12"/>
        <v>0</v>
      </c>
      <c r="G37" s="179">
        <f>+E37*1.035</f>
        <v>0</v>
      </c>
      <c r="H37" s="80">
        <f t="shared" si="13"/>
        <v>0</v>
      </c>
      <c r="I37" s="179">
        <f>+G37*1.032</f>
        <v>0</v>
      </c>
      <c r="J37" s="80">
        <f t="shared" si="14"/>
        <v>0</v>
      </c>
      <c r="K37" s="179">
        <f>+I37*1.025</f>
        <v>0</v>
      </c>
      <c r="L37" s="80">
        <f t="shared" si="15"/>
        <v>0</v>
      </c>
      <c r="M37" s="179">
        <f>+K37*1.025</f>
        <v>0</v>
      </c>
      <c r="N37" s="80">
        <f t="shared" si="16"/>
        <v>0</v>
      </c>
      <c r="O37" s="179">
        <f>+M37*1.025</f>
        <v>0</v>
      </c>
      <c r="P37" s="80">
        <f t="shared" si="17"/>
        <v>0</v>
      </c>
      <c r="Q37" s="179">
        <f>+O37*1.025</f>
        <v>0</v>
      </c>
      <c r="R37" s="80">
        <f t="shared" si="18"/>
        <v>0</v>
      </c>
      <c r="S37" s="179">
        <f>+Q37*1.025</f>
        <v>0</v>
      </c>
      <c r="T37" s="80">
        <f t="shared" si="19"/>
        <v>0</v>
      </c>
      <c r="U37" s="179">
        <f>+S37*1.025</f>
        <v>0</v>
      </c>
      <c r="V37" s="80">
        <f t="shared" si="20"/>
        <v>0</v>
      </c>
    </row>
    <row r="38" spans="1:22" ht="12.75" customHeight="1">
      <c r="A38" s="2" t="s">
        <v>373</v>
      </c>
      <c r="B38" s="35"/>
      <c r="C38" s="113"/>
      <c r="D38" s="80">
        <f t="shared" si="11"/>
        <v>0</v>
      </c>
      <c r="E38" s="179">
        <f t="shared" ref="E38:E39" si="21">+C38*1.112</f>
        <v>0</v>
      </c>
      <c r="F38" s="80">
        <f t="shared" si="12"/>
        <v>0</v>
      </c>
      <c r="G38" s="179">
        <f>+E38*1.035</f>
        <v>0</v>
      </c>
      <c r="H38" s="80">
        <f t="shared" si="13"/>
        <v>0</v>
      </c>
      <c r="I38" s="179">
        <f>+G38*1.032</f>
        <v>0</v>
      </c>
      <c r="J38" s="80">
        <f t="shared" si="14"/>
        <v>0</v>
      </c>
      <c r="K38" s="179">
        <f>+I38*1.025</f>
        <v>0</v>
      </c>
      <c r="L38" s="80">
        <f t="shared" si="15"/>
        <v>0</v>
      </c>
      <c r="M38" s="179">
        <f>+K38*1.025</f>
        <v>0</v>
      </c>
      <c r="N38" s="80">
        <f t="shared" si="16"/>
        <v>0</v>
      </c>
      <c r="O38" s="179">
        <f>+M38*1.025</f>
        <v>0</v>
      </c>
      <c r="P38" s="80">
        <f t="shared" si="17"/>
        <v>0</v>
      </c>
      <c r="Q38" s="179">
        <f>+O38*1.025</f>
        <v>0</v>
      </c>
      <c r="R38" s="80">
        <f t="shared" si="18"/>
        <v>0</v>
      </c>
      <c r="S38" s="179">
        <f>+Q38*1.025</f>
        <v>0</v>
      </c>
      <c r="T38" s="80">
        <f t="shared" si="19"/>
        <v>0</v>
      </c>
      <c r="U38" s="179">
        <f>+S38*1.025</f>
        <v>0</v>
      </c>
      <c r="V38" s="80">
        <f t="shared" si="20"/>
        <v>0</v>
      </c>
    </row>
    <row r="39" spans="1:22" ht="12.75" customHeight="1">
      <c r="A39" s="2" t="s">
        <v>374</v>
      </c>
      <c r="B39" s="35"/>
      <c r="C39" s="113"/>
      <c r="D39" s="80">
        <f t="shared" si="11"/>
        <v>0</v>
      </c>
      <c r="E39" s="179">
        <f t="shared" si="21"/>
        <v>0</v>
      </c>
      <c r="F39" s="80">
        <f t="shared" si="12"/>
        <v>0</v>
      </c>
      <c r="G39" s="179">
        <f>+E39*1.035</f>
        <v>0</v>
      </c>
      <c r="H39" s="80">
        <f t="shared" si="13"/>
        <v>0</v>
      </c>
      <c r="I39" s="179">
        <f>+G39*1.032</f>
        <v>0</v>
      </c>
      <c r="J39" s="80">
        <f t="shared" si="14"/>
        <v>0</v>
      </c>
      <c r="K39" s="179">
        <f>+I39*1.025</f>
        <v>0</v>
      </c>
      <c r="L39" s="80">
        <f t="shared" si="15"/>
        <v>0</v>
      </c>
      <c r="M39" s="179">
        <f>+K39*1.025</f>
        <v>0</v>
      </c>
      <c r="N39" s="80">
        <f t="shared" si="16"/>
        <v>0</v>
      </c>
      <c r="O39" s="179">
        <f>+M39*1.025</f>
        <v>0</v>
      </c>
      <c r="P39" s="80">
        <f t="shared" si="17"/>
        <v>0</v>
      </c>
      <c r="Q39" s="179">
        <f>+O39*1.025</f>
        <v>0</v>
      </c>
      <c r="R39" s="80">
        <f t="shared" si="18"/>
        <v>0</v>
      </c>
      <c r="S39" s="179">
        <f>+Q39*1.025</f>
        <v>0</v>
      </c>
      <c r="T39" s="80">
        <f t="shared" si="19"/>
        <v>0</v>
      </c>
      <c r="U39" s="179">
        <f>+S39*1.025</f>
        <v>0</v>
      </c>
      <c r="V39" s="80">
        <f t="shared" si="20"/>
        <v>0</v>
      </c>
    </row>
    <row r="40" spans="1:22" ht="12.75" customHeight="1">
      <c r="A40" s="2" t="s">
        <v>375</v>
      </c>
      <c r="B40" s="35"/>
      <c r="C40" s="113">
        <f>C36*0.124</f>
        <v>0</v>
      </c>
      <c r="D40" s="80">
        <f t="shared" si="11"/>
        <v>0</v>
      </c>
      <c r="E40" s="113">
        <f>E36*0.124</f>
        <v>0</v>
      </c>
      <c r="F40" s="80">
        <f t="shared" si="12"/>
        <v>0</v>
      </c>
      <c r="G40" s="113">
        <f>G36*0.124</f>
        <v>0</v>
      </c>
      <c r="H40" s="80">
        <f t="shared" si="13"/>
        <v>0</v>
      </c>
      <c r="I40" s="113">
        <f>I36*0.124</f>
        <v>0</v>
      </c>
      <c r="J40" s="80">
        <f t="shared" si="14"/>
        <v>0</v>
      </c>
      <c r="K40" s="113">
        <f>K36*0.124</f>
        <v>0</v>
      </c>
      <c r="L40" s="80">
        <f t="shared" si="15"/>
        <v>0</v>
      </c>
      <c r="M40" s="113">
        <f>M36*0.124</f>
        <v>0</v>
      </c>
      <c r="N40" s="80">
        <f t="shared" si="16"/>
        <v>0</v>
      </c>
      <c r="O40" s="113">
        <f>O36*0.124</f>
        <v>0</v>
      </c>
      <c r="P40" s="80">
        <f t="shared" si="17"/>
        <v>0</v>
      </c>
      <c r="Q40" s="113">
        <f>Q36*0.124</f>
        <v>0</v>
      </c>
      <c r="R40" s="80">
        <f t="shared" si="18"/>
        <v>0</v>
      </c>
      <c r="S40" s="113">
        <f>S36*0.124</f>
        <v>0</v>
      </c>
      <c r="T40" s="80">
        <f t="shared" si="19"/>
        <v>0</v>
      </c>
      <c r="U40" s="113">
        <f>U36*0.124</f>
        <v>0</v>
      </c>
      <c r="V40" s="80">
        <f t="shared" si="20"/>
        <v>0</v>
      </c>
    </row>
    <row r="41" spans="1:22" ht="12.75" customHeight="1">
      <c r="A41" s="2" t="s">
        <v>376</v>
      </c>
      <c r="B41" s="35"/>
      <c r="C41" s="113">
        <f>C37*0.124</f>
        <v>0</v>
      </c>
      <c r="D41" s="80">
        <f t="shared" si="11"/>
        <v>0</v>
      </c>
      <c r="E41" s="113">
        <f>E37*0.124</f>
        <v>0</v>
      </c>
      <c r="F41" s="80">
        <f t="shared" si="12"/>
        <v>0</v>
      </c>
      <c r="G41" s="113">
        <f>G37*0.124</f>
        <v>0</v>
      </c>
      <c r="H41" s="80">
        <f t="shared" si="13"/>
        <v>0</v>
      </c>
      <c r="I41" s="113">
        <f>I37*0.124</f>
        <v>0</v>
      </c>
      <c r="J41" s="80">
        <f t="shared" si="14"/>
        <v>0</v>
      </c>
      <c r="K41" s="113">
        <f>K37*0.124</f>
        <v>0</v>
      </c>
      <c r="L41" s="80">
        <f t="shared" si="15"/>
        <v>0</v>
      </c>
      <c r="M41" s="113">
        <f>M37*0.124</f>
        <v>0</v>
      </c>
      <c r="N41" s="80">
        <f t="shared" si="16"/>
        <v>0</v>
      </c>
      <c r="O41" s="113">
        <f>O37*0.124</f>
        <v>0</v>
      </c>
      <c r="P41" s="80">
        <f t="shared" si="17"/>
        <v>0</v>
      </c>
      <c r="Q41" s="113">
        <f>Q37*0.124</f>
        <v>0</v>
      </c>
      <c r="R41" s="80">
        <f t="shared" si="18"/>
        <v>0</v>
      </c>
      <c r="S41" s="113">
        <f>S37*0.124</f>
        <v>0</v>
      </c>
      <c r="T41" s="80">
        <f t="shared" si="19"/>
        <v>0</v>
      </c>
      <c r="U41" s="113">
        <f>U37*0.124</f>
        <v>0</v>
      </c>
      <c r="V41" s="80">
        <f t="shared" si="20"/>
        <v>0</v>
      </c>
    </row>
    <row r="42" spans="1:22" ht="12.75" customHeight="1">
      <c r="A42" s="2" t="s">
        <v>377</v>
      </c>
      <c r="B42" s="35"/>
      <c r="C42" s="113"/>
      <c r="D42" s="80">
        <f t="shared" si="11"/>
        <v>0</v>
      </c>
      <c r="E42" s="179"/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13"/>
      <c r="D43" s="80">
        <f t="shared" si="11"/>
        <v>0</v>
      </c>
      <c r="E43" s="179"/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13"/>
      <c r="D44" s="80">
        <f t="shared" si="11"/>
        <v>0</v>
      </c>
      <c r="E44" s="179"/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14">
        <f>SUM(C36:C39)*0.094</f>
        <v>0</v>
      </c>
      <c r="D45" s="80">
        <f t="shared" si="11"/>
        <v>0</v>
      </c>
      <c r="E45" s="114">
        <f>SUM(E36:E39)*0.094</f>
        <v>0</v>
      </c>
      <c r="F45" s="80">
        <f t="shared" si="12"/>
        <v>0</v>
      </c>
      <c r="G45" s="114">
        <f>SUM(G36:G39)*0.094</f>
        <v>0</v>
      </c>
      <c r="H45" s="80">
        <f t="shared" si="13"/>
        <v>0</v>
      </c>
      <c r="I45" s="114">
        <f>SUM(I36:I39)*0.094</f>
        <v>0</v>
      </c>
      <c r="J45" s="80">
        <f t="shared" si="14"/>
        <v>0</v>
      </c>
      <c r="K45" s="114">
        <f>SUM(K36:K39)*0.094</f>
        <v>0</v>
      </c>
      <c r="L45" s="80">
        <f t="shared" si="15"/>
        <v>0</v>
      </c>
      <c r="M45" s="114">
        <f>SUM(M36:M39)*0.094</f>
        <v>0</v>
      </c>
      <c r="N45" s="80">
        <f t="shared" si="16"/>
        <v>0</v>
      </c>
      <c r="O45" s="114">
        <f>SUM(O36:O39)*0.094</f>
        <v>0</v>
      </c>
      <c r="P45" s="80">
        <f t="shared" si="17"/>
        <v>0</v>
      </c>
      <c r="Q45" s="114">
        <f>SUM(Q36:Q39)*0.094</f>
        <v>0</v>
      </c>
      <c r="R45" s="80">
        <f t="shared" si="18"/>
        <v>0</v>
      </c>
      <c r="S45" s="114">
        <f>SUM(S36:S39)*0.094</f>
        <v>0</v>
      </c>
      <c r="T45" s="80">
        <f t="shared" si="19"/>
        <v>0</v>
      </c>
      <c r="U45" s="114">
        <f>SUM(U36:U39)*0.094</f>
        <v>0</v>
      </c>
      <c r="V45" s="80">
        <f t="shared" si="20"/>
        <v>0</v>
      </c>
    </row>
    <row r="46" spans="1:22" ht="12.75" customHeight="1">
      <c r="A46" s="1" t="s">
        <v>381</v>
      </c>
      <c r="B46" s="53"/>
      <c r="C46" s="82">
        <f>SUM(C36:C45)</f>
        <v>0</v>
      </c>
      <c r="D46" s="83">
        <f t="shared" si="11"/>
        <v>0</v>
      </c>
      <c r="E46" s="82">
        <f>SUM(E36:E45)</f>
        <v>0</v>
      </c>
      <c r="F46" s="83">
        <f t="shared" si="12"/>
        <v>0</v>
      </c>
      <c r="G46" s="82">
        <f>SUM(G36:G45)</f>
        <v>0</v>
      </c>
      <c r="H46" s="83">
        <f t="shared" si="13"/>
        <v>0</v>
      </c>
      <c r="I46" s="82">
        <f>SUM(I36:I45)</f>
        <v>0</v>
      </c>
      <c r="J46" s="83">
        <f t="shared" si="14"/>
        <v>0</v>
      </c>
      <c r="K46" s="82">
        <f>SUM(K36:K45)</f>
        <v>0</v>
      </c>
      <c r="L46" s="83">
        <f t="shared" si="15"/>
        <v>0</v>
      </c>
      <c r="M46" s="82">
        <f>SUM(M36:M45)</f>
        <v>0</v>
      </c>
      <c r="N46" s="83">
        <f t="shared" si="16"/>
        <v>0</v>
      </c>
      <c r="O46" s="82">
        <f>SUM(O36:O45)</f>
        <v>0</v>
      </c>
      <c r="P46" s="83">
        <f t="shared" si="17"/>
        <v>0</v>
      </c>
      <c r="Q46" s="82">
        <f>SUM(Q36:Q45)</f>
        <v>0</v>
      </c>
      <c r="R46" s="83">
        <f t="shared" si="18"/>
        <v>0</v>
      </c>
      <c r="S46" s="82">
        <f>SUM(S36:S45)</f>
        <v>0</v>
      </c>
      <c r="T46" s="83">
        <f t="shared" si="19"/>
        <v>0</v>
      </c>
      <c r="U46" s="82">
        <f>SUM(U36:U45)</f>
        <v>0</v>
      </c>
      <c r="V46" s="83">
        <f t="shared" si="20"/>
        <v>0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83" si="22">IFERROR(C52/C$28,0)</f>
        <v>0</v>
      </c>
      <c r="E52" s="179">
        <v>0</v>
      </c>
      <c r="F52" s="80">
        <f t="shared" ref="F52:F105" si="23">IFERROR(E52/E$28,0)</f>
        <v>0</v>
      </c>
      <c r="G52" s="179">
        <v>0</v>
      </c>
      <c r="H52" s="80">
        <f t="shared" ref="H52:H105" si="24">IFERROR(G52/G$28,0)</f>
        <v>0</v>
      </c>
      <c r="I52" s="179">
        <v>0</v>
      </c>
      <c r="J52" s="80">
        <f t="shared" ref="J52:J105" si="25">IFERROR(I52/I$28,0)</f>
        <v>0</v>
      </c>
      <c r="K52" s="179">
        <v>0</v>
      </c>
      <c r="L52" s="80">
        <f t="shared" ref="L52:L105" si="26">IFERROR(K52/K$28,0)</f>
        <v>0</v>
      </c>
      <c r="M52" s="179">
        <v>0</v>
      </c>
      <c r="N52" s="80">
        <f t="shared" ref="N52:N105" si="27">IFERROR(M52/M$28,0)</f>
        <v>0</v>
      </c>
      <c r="O52" s="179">
        <v>0</v>
      </c>
      <c r="P52" s="80">
        <f t="shared" ref="P52:P105" si="28">IFERROR(O52/O$28,0)</f>
        <v>0</v>
      </c>
      <c r="Q52" s="179">
        <v>0</v>
      </c>
      <c r="R52" s="80">
        <f t="shared" ref="R52:R105" si="29">IFERROR(Q52/Q$28,0)</f>
        <v>0</v>
      </c>
      <c r="S52" s="179">
        <v>0</v>
      </c>
      <c r="T52" s="80">
        <f t="shared" ref="T52:T105" si="30">IFERROR(S52/S$28,0)</f>
        <v>0</v>
      </c>
      <c r="U52" s="179">
        <v>0</v>
      </c>
      <c r="V52" s="80">
        <f t="shared" ref="V52:V105" si="31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2"/>
        <v>0</v>
      </c>
      <c r="E53" s="179">
        <v>0</v>
      </c>
      <c r="F53" s="80">
        <f t="shared" si="23"/>
        <v>0</v>
      </c>
      <c r="G53" s="179">
        <v>0</v>
      </c>
      <c r="H53" s="80">
        <f t="shared" si="24"/>
        <v>0</v>
      </c>
      <c r="I53" s="179">
        <v>0</v>
      </c>
      <c r="J53" s="80">
        <f t="shared" si="25"/>
        <v>0</v>
      </c>
      <c r="K53" s="179">
        <v>0</v>
      </c>
      <c r="L53" s="80">
        <f t="shared" si="26"/>
        <v>0</v>
      </c>
      <c r="M53" s="179">
        <v>0</v>
      </c>
      <c r="N53" s="80">
        <f t="shared" si="27"/>
        <v>0</v>
      </c>
      <c r="O53" s="179">
        <v>0</v>
      </c>
      <c r="P53" s="80">
        <f t="shared" si="28"/>
        <v>0</v>
      </c>
      <c r="Q53" s="179">
        <v>0</v>
      </c>
      <c r="R53" s="80">
        <f t="shared" si="29"/>
        <v>0</v>
      </c>
      <c r="S53" s="179">
        <v>0</v>
      </c>
      <c r="T53" s="80">
        <f t="shared" si="30"/>
        <v>0</v>
      </c>
      <c r="U53" s="179">
        <v>0</v>
      </c>
      <c r="V53" s="80">
        <f t="shared" si="31"/>
        <v>0</v>
      </c>
      <c r="X53" s="200"/>
    </row>
    <row r="54" spans="1:24" ht="12.75" customHeight="1">
      <c r="A54" s="2" t="s">
        <v>385</v>
      </c>
      <c r="B54" s="35"/>
      <c r="C54" s="179">
        <v>0</v>
      </c>
      <c r="D54" s="80">
        <f t="shared" si="22"/>
        <v>0</v>
      </c>
      <c r="E54" s="179">
        <v>0</v>
      </c>
      <c r="F54" s="80">
        <f t="shared" si="23"/>
        <v>0</v>
      </c>
      <c r="G54" s="179">
        <v>0</v>
      </c>
      <c r="H54" s="80">
        <f t="shared" si="24"/>
        <v>0</v>
      </c>
      <c r="I54" s="179">
        <v>0</v>
      </c>
      <c r="J54" s="80">
        <f t="shared" si="25"/>
        <v>0</v>
      </c>
      <c r="K54" s="179">
        <v>0</v>
      </c>
      <c r="L54" s="80">
        <f t="shared" si="26"/>
        <v>0</v>
      </c>
      <c r="M54" s="179">
        <v>0</v>
      </c>
      <c r="N54" s="80">
        <f t="shared" si="27"/>
        <v>0</v>
      </c>
      <c r="O54" s="179">
        <v>0</v>
      </c>
      <c r="P54" s="80">
        <f t="shared" si="28"/>
        <v>0</v>
      </c>
      <c r="Q54" s="179">
        <v>0</v>
      </c>
      <c r="R54" s="80">
        <f t="shared" si="29"/>
        <v>0</v>
      </c>
      <c r="S54" s="179">
        <v>0</v>
      </c>
      <c r="T54" s="80">
        <f t="shared" si="30"/>
        <v>0</v>
      </c>
      <c r="U54" s="179">
        <v>0</v>
      </c>
      <c r="V54" s="80">
        <f t="shared" si="31"/>
        <v>0</v>
      </c>
      <c r="X54" s="200"/>
    </row>
    <row r="55" spans="1:24" ht="12.75" customHeight="1">
      <c r="A55" s="2" t="s">
        <v>386</v>
      </c>
      <c r="B55" s="35"/>
      <c r="C55" s="179">
        <v>0</v>
      </c>
      <c r="D55" s="80">
        <f t="shared" si="22"/>
        <v>0</v>
      </c>
      <c r="E55" s="179">
        <v>0</v>
      </c>
      <c r="F55" s="80">
        <f t="shared" si="23"/>
        <v>0</v>
      </c>
      <c r="G55" s="179">
        <v>0</v>
      </c>
      <c r="H55" s="80">
        <f t="shared" si="24"/>
        <v>0</v>
      </c>
      <c r="I55" s="179">
        <v>0</v>
      </c>
      <c r="J55" s="80">
        <f t="shared" si="25"/>
        <v>0</v>
      </c>
      <c r="K55" s="179">
        <v>0</v>
      </c>
      <c r="L55" s="80">
        <f t="shared" si="26"/>
        <v>0</v>
      </c>
      <c r="M55" s="179">
        <v>0</v>
      </c>
      <c r="N55" s="80">
        <f t="shared" si="27"/>
        <v>0</v>
      </c>
      <c r="O55" s="179">
        <v>0</v>
      </c>
      <c r="P55" s="80">
        <f t="shared" si="28"/>
        <v>0</v>
      </c>
      <c r="Q55" s="179">
        <v>0</v>
      </c>
      <c r="R55" s="80">
        <f t="shared" si="29"/>
        <v>0</v>
      </c>
      <c r="S55" s="179">
        <v>0</v>
      </c>
      <c r="T55" s="80">
        <f t="shared" si="30"/>
        <v>0</v>
      </c>
      <c r="U55" s="179">
        <v>0</v>
      </c>
      <c r="V55" s="80">
        <f t="shared" si="31"/>
        <v>0</v>
      </c>
      <c r="X55" s="200"/>
    </row>
    <row r="56" spans="1:24" ht="12.75" customHeight="1">
      <c r="A56" s="2" t="s">
        <v>387</v>
      </c>
      <c r="B56" s="35"/>
      <c r="C56" s="179">
        <v>0</v>
      </c>
      <c r="D56" s="80">
        <f t="shared" si="22"/>
        <v>0</v>
      </c>
      <c r="E56" s="179">
        <v>0</v>
      </c>
      <c r="F56" s="80">
        <f t="shared" si="23"/>
        <v>0</v>
      </c>
      <c r="G56" s="179">
        <v>0</v>
      </c>
      <c r="H56" s="80">
        <f t="shared" si="24"/>
        <v>0</v>
      </c>
      <c r="I56" s="179">
        <v>0</v>
      </c>
      <c r="J56" s="80">
        <f t="shared" si="25"/>
        <v>0</v>
      </c>
      <c r="K56" s="179">
        <v>0</v>
      </c>
      <c r="L56" s="80">
        <f t="shared" si="26"/>
        <v>0</v>
      </c>
      <c r="M56" s="179">
        <v>0</v>
      </c>
      <c r="N56" s="80">
        <f t="shared" si="27"/>
        <v>0</v>
      </c>
      <c r="O56" s="179">
        <v>0</v>
      </c>
      <c r="P56" s="80">
        <f t="shared" si="28"/>
        <v>0</v>
      </c>
      <c r="Q56" s="179">
        <v>0</v>
      </c>
      <c r="R56" s="80">
        <f t="shared" si="29"/>
        <v>0</v>
      </c>
      <c r="S56" s="179">
        <v>0</v>
      </c>
      <c r="T56" s="80">
        <f t="shared" si="30"/>
        <v>0</v>
      </c>
      <c r="U56" s="179">
        <v>0</v>
      </c>
      <c r="V56" s="80">
        <f t="shared" si="31"/>
        <v>0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2"/>
        <v>0</v>
      </c>
      <c r="E57" s="179">
        <v>0</v>
      </c>
      <c r="F57" s="80">
        <f t="shared" si="23"/>
        <v>0</v>
      </c>
      <c r="G57" s="179">
        <v>0</v>
      </c>
      <c r="H57" s="80">
        <f t="shared" si="24"/>
        <v>0</v>
      </c>
      <c r="I57" s="179">
        <v>0</v>
      </c>
      <c r="J57" s="80">
        <f t="shared" si="25"/>
        <v>0</v>
      </c>
      <c r="K57" s="179">
        <v>0</v>
      </c>
      <c r="L57" s="80">
        <f t="shared" si="26"/>
        <v>0</v>
      </c>
      <c r="M57" s="179">
        <v>0</v>
      </c>
      <c r="N57" s="80">
        <f t="shared" si="27"/>
        <v>0</v>
      </c>
      <c r="O57" s="179">
        <v>0</v>
      </c>
      <c r="P57" s="80">
        <f t="shared" si="28"/>
        <v>0</v>
      </c>
      <c r="Q57" s="179">
        <v>0</v>
      </c>
      <c r="R57" s="80">
        <f t="shared" si="29"/>
        <v>0</v>
      </c>
      <c r="S57" s="179">
        <v>0</v>
      </c>
      <c r="T57" s="80">
        <f t="shared" si="30"/>
        <v>0</v>
      </c>
      <c r="U57" s="179">
        <v>0</v>
      </c>
      <c r="V57" s="80">
        <f t="shared" si="31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2"/>
        <v>0</v>
      </c>
      <c r="E58" s="179">
        <v>0</v>
      </c>
      <c r="F58" s="80">
        <f t="shared" si="23"/>
        <v>0</v>
      </c>
      <c r="G58" s="179">
        <v>0</v>
      </c>
      <c r="H58" s="80">
        <f t="shared" si="24"/>
        <v>0</v>
      </c>
      <c r="I58" s="179">
        <v>0</v>
      </c>
      <c r="J58" s="80">
        <f t="shared" si="25"/>
        <v>0</v>
      </c>
      <c r="K58" s="179">
        <v>0</v>
      </c>
      <c r="L58" s="80">
        <f t="shared" si="26"/>
        <v>0</v>
      </c>
      <c r="M58" s="179">
        <v>0</v>
      </c>
      <c r="N58" s="80">
        <f t="shared" si="27"/>
        <v>0</v>
      </c>
      <c r="O58" s="179">
        <v>0</v>
      </c>
      <c r="P58" s="80">
        <f t="shared" si="28"/>
        <v>0</v>
      </c>
      <c r="Q58" s="179">
        <v>0</v>
      </c>
      <c r="R58" s="80">
        <f t="shared" si="29"/>
        <v>0</v>
      </c>
      <c r="S58" s="179">
        <v>0</v>
      </c>
      <c r="T58" s="80">
        <f t="shared" si="30"/>
        <v>0</v>
      </c>
      <c r="U58" s="179">
        <v>0</v>
      </c>
      <c r="V58" s="80">
        <f t="shared" si="31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2"/>
        <v>0</v>
      </c>
      <c r="E59" s="179">
        <v>0</v>
      </c>
      <c r="F59" s="80">
        <f t="shared" si="23"/>
        <v>0</v>
      </c>
      <c r="G59" s="179">
        <v>0</v>
      </c>
      <c r="H59" s="80">
        <f t="shared" si="24"/>
        <v>0</v>
      </c>
      <c r="I59" s="179">
        <v>0</v>
      </c>
      <c r="J59" s="80">
        <f t="shared" si="25"/>
        <v>0</v>
      </c>
      <c r="K59" s="179">
        <v>0</v>
      </c>
      <c r="L59" s="80">
        <f t="shared" si="26"/>
        <v>0</v>
      </c>
      <c r="M59" s="179">
        <v>0</v>
      </c>
      <c r="N59" s="80">
        <f t="shared" si="27"/>
        <v>0</v>
      </c>
      <c r="O59" s="179">
        <v>0</v>
      </c>
      <c r="P59" s="80">
        <f t="shared" si="28"/>
        <v>0</v>
      </c>
      <c r="Q59" s="179">
        <v>0</v>
      </c>
      <c r="R59" s="80">
        <f t="shared" si="29"/>
        <v>0</v>
      </c>
      <c r="S59" s="179">
        <v>0</v>
      </c>
      <c r="T59" s="80">
        <f t="shared" si="30"/>
        <v>0</v>
      </c>
      <c r="U59" s="179">
        <v>0</v>
      </c>
      <c r="V59" s="80">
        <f t="shared" si="31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2"/>
        <v>0</v>
      </c>
      <c r="E60" s="179">
        <v>0</v>
      </c>
      <c r="F60" s="80">
        <f t="shared" si="23"/>
        <v>0</v>
      </c>
      <c r="G60" s="179">
        <v>0</v>
      </c>
      <c r="H60" s="80">
        <f t="shared" si="24"/>
        <v>0</v>
      </c>
      <c r="I60" s="179">
        <v>0</v>
      </c>
      <c r="J60" s="80">
        <f t="shared" si="25"/>
        <v>0</v>
      </c>
      <c r="K60" s="179">
        <v>0</v>
      </c>
      <c r="L60" s="80">
        <f t="shared" si="26"/>
        <v>0</v>
      </c>
      <c r="M60" s="179">
        <v>0</v>
      </c>
      <c r="N60" s="80">
        <f t="shared" si="27"/>
        <v>0</v>
      </c>
      <c r="O60" s="179">
        <v>0</v>
      </c>
      <c r="P60" s="80">
        <f t="shared" si="28"/>
        <v>0</v>
      </c>
      <c r="Q60" s="179">
        <v>0</v>
      </c>
      <c r="R60" s="80">
        <f t="shared" si="29"/>
        <v>0</v>
      </c>
      <c r="S60" s="179">
        <v>0</v>
      </c>
      <c r="T60" s="80">
        <f t="shared" si="30"/>
        <v>0</v>
      </c>
      <c r="U60" s="179">
        <v>0</v>
      </c>
      <c r="V60" s="80">
        <f t="shared" si="31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2"/>
        <v>0</v>
      </c>
      <c r="E61" s="179">
        <v>0</v>
      </c>
      <c r="F61" s="80">
        <f t="shared" si="23"/>
        <v>0</v>
      </c>
      <c r="G61" s="179">
        <v>0</v>
      </c>
      <c r="H61" s="80">
        <f t="shared" si="24"/>
        <v>0</v>
      </c>
      <c r="I61" s="179">
        <v>0</v>
      </c>
      <c r="J61" s="80">
        <f t="shared" si="25"/>
        <v>0</v>
      </c>
      <c r="K61" s="179">
        <v>0</v>
      </c>
      <c r="L61" s="80">
        <f t="shared" si="26"/>
        <v>0</v>
      </c>
      <c r="M61" s="179">
        <v>0</v>
      </c>
      <c r="N61" s="80">
        <f t="shared" si="27"/>
        <v>0</v>
      </c>
      <c r="O61" s="179">
        <v>0</v>
      </c>
      <c r="P61" s="80">
        <f t="shared" si="28"/>
        <v>0</v>
      </c>
      <c r="Q61" s="179">
        <v>0</v>
      </c>
      <c r="R61" s="80">
        <f t="shared" si="29"/>
        <v>0</v>
      </c>
      <c r="S61" s="179">
        <v>0</v>
      </c>
      <c r="T61" s="80">
        <f t="shared" si="30"/>
        <v>0</v>
      </c>
      <c r="U61" s="179">
        <v>0</v>
      </c>
      <c r="V61" s="80">
        <f t="shared" si="31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2"/>
        <v>0</v>
      </c>
      <c r="E62" s="179">
        <v>0</v>
      </c>
      <c r="F62" s="80">
        <f t="shared" si="23"/>
        <v>0</v>
      </c>
      <c r="G62" s="179">
        <v>0</v>
      </c>
      <c r="H62" s="80">
        <f t="shared" si="24"/>
        <v>0</v>
      </c>
      <c r="I62" s="179">
        <v>0</v>
      </c>
      <c r="J62" s="80">
        <f t="shared" si="25"/>
        <v>0</v>
      </c>
      <c r="K62" s="179">
        <v>0</v>
      </c>
      <c r="L62" s="80">
        <f t="shared" si="26"/>
        <v>0</v>
      </c>
      <c r="M62" s="179">
        <v>0</v>
      </c>
      <c r="N62" s="80">
        <f t="shared" si="27"/>
        <v>0</v>
      </c>
      <c r="O62" s="179">
        <v>0</v>
      </c>
      <c r="P62" s="80">
        <f t="shared" si="28"/>
        <v>0</v>
      </c>
      <c r="Q62" s="179">
        <v>0</v>
      </c>
      <c r="R62" s="80">
        <f t="shared" si="29"/>
        <v>0</v>
      </c>
      <c r="S62" s="179">
        <v>0</v>
      </c>
      <c r="T62" s="80">
        <f t="shared" si="30"/>
        <v>0</v>
      </c>
      <c r="U62" s="179">
        <v>0</v>
      </c>
      <c r="V62" s="80">
        <f t="shared" si="31"/>
        <v>0</v>
      </c>
      <c r="X62" s="200"/>
    </row>
    <row r="63" spans="1:24" ht="12.75" customHeight="1">
      <c r="A63" s="2" t="s">
        <v>394</v>
      </c>
      <c r="B63" s="35"/>
      <c r="C63" s="179">
        <v>0</v>
      </c>
      <c r="D63" s="80">
        <f t="shared" si="22"/>
        <v>0</v>
      </c>
      <c r="E63" s="179">
        <v>0</v>
      </c>
      <c r="F63" s="80">
        <f t="shared" si="23"/>
        <v>0</v>
      </c>
      <c r="G63" s="179">
        <v>0</v>
      </c>
      <c r="H63" s="80">
        <f t="shared" si="24"/>
        <v>0</v>
      </c>
      <c r="I63" s="179">
        <v>0</v>
      </c>
      <c r="J63" s="80">
        <f t="shared" si="25"/>
        <v>0</v>
      </c>
      <c r="K63" s="179">
        <v>0</v>
      </c>
      <c r="L63" s="80">
        <f t="shared" si="26"/>
        <v>0</v>
      </c>
      <c r="M63" s="179">
        <v>0</v>
      </c>
      <c r="N63" s="80">
        <f t="shared" si="27"/>
        <v>0</v>
      </c>
      <c r="O63" s="179">
        <v>0</v>
      </c>
      <c r="P63" s="80">
        <f t="shared" si="28"/>
        <v>0</v>
      </c>
      <c r="Q63" s="179">
        <v>0</v>
      </c>
      <c r="R63" s="80">
        <f t="shared" si="29"/>
        <v>0</v>
      </c>
      <c r="S63" s="179">
        <v>0</v>
      </c>
      <c r="T63" s="80">
        <f t="shared" si="30"/>
        <v>0</v>
      </c>
      <c r="U63" s="179">
        <v>0</v>
      </c>
      <c r="V63" s="80">
        <f t="shared" si="31"/>
        <v>0</v>
      </c>
      <c r="X63" s="200"/>
    </row>
    <row r="64" spans="1:24" ht="12.75" customHeight="1">
      <c r="A64" s="2" t="s">
        <v>395</v>
      </c>
      <c r="B64" s="35"/>
      <c r="C64" s="179">
        <v>0</v>
      </c>
      <c r="D64" s="80">
        <f t="shared" si="22"/>
        <v>0</v>
      </c>
      <c r="E64" s="179">
        <v>0</v>
      </c>
      <c r="F64" s="80">
        <f t="shared" si="23"/>
        <v>0</v>
      </c>
      <c r="G64" s="179">
        <v>0</v>
      </c>
      <c r="H64" s="80">
        <f t="shared" si="24"/>
        <v>0</v>
      </c>
      <c r="I64" s="179">
        <v>0</v>
      </c>
      <c r="J64" s="80">
        <f t="shared" si="25"/>
        <v>0</v>
      </c>
      <c r="K64" s="179">
        <v>0</v>
      </c>
      <c r="L64" s="80">
        <f t="shared" si="26"/>
        <v>0</v>
      </c>
      <c r="M64" s="179">
        <v>0</v>
      </c>
      <c r="N64" s="80">
        <f t="shared" si="27"/>
        <v>0</v>
      </c>
      <c r="O64" s="179">
        <v>0</v>
      </c>
      <c r="P64" s="80">
        <f t="shared" si="28"/>
        <v>0</v>
      </c>
      <c r="Q64" s="179">
        <v>0</v>
      </c>
      <c r="R64" s="80">
        <f t="shared" si="29"/>
        <v>0</v>
      </c>
      <c r="S64" s="179">
        <v>0</v>
      </c>
      <c r="T64" s="80">
        <f t="shared" si="30"/>
        <v>0</v>
      </c>
      <c r="U64" s="179">
        <v>0</v>
      </c>
      <c r="V64" s="80">
        <f t="shared" si="31"/>
        <v>0</v>
      </c>
      <c r="X64" s="200"/>
    </row>
    <row r="65" spans="1:24" ht="12.75" customHeight="1">
      <c r="A65" s="2" t="s">
        <v>396</v>
      </c>
      <c r="B65" s="35"/>
      <c r="C65" s="179">
        <v>0</v>
      </c>
      <c r="D65" s="80">
        <f t="shared" si="22"/>
        <v>0</v>
      </c>
      <c r="E65" s="179">
        <v>0</v>
      </c>
      <c r="F65" s="80">
        <f t="shared" si="23"/>
        <v>0</v>
      </c>
      <c r="G65" s="179">
        <v>0</v>
      </c>
      <c r="H65" s="80">
        <f t="shared" si="24"/>
        <v>0</v>
      </c>
      <c r="I65" s="179">
        <v>0</v>
      </c>
      <c r="J65" s="80">
        <f t="shared" si="25"/>
        <v>0</v>
      </c>
      <c r="K65" s="179">
        <v>0</v>
      </c>
      <c r="L65" s="80">
        <f t="shared" si="26"/>
        <v>0</v>
      </c>
      <c r="M65" s="179">
        <v>0</v>
      </c>
      <c r="N65" s="80">
        <f t="shared" si="27"/>
        <v>0</v>
      </c>
      <c r="O65" s="179">
        <v>0</v>
      </c>
      <c r="P65" s="80">
        <f t="shared" si="28"/>
        <v>0</v>
      </c>
      <c r="Q65" s="179">
        <v>0</v>
      </c>
      <c r="R65" s="80">
        <f t="shared" si="29"/>
        <v>0</v>
      </c>
      <c r="S65" s="179">
        <v>0</v>
      </c>
      <c r="T65" s="80">
        <f t="shared" si="30"/>
        <v>0</v>
      </c>
      <c r="U65" s="179">
        <v>0</v>
      </c>
      <c r="V65" s="80">
        <f t="shared" si="31"/>
        <v>0</v>
      </c>
      <c r="X65" s="200"/>
    </row>
    <row r="66" spans="1:24" ht="12.75" customHeight="1">
      <c r="A66" s="2" t="s">
        <v>397</v>
      </c>
      <c r="B66" s="35"/>
      <c r="C66" s="179">
        <v>0</v>
      </c>
      <c r="D66" s="80">
        <f t="shared" si="22"/>
        <v>0</v>
      </c>
      <c r="E66" s="179">
        <v>0</v>
      </c>
      <c r="F66" s="80">
        <f t="shared" si="23"/>
        <v>0</v>
      </c>
      <c r="G66" s="179">
        <v>0</v>
      </c>
      <c r="H66" s="80">
        <f t="shared" si="24"/>
        <v>0</v>
      </c>
      <c r="I66" s="179">
        <v>0</v>
      </c>
      <c r="J66" s="80">
        <f t="shared" si="25"/>
        <v>0</v>
      </c>
      <c r="K66" s="179">
        <v>0</v>
      </c>
      <c r="L66" s="80">
        <f t="shared" si="26"/>
        <v>0</v>
      </c>
      <c r="M66" s="179">
        <v>0</v>
      </c>
      <c r="N66" s="80">
        <f t="shared" si="27"/>
        <v>0</v>
      </c>
      <c r="O66" s="179">
        <v>0</v>
      </c>
      <c r="P66" s="80">
        <f t="shared" si="28"/>
        <v>0</v>
      </c>
      <c r="Q66" s="179">
        <v>0</v>
      </c>
      <c r="R66" s="80">
        <f t="shared" si="29"/>
        <v>0</v>
      </c>
      <c r="S66" s="179">
        <v>0</v>
      </c>
      <c r="T66" s="80">
        <f t="shared" si="30"/>
        <v>0</v>
      </c>
      <c r="U66" s="179">
        <v>0</v>
      </c>
      <c r="V66" s="80">
        <f t="shared" si="31"/>
        <v>0</v>
      </c>
      <c r="X66" s="200"/>
    </row>
    <row r="67" spans="1:24" ht="12.75" customHeight="1">
      <c r="A67" s="2" t="s">
        <v>398</v>
      </c>
      <c r="B67" s="35"/>
      <c r="C67" s="179">
        <v>0</v>
      </c>
      <c r="D67" s="80">
        <f t="shared" si="22"/>
        <v>0</v>
      </c>
      <c r="E67" s="179">
        <v>0</v>
      </c>
      <c r="F67" s="80">
        <f t="shared" si="23"/>
        <v>0</v>
      </c>
      <c r="G67" s="179">
        <v>0</v>
      </c>
      <c r="H67" s="80">
        <f t="shared" si="24"/>
        <v>0</v>
      </c>
      <c r="I67" s="179">
        <v>0</v>
      </c>
      <c r="J67" s="80">
        <f t="shared" si="25"/>
        <v>0</v>
      </c>
      <c r="K67" s="179">
        <v>0</v>
      </c>
      <c r="L67" s="80">
        <f t="shared" si="26"/>
        <v>0</v>
      </c>
      <c r="M67" s="179">
        <v>0</v>
      </c>
      <c r="N67" s="80">
        <f t="shared" si="27"/>
        <v>0</v>
      </c>
      <c r="O67" s="179">
        <v>0</v>
      </c>
      <c r="P67" s="80">
        <f t="shared" si="28"/>
        <v>0</v>
      </c>
      <c r="Q67" s="179">
        <v>0</v>
      </c>
      <c r="R67" s="80">
        <f t="shared" si="29"/>
        <v>0</v>
      </c>
      <c r="S67" s="179">
        <v>0</v>
      </c>
      <c r="T67" s="80">
        <f t="shared" si="30"/>
        <v>0</v>
      </c>
      <c r="U67" s="179">
        <v>0</v>
      </c>
      <c r="V67" s="80">
        <f t="shared" si="31"/>
        <v>0</v>
      </c>
      <c r="X67" s="200"/>
    </row>
    <row r="68" spans="1:24" ht="12.75" customHeight="1">
      <c r="A68" s="2" t="s">
        <v>399</v>
      </c>
      <c r="B68" s="35"/>
      <c r="C68" s="179">
        <v>0</v>
      </c>
      <c r="D68" s="80">
        <f t="shared" si="22"/>
        <v>0</v>
      </c>
      <c r="E68" s="179">
        <v>0</v>
      </c>
      <c r="F68" s="80">
        <f t="shared" si="23"/>
        <v>0</v>
      </c>
      <c r="G68" s="179">
        <v>0</v>
      </c>
      <c r="H68" s="80">
        <f t="shared" si="24"/>
        <v>0</v>
      </c>
      <c r="I68" s="179">
        <v>0</v>
      </c>
      <c r="J68" s="80">
        <f t="shared" si="25"/>
        <v>0</v>
      </c>
      <c r="K68" s="179">
        <v>0</v>
      </c>
      <c r="L68" s="80">
        <f t="shared" si="26"/>
        <v>0</v>
      </c>
      <c r="M68" s="179">
        <v>0</v>
      </c>
      <c r="N68" s="80">
        <f t="shared" si="27"/>
        <v>0</v>
      </c>
      <c r="O68" s="179">
        <v>0</v>
      </c>
      <c r="P68" s="80">
        <f t="shared" si="28"/>
        <v>0</v>
      </c>
      <c r="Q68" s="179">
        <v>0</v>
      </c>
      <c r="R68" s="80">
        <f t="shared" si="29"/>
        <v>0</v>
      </c>
      <c r="S68" s="179">
        <v>0</v>
      </c>
      <c r="T68" s="80">
        <f t="shared" si="30"/>
        <v>0</v>
      </c>
      <c r="U68" s="179">
        <v>0</v>
      </c>
      <c r="V68" s="80">
        <f t="shared" si="31"/>
        <v>0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2"/>
        <v>0</v>
      </c>
      <c r="E69" s="179">
        <v>0</v>
      </c>
      <c r="F69" s="80">
        <f t="shared" si="23"/>
        <v>0</v>
      </c>
      <c r="G69" s="179">
        <v>0</v>
      </c>
      <c r="H69" s="80">
        <f t="shared" si="24"/>
        <v>0</v>
      </c>
      <c r="I69" s="179">
        <v>0</v>
      </c>
      <c r="J69" s="80">
        <f t="shared" si="25"/>
        <v>0</v>
      </c>
      <c r="K69" s="179">
        <v>0</v>
      </c>
      <c r="L69" s="80">
        <f t="shared" si="26"/>
        <v>0</v>
      </c>
      <c r="M69" s="179">
        <v>0</v>
      </c>
      <c r="N69" s="80">
        <f t="shared" si="27"/>
        <v>0</v>
      </c>
      <c r="O69" s="179">
        <v>0</v>
      </c>
      <c r="P69" s="80">
        <f t="shared" si="28"/>
        <v>0</v>
      </c>
      <c r="Q69" s="179">
        <v>0</v>
      </c>
      <c r="R69" s="80">
        <f t="shared" si="29"/>
        <v>0</v>
      </c>
      <c r="S69" s="179">
        <v>0</v>
      </c>
      <c r="T69" s="80">
        <f t="shared" si="30"/>
        <v>0</v>
      </c>
      <c r="U69" s="179">
        <v>0</v>
      </c>
      <c r="V69" s="80">
        <f t="shared" si="31"/>
        <v>0</v>
      </c>
      <c r="X69" s="200"/>
    </row>
    <row r="70" spans="1:24" ht="12.75" customHeight="1">
      <c r="A70" s="2" t="s">
        <v>401</v>
      </c>
      <c r="B70" s="35"/>
      <c r="C70" s="179">
        <v>0</v>
      </c>
      <c r="D70" s="80">
        <f t="shared" si="22"/>
        <v>0</v>
      </c>
      <c r="E70" s="179">
        <v>0</v>
      </c>
      <c r="F70" s="80">
        <f t="shared" si="23"/>
        <v>0</v>
      </c>
      <c r="G70" s="179">
        <v>0</v>
      </c>
      <c r="H70" s="80">
        <f t="shared" si="24"/>
        <v>0</v>
      </c>
      <c r="I70" s="179">
        <v>0</v>
      </c>
      <c r="J70" s="80">
        <f t="shared" si="25"/>
        <v>0</v>
      </c>
      <c r="K70" s="179">
        <v>0</v>
      </c>
      <c r="L70" s="80">
        <f t="shared" si="26"/>
        <v>0</v>
      </c>
      <c r="M70" s="179">
        <v>0</v>
      </c>
      <c r="N70" s="80">
        <f t="shared" si="27"/>
        <v>0</v>
      </c>
      <c r="O70" s="179">
        <v>0</v>
      </c>
      <c r="P70" s="80">
        <f t="shared" si="28"/>
        <v>0</v>
      </c>
      <c r="Q70" s="179">
        <v>0</v>
      </c>
      <c r="R70" s="80">
        <f t="shared" si="29"/>
        <v>0</v>
      </c>
      <c r="S70" s="179">
        <v>0</v>
      </c>
      <c r="T70" s="80">
        <f t="shared" si="30"/>
        <v>0</v>
      </c>
      <c r="U70" s="179">
        <v>0</v>
      </c>
      <c r="V70" s="80">
        <f t="shared" si="31"/>
        <v>0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2"/>
        <v>0</v>
      </c>
      <c r="E71" s="179">
        <v>0</v>
      </c>
      <c r="F71" s="80">
        <f t="shared" si="23"/>
        <v>0</v>
      </c>
      <c r="G71" s="179">
        <v>0</v>
      </c>
      <c r="H71" s="80">
        <f t="shared" si="24"/>
        <v>0</v>
      </c>
      <c r="I71" s="179">
        <v>0</v>
      </c>
      <c r="J71" s="80">
        <f t="shared" si="25"/>
        <v>0</v>
      </c>
      <c r="K71" s="179">
        <v>0</v>
      </c>
      <c r="L71" s="80">
        <f t="shared" si="26"/>
        <v>0</v>
      </c>
      <c r="M71" s="179">
        <v>0</v>
      </c>
      <c r="N71" s="80">
        <f t="shared" si="27"/>
        <v>0</v>
      </c>
      <c r="O71" s="179">
        <v>0</v>
      </c>
      <c r="P71" s="80">
        <f t="shared" si="28"/>
        <v>0</v>
      </c>
      <c r="Q71" s="179">
        <v>0</v>
      </c>
      <c r="R71" s="80">
        <f t="shared" si="29"/>
        <v>0</v>
      </c>
      <c r="S71" s="179">
        <v>0</v>
      </c>
      <c r="T71" s="80">
        <f t="shared" si="30"/>
        <v>0</v>
      </c>
      <c r="U71" s="179">
        <v>0</v>
      </c>
      <c r="V71" s="80">
        <f t="shared" si="31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2"/>
        <v>0</v>
      </c>
      <c r="E72" s="179">
        <v>0</v>
      </c>
      <c r="F72" s="80">
        <f t="shared" si="23"/>
        <v>0</v>
      </c>
      <c r="G72" s="179">
        <v>0</v>
      </c>
      <c r="H72" s="80">
        <f t="shared" si="24"/>
        <v>0</v>
      </c>
      <c r="I72" s="179">
        <v>0</v>
      </c>
      <c r="J72" s="80">
        <f t="shared" si="25"/>
        <v>0</v>
      </c>
      <c r="K72" s="179">
        <v>0</v>
      </c>
      <c r="L72" s="80">
        <f t="shared" si="26"/>
        <v>0</v>
      </c>
      <c r="M72" s="179">
        <v>0</v>
      </c>
      <c r="N72" s="80">
        <f t="shared" si="27"/>
        <v>0</v>
      </c>
      <c r="O72" s="179">
        <v>0</v>
      </c>
      <c r="P72" s="80">
        <f t="shared" si="28"/>
        <v>0</v>
      </c>
      <c r="Q72" s="179">
        <v>0</v>
      </c>
      <c r="R72" s="80">
        <f t="shared" si="29"/>
        <v>0</v>
      </c>
      <c r="S72" s="179">
        <v>0</v>
      </c>
      <c r="T72" s="80">
        <f t="shared" si="30"/>
        <v>0</v>
      </c>
      <c r="U72" s="179">
        <v>0</v>
      </c>
      <c r="V72" s="80">
        <f t="shared" si="31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2"/>
        <v>0</v>
      </c>
      <c r="E73" s="179">
        <v>0</v>
      </c>
      <c r="F73" s="80">
        <f t="shared" si="23"/>
        <v>0</v>
      </c>
      <c r="G73" s="179">
        <v>0</v>
      </c>
      <c r="H73" s="80">
        <f t="shared" si="24"/>
        <v>0</v>
      </c>
      <c r="I73" s="179">
        <v>0</v>
      </c>
      <c r="J73" s="80">
        <f t="shared" si="25"/>
        <v>0</v>
      </c>
      <c r="K73" s="179">
        <v>0</v>
      </c>
      <c r="L73" s="80">
        <f t="shared" si="26"/>
        <v>0</v>
      </c>
      <c r="M73" s="179">
        <v>0</v>
      </c>
      <c r="N73" s="80">
        <f t="shared" si="27"/>
        <v>0</v>
      </c>
      <c r="O73" s="179">
        <v>0</v>
      </c>
      <c r="P73" s="80">
        <f t="shared" si="28"/>
        <v>0</v>
      </c>
      <c r="Q73" s="179">
        <v>0</v>
      </c>
      <c r="R73" s="80">
        <f t="shared" si="29"/>
        <v>0</v>
      </c>
      <c r="S73" s="179">
        <v>0</v>
      </c>
      <c r="T73" s="80">
        <f t="shared" si="30"/>
        <v>0</v>
      </c>
      <c r="U73" s="179">
        <v>0</v>
      </c>
      <c r="V73" s="80">
        <f t="shared" si="31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2"/>
        <v>0</v>
      </c>
      <c r="E74" s="179">
        <v>0</v>
      </c>
      <c r="F74" s="80">
        <f t="shared" si="23"/>
        <v>0</v>
      </c>
      <c r="G74" s="179">
        <v>0</v>
      </c>
      <c r="H74" s="80">
        <f t="shared" si="24"/>
        <v>0</v>
      </c>
      <c r="I74" s="179">
        <v>0</v>
      </c>
      <c r="J74" s="80">
        <f t="shared" si="25"/>
        <v>0</v>
      </c>
      <c r="K74" s="179">
        <v>0</v>
      </c>
      <c r="L74" s="80">
        <f t="shared" si="26"/>
        <v>0</v>
      </c>
      <c r="M74" s="179">
        <v>0</v>
      </c>
      <c r="N74" s="80">
        <f t="shared" si="27"/>
        <v>0</v>
      </c>
      <c r="O74" s="179">
        <v>0</v>
      </c>
      <c r="P74" s="80">
        <f t="shared" si="28"/>
        <v>0</v>
      </c>
      <c r="Q74" s="179">
        <v>0</v>
      </c>
      <c r="R74" s="80">
        <f t="shared" si="29"/>
        <v>0</v>
      </c>
      <c r="S74" s="179">
        <v>0</v>
      </c>
      <c r="T74" s="80">
        <f t="shared" si="30"/>
        <v>0</v>
      </c>
      <c r="U74" s="179">
        <v>0</v>
      </c>
      <c r="V74" s="80">
        <f t="shared" si="31"/>
        <v>0</v>
      </c>
      <c r="X74" s="200"/>
    </row>
    <row r="75" spans="1:24" ht="12.75" customHeight="1">
      <c r="A75" s="2" t="s">
        <v>406</v>
      </c>
      <c r="B75" s="35"/>
      <c r="C75" s="179">
        <v>0</v>
      </c>
      <c r="D75" s="80">
        <f t="shared" si="22"/>
        <v>0</v>
      </c>
      <c r="E75" s="179">
        <v>0</v>
      </c>
      <c r="F75" s="80">
        <f t="shared" si="23"/>
        <v>0</v>
      </c>
      <c r="G75" s="179">
        <v>0</v>
      </c>
      <c r="H75" s="80">
        <f t="shared" si="24"/>
        <v>0</v>
      </c>
      <c r="I75" s="179">
        <v>0</v>
      </c>
      <c r="J75" s="80">
        <f t="shared" si="25"/>
        <v>0</v>
      </c>
      <c r="K75" s="179">
        <v>0</v>
      </c>
      <c r="L75" s="80">
        <f t="shared" si="26"/>
        <v>0</v>
      </c>
      <c r="M75" s="179">
        <v>0</v>
      </c>
      <c r="N75" s="80">
        <f t="shared" si="27"/>
        <v>0</v>
      </c>
      <c r="O75" s="179">
        <v>0</v>
      </c>
      <c r="P75" s="80">
        <f t="shared" si="28"/>
        <v>0</v>
      </c>
      <c r="Q75" s="179">
        <v>0</v>
      </c>
      <c r="R75" s="80">
        <f t="shared" si="29"/>
        <v>0</v>
      </c>
      <c r="S75" s="179">
        <v>0</v>
      </c>
      <c r="T75" s="80">
        <f t="shared" si="30"/>
        <v>0</v>
      </c>
      <c r="U75" s="179">
        <v>0</v>
      </c>
      <c r="V75" s="80">
        <f t="shared" si="31"/>
        <v>0</v>
      </c>
      <c r="X75" s="200"/>
    </row>
    <row r="76" spans="1:24" ht="12.75" customHeight="1">
      <c r="A76" s="2" t="s">
        <v>407</v>
      </c>
      <c r="B76" s="35"/>
      <c r="C76" s="179">
        <v>0</v>
      </c>
      <c r="D76" s="80">
        <f t="shared" si="22"/>
        <v>0</v>
      </c>
      <c r="E76" s="179">
        <v>0</v>
      </c>
      <c r="F76" s="80">
        <f t="shared" si="23"/>
        <v>0</v>
      </c>
      <c r="G76" s="179">
        <v>0</v>
      </c>
      <c r="H76" s="80">
        <f t="shared" si="24"/>
        <v>0</v>
      </c>
      <c r="I76" s="179">
        <v>0</v>
      </c>
      <c r="J76" s="80">
        <f t="shared" si="25"/>
        <v>0</v>
      </c>
      <c r="K76" s="179">
        <v>0</v>
      </c>
      <c r="L76" s="80">
        <f t="shared" si="26"/>
        <v>0</v>
      </c>
      <c r="M76" s="179">
        <v>0</v>
      </c>
      <c r="N76" s="80">
        <f t="shared" si="27"/>
        <v>0</v>
      </c>
      <c r="O76" s="179">
        <v>0</v>
      </c>
      <c r="P76" s="80">
        <f t="shared" si="28"/>
        <v>0</v>
      </c>
      <c r="Q76" s="179">
        <v>0</v>
      </c>
      <c r="R76" s="80">
        <f t="shared" si="29"/>
        <v>0</v>
      </c>
      <c r="S76" s="179">
        <v>0</v>
      </c>
      <c r="T76" s="80">
        <f t="shared" si="30"/>
        <v>0</v>
      </c>
      <c r="U76" s="179">
        <v>0</v>
      </c>
      <c r="V76" s="80">
        <f t="shared" si="31"/>
        <v>0</v>
      </c>
      <c r="X76" s="200"/>
    </row>
    <row r="77" spans="1:24" ht="12.75" customHeight="1">
      <c r="A77" s="2" t="s">
        <v>408</v>
      </c>
      <c r="B77" s="35"/>
      <c r="C77" s="179">
        <v>0</v>
      </c>
      <c r="D77" s="80">
        <f t="shared" si="22"/>
        <v>0</v>
      </c>
      <c r="E77" s="179">
        <v>0</v>
      </c>
      <c r="F77" s="80">
        <f t="shared" si="23"/>
        <v>0</v>
      </c>
      <c r="G77" s="179">
        <v>0</v>
      </c>
      <c r="H77" s="80">
        <f t="shared" si="24"/>
        <v>0</v>
      </c>
      <c r="I77" s="179">
        <v>0</v>
      </c>
      <c r="J77" s="80">
        <f t="shared" si="25"/>
        <v>0</v>
      </c>
      <c r="K77" s="179">
        <v>0</v>
      </c>
      <c r="L77" s="80">
        <f t="shared" si="26"/>
        <v>0</v>
      </c>
      <c r="M77" s="179">
        <v>0</v>
      </c>
      <c r="N77" s="80">
        <f t="shared" si="27"/>
        <v>0</v>
      </c>
      <c r="O77" s="179">
        <v>0</v>
      </c>
      <c r="P77" s="80">
        <f t="shared" si="28"/>
        <v>0</v>
      </c>
      <c r="Q77" s="179">
        <v>0</v>
      </c>
      <c r="R77" s="80">
        <f t="shared" si="29"/>
        <v>0</v>
      </c>
      <c r="S77" s="179">
        <v>0</v>
      </c>
      <c r="T77" s="80">
        <f t="shared" si="30"/>
        <v>0</v>
      </c>
      <c r="U77" s="179">
        <v>0</v>
      </c>
      <c r="V77" s="80">
        <f t="shared" si="31"/>
        <v>0</v>
      </c>
      <c r="X77" s="200"/>
    </row>
    <row r="78" spans="1:24" ht="12.75" customHeight="1">
      <c r="A78" s="2" t="s">
        <v>409</v>
      </c>
      <c r="B78" s="35"/>
      <c r="C78" s="179">
        <v>0</v>
      </c>
      <c r="D78" s="80">
        <f t="shared" si="22"/>
        <v>0</v>
      </c>
      <c r="E78" s="179">
        <v>0</v>
      </c>
      <c r="F78" s="80">
        <f t="shared" si="23"/>
        <v>0</v>
      </c>
      <c r="G78" s="179">
        <v>0</v>
      </c>
      <c r="H78" s="80">
        <f t="shared" si="24"/>
        <v>0</v>
      </c>
      <c r="I78" s="179">
        <v>0</v>
      </c>
      <c r="J78" s="80">
        <f t="shared" si="25"/>
        <v>0</v>
      </c>
      <c r="K78" s="179">
        <v>0</v>
      </c>
      <c r="L78" s="80">
        <f t="shared" si="26"/>
        <v>0</v>
      </c>
      <c r="M78" s="179">
        <v>0</v>
      </c>
      <c r="N78" s="80">
        <f t="shared" si="27"/>
        <v>0</v>
      </c>
      <c r="O78" s="179">
        <v>0</v>
      </c>
      <c r="P78" s="80">
        <f t="shared" si="28"/>
        <v>0</v>
      </c>
      <c r="Q78" s="179">
        <v>0</v>
      </c>
      <c r="R78" s="80">
        <f t="shared" si="29"/>
        <v>0</v>
      </c>
      <c r="S78" s="179">
        <v>0</v>
      </c>
      <c r="T78" s="80">
        <f t="shared" si="30"/>
        <v>0</v>
      </c>
      <c r="U78" s="179">
        <v>0</v>
      </c>
      <c r="V78" s="80">
        <f t="shared" si="31"/>
        <v>0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2"/>
        <v>0</v>
      </c>
      <c r="E79" s="179">
        <v>0</v>
      </c>
      <c r="F79" s="80">
        <f t="shared" si="23"/>
        <v>0</v>
      </c>
      <c r="G79" s="179">
        <v>0</v>
      </c>
      <c r="H79" s="80">
        <f t="shared" si="24"/>
        <v>0</v>
      </c>
      <c r="I79" s="179">
        <v>0</v>
      </c>
      <c r="J79" s="80">
        <f t="shared" si="25"/>
        <v>0</v>
      </c>
      <c r="K79" s="179">
        <v>0</v>
      </c>
      <c r="L79" s="80">
        <f t="shared" si="26"/>
        <v>0</v>
      </c>
      <c r="M79" s="179">
        <v>0</v>
      </c>
      <c r="N79" s="80">
        <f t="shared" si="27"/>
        <v>0</v>
      </c>
      <c r="O79" s="179">
        <v>0</v>
      </c>
      <c r="P79" s="80">
        <f t="shared" si="28"/>
        <v>0</v>
      </c>
      <c r="Q79" s="179">
        <v>0</v>
      </c>
      <c r="R79" s="80">
        <f t="shared" si="29"/>
        <v>0</v>
      </c>
      <c r="S79" s="179">
        <v>0</v>
      </c>
      <c r="T79" s="80">
        <f t="shared" si="30"/>
        <v>0</v>
      </c>
      <c r="U79" s="179">
        <v>0</v>
      </c>
      <c r="V79" s="80">
        <f t="shared" si="31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2"/>
        <v>0</v>
      </c>
      <c r="E80" s="179">
        <v>0</v>
      </c>
      <c r="F80" s="80">
        <f t="shared" si="23"/>
        <v>0</v>
      </c>
      <c r="G80" s="179">
        <v>0</v>
      </c>
      <c r="H80" s="80">
        <f t="shared" si="24"/>
        <v>0</v>
      </c>
      <c r="I80" s="179">
        <v>0</v>
      </c>
      <c r="J80" s="80">
        <f t="shared" si="25"/>
        <v>0</v>
      </c>
      <c r="K80" s="179">
        <v>0</v>
      </c>
      <c r="L80" s="80">
        <f t="shared" si="26"/>
        <v>0</v>
      </c>
      <c r="M80" s="179">
        <v>0</v>
      </c>
      <c r="N80" s="80">
        <f t="shared" si="27"/>
        <v>0</v>
      </c>
      <c r="O80" s="179">
        <v>0</v>
      </c>
      <c r="P80" s="80">
        <f t="shared" si="28"/>
        <v>0</v>
      </c>
      <c r="Q80" s="179">
        <v>0</v>
      </c>
      <c r="R80" s="80">
        <f t="shared" si="29"/>
        <v>0</v>
      </c>
      <c r="S80" s="179">
        <v>0</v>
      </c>
      <c r="T80" s="80">
        <f t="shared" si="30"/>
        <v>0</v>
      </c>
      <c r="U80" s="179">
        <v>0</v>
      </c>
      <c r="V80" s="80">
        <f t="shared" si="31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2"/>
        <v>0</v>
      </c>
      <c r="E81" s="179">
        <v>0</v>
      </c>
      <c r="F81" s="80">
        <f t="shared" si="23"/>
        <v>0</v>
      </c>
      <c r="G81" s="179">
        <v>0</v>
      </c>
      <c r="H81" s="80">
        <f t="shared" si="24"/>
        <v>0</v>
      </c>
      <c r="I81" s="179">
        <v>0</v>
      </c>
      <c r="J81" s="80">
        <f t="shared" si="25"/>
        <v>0</v>
      </c>
      <c r="K81" s="179">
        <v>0</v>
      </c>
      <c r="L81" s="80">
        <f t="shared" si="26"/>
        <v>0</v>
      </c>
      <c r="M81" s="179">
        <v>0</v>
      </c>
      <c r="N81" s="80">
        <f t="shared" si="27"/>
        <v>0</v>
      </c>
      <c r="O81" s="179">
        <v>0</v>
      </c>
      <c r="P81" s="80">
        <f t="shared" si="28"/>
        <v>0</v>
      </c>
      <c r="Q81" s="179">
        <v>0</v>
      </c>
      <c r="R81" s="80">
        <f t="shared" si="29"/>
        <v>0</v>
      </c>
      <c r="S81" s="179">
        <v>0</v>
      </c>
      <c r="T81" s="80">
        <f t="shared" si="30"/>
        <v>0</v>
      </c>
      <c r="U81" s="179">
        <v>0</v>
      </c>
      <c r="V81" s="80">
        <f t="shared" si="31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2"/>
        <v>0</v>
      </c>
      <c r="E82" s="179">
        <v>0</v>
      </c>
      <c r="F82" s="80">
        <f t="shared" si="23"/>
        <v>0</v>
      </c>
      <c r="G82" s="179">
        <v>0</v>
      </c>
      <c r="H82" s="80">
        <f t="shared" si="24"/>
        <v>0</v>
      </c>
      <c r="I82" s="179">
        <v>0</v>
      </c>
      <c r="J82" s="80">
        <f t="shared" si="25"/>
        <v>0</v>
      </c>
      <c r="K82" s="179">
        <v>0</v>
      </c>
      <c r="L82" s="80">
        <f t="shared" si="26"/>
        <v>0</v>
      </c>
      <c r="M82" s="179">
        <v>0</v>
      </c>
      <c r="N82" s="80">
        <f t="shared" si="27"/>
        <v>0</v>
      </c>
      <c r="O82" s="179">
        <v>0</v>
      </c>
      <c r="P82" s="80">
        <f t="shared" si="28"/>
        <v>0</v>
      </c>
      <c r="Q82" s="179">
        <v>0</v>
      </c>
      <c r="R82" s="80">
        <f t="shared" si="29"/>
        <v>0</v>
      </c>
      <c r="S82" s="179">
        <v>0</v>
      </c>
      <c r="T82" s="80">
        <f t="shared" si="30"/>
        <v>0</v>
      </c>
      <c r="U82" s="179">
        <v>0</v>
      </c>
      <c r="V82" s="80">
        <f t="shared" si="31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2"/>
        <v>0</v>
      </c>
      <c r="E83" s="179">
        <v>0</v>
      </c>
      <c r="F83" s="80">
        <f t="shared" si="23"/>
        <v>0</v>
      </c>
      <c r="G83" s="179">
        <v>0</v>
      </c>
      <c r="H83" s="80">
        <f t="shared" si="24"/>
        <v>0</v>
      </c>
      <c r="I83" s="179">
        <v>0</v>
      </c>
      <c r="J83" s="80">
        <f t="shared" si="25"/>
        <v>0</v>
      </c>
      <c r="K83" s="179">
        <v>0</v>
      </c>
      <c r="L83" s="80">
        <f t="shared" si="26"/>
        <v>0</v>
      </c>
      <c r="M83" s="179">
        <v>0</v>
      </c>
      <c r="N83" s="80">
        <f t="shared" si="27"/>
        <v>0</v>
      </c>
      <c r="O83" s="179">
        <v>0</v>
      </c>
      <c r="P83" s="80">
        <f t="shared" si="28"/>
        <v>0</v>
      </c>
      <c r="Q83" s="179">
        <v>0</v>
      </c>
      <c r="R83" s="80">
        <f t="shared" si="29"/>
        <v>0</v>
      </c>
      <c r="S83" s="179">
        <v>0</v>
      </c>
      <c r="T83" s="80">
        <f t="shared" si="30"/>
        <v>0</v>
      </c>
      <c r="U83" s="179">
        <v>0</v>
      </c>
      <c r="V83" s="80">
        <f t="shared" si="31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ref="D84:D105" si="32">IFERROR(C84/C$28,0)</f>
        <v>0</v>
      </c>
      <c r="E84" s="179">
        <v>0</v>
      </c>
      <c r="F84" s="80">
        <f t="shared" si="23"/>
        <v>0</v>
      </c>
      <c r="G84" s="179">
        <v>0</v>
      </c>
      <c r="H84" s="80">
        <f t="shared" si="24"/>
        <v>0</v>
      </c>
      <c r="I84" s="179">
        <v>0</v>
      </c>
      <c r="J84" s="80">
        <f t="shared" si="25"/>
        <v>0</v>
      </c>
      <c r="K84" s="179">
        <v>0</v>
      </c>
      <c r="L84" s="80">
        <f t="shared" si="26"/>
        <v>0</v>
      </c>
      <c r="M84" s="179">
        <v>0</v>
      </c>
      <c r="N84" s="80">
        <f t="shared" si="27"/>
        <v>0</v>
      </c>
      <c r="O84" s="179">
        <v>0</v>
      </c>
      <c r="P84" s="80">
        <f t="shared" si="28"/>
        <v>0</v>
      </c>
      <c r="Q84" s="179">
        <v>0</v>
      </c>
      <c r="R84" s="80">
        <f t="shared" si="29"/>
        <v>0</v>
      </c>
      <c r="S84" s="179">
        <v>0</v>
      </c>
      <c r="T84" s="80">
        <f t="shared" si="30"/>
        <v>0</v>
      </c>
      <c r="U84" s="179">
        <v>0</v>
      </c>
      <c r="V84" s="80">
        <f t="shared" si="31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32"/>
        <v>0</v>
      </c>
      <c r="E85" s="179">
        <v>0</v>
      </c>
      <c r="F85" s="80">
        <f t="shared" si="23"/>
        <v>0</v>
      </c>
      <c r="G85" s="179">
        <v>0</v>
      </c>
      <c r="H85" s="80">
        <f t="shared" si="24"/>
        <v>0</v>
      </c>
      <c r="I85" s="179">
        <v>0</v>
      </c>
      <c r="J85" s="80">
        <f t="shared" si="25"/>
        <v>0</v>
      </c>
      <c r="K85" s="179">
        <v>0</v>
      </c>
      <c r="L85" s="80">
        <f t="shared" si="26"/>
        <v>0</v>
      </c>
      <c r="M85" s="179">
        <v>0</v>
      </c>
      <c r="N85" s="80">
        <f t="shared" si="27"/>
        <v>0</v>
      </c>
      <c r="O85" s="179">
        <v>0</v>
      </c>
      <c r="P85" s="80">
        <f t="shared" si="28"/>
        <v>0</v>
      </c>
      <c r="Q85" s="179">
        <v>0</v>
      </c>
      <c r="R85" s="80">
        <f t="shared" si="29"/>
        <v>0</v>
      </c>
      <c r="S85" s="179">
        <v>0</v>
      </c>
      <c r="T85" s="80">
        <f t="shared" si="30"/>
        <v>0</v>
      </c>
      <c r="U85" s="179">
        <v>0</v>
      </c>
      <c r="V85" s="80">
        <f t="shared" si="31"/>
        <v>0</v>
      </c>
      <c r="X85" s="200"/>
    </row>
    <row r="86" spans="1:24" ht="12.75" customHeight="1">
      <c r="A86" s="2" t="s">
        <v>417</v>
      </c>
      <c r="B86" s="35"/>
      <c r="C86" s="179">
        <v>0</v>
      </c>
      <c r="D86" s="80">
        <f t="shared" si="32"/>
        <v>0</v>
      </c>
      <c r="E86" s="179">
        <v>0</v>
      </c>
      <c r="F86" s="80">
        <f t="shared" si="23"/>
        <v>0</v>
      </c>
      <c r="G86" s="179">
        <v>0</v>
      </c>
      <c r="H86" s="80">
        <f t="shared" si="24"/>
        <v>0</v>
      </c>
      <c r="I86" s="179">
        <v>0</v>
      </c>
      <c r="J86" s="80">
        <f t="shared" si="25"/>
        <v>0</v>
      </c>
      <c r="K86" s="179">
        <v>0</v>
      </c>
      <c r="L86" s="80">
        <f t="shared" si="26"/>
        <v>0</v>
      </c>
      <c r="M86" s="179">
        <v>0</v>
      </c>
      <c r="N86" s="80">
        <f t="shared" si="27"/>
        <v>0</v>
      </c>
      <c r="O86" s="179">
        <v>0</v>
      </c>
      <c r="P86" s="80">
        <f t="shared" si="28"/>
        <v>0</v>
      </c>
      <c r="Q86" s="179">
        <v>0</v>
      </c>
      <c r="R86" s="80">
        <f t="shared" si="29"/>
        <v>0</v>
      </c>
      <c r="S86" s="179">
        <v>0</v>
      </c>
      <c r="T86" s="80">
        <f t="shared" si="30"/>
        <v>0</v>
      </c>
      <c r="U86" s="179">
        <v>0</v>
      </c>
      <c r="V86" s="80">
        <f t="shared" si="31"/>
        <v>0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32"/>
        <v>0</v>
      </c>
      <c r="E87" s="179">
        <v>0</v>
      </c>
      <c r="F87" s="80">
        <f t="shared" si="23"/>
        <v>0</v>
      </c>
      <c r="G87" s="179">
        <v>0</v>
      </c>
      <c r="H87" s="80">
        <f t="shared" si="24"/>
        <v>0</v>
      </c>
      <c r="I87" s="179">
        <v>0</v>
      </c>
      <c r="J87" s="80">
        <f t="shared" si="25"/>
        <v>0</v>
      </c>
      <c r="K87" s="179">
        <v>0</v>
      </c>
      <c r="L87" s="80">
        <f t="shared" si="26"/>
        <v>0</v>
      </c>
      <c r="M87" s="179">
        <v>0</v>
      </c>
      <c r="N87" s="80">
        <f t="shared" si="27"/>
        <v>0</v>
      </c>
      <c r="O87" s="179">
        <v>0</v>
      </c>
      <c r="P87" s="80">
        <f t="shared" si="28"/>
        <v>0</v>
      </c>
      <c r="Q87" s="179">
        <v>0</v>
      </c>
      <c r="R87" s="80">
        <f t="shared" si="29"/>
        <v>0</v>
      </c>
      <c r="S87" s="179">
        <v>0</v>
      </c>
      <c r="T87" s="80">
        <f t="shared" si="30"/>
        <v>0</v>
      </c>
      <c r="U87" s="179">
        <v>0</v>
      </c>
      <c r="V87" s="80">
        <f t="shared" si="31"/>
        <v>0</v>
      </c>
      <c r="X87" s="200"/>
    </row>
    <row r="88" spans="1:24" ht="12.75" customHeight="1">
      <c r="A88" s="2" t="s">
        <v>419</v>
      </c>
      <c r="B88" s="35"/>
      <c r="C88" s="179">
        <v>0</v>
      </c>
      <c r="D88" s="80">
        <f t="shared" si="32"/>
        <v>0</v>
      </c>
      <c r="E88" s="179">
        <v>0</v>
      </c>
      <c r="F88" s="80">
        <f t="shared" si="23"/>
        <v>0</v>
      </c>
      <c r="G88" s="179">
        <v>0</v>
      </c>
      <c r="H88" s="80">
        <f t="shared" si="24"/>
        <v>0</v>
      </c>
      <c r="I88" s="179">
        <v>0</v>
      </c>
      <c r="J88" s="80">
        <f t="shared" si="25"/>
        <v>0</v>
      </c>
      <c r="K88" s="179">
        <v>0</v>
      </c>
      <c r="L88" s="80">
        <f t="shared" si="26"/>
        <v>0</v>
      </c>
      <c r="M88" s="179">
        <v>0</v>
      </c>
      <c r="N88" s="80">
        <f t="shared" si="27"/>
        <v>0</v>
      </c>
      <c r="O88" s="179">
        <v>0</v>
      </c>
      <c r="P88" s="80">
        <f t="shared" si="28"/>
        <v>0</v>
      </c>
      <c r="Q88" s="179">
        <v>0</v>
      </c>
      <c r="R88" s="80">
        <f t="shared" si="29"/>
        <v>0</v>
      </c>
      <c r="S88" s="179">
        <v>0</v>
      </c>
      <c r="T88" s="80">
        <f t="shared" si="30"/>
        <v>0</v>
      </c>
      <c r="U88" s="179">
        <v>0</v>
      </c>
      <c r="V88" s="80">
        <f t="shared" si="31"/>
        <v>0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32"/>
        <v>0</v>
      </c>
      <c r="E89" s="179">
        <v>0</v>
      </c>
      <c r="F89" s="80">
        <f t="shared" si="23"/>
        <v>0</v>
      </c>
      <c r="G89" s="179">
        <v>0</v>
      </c>
      <c r="H89" s="80">
        <f t="shared" si="24"/>
        <v>0</v>
      </c>
      <c r="I89" s="179">
        <v>0</v>
      </c>
      <c r="J89" s="80">
        <f t="shared" si="25"/>
        <v>0</v>
      </c>
      <c r="K89" s="179">
        <v>0</v>
      </c>
      <c r="L89" s="80">
        <f t="shared" si="26"/>
        <v>0</v>
      </c>
      <c r="M89" s="179">
        <v>0</v>
      </c>
      <c r="N89" s="80">
        <f t="shared" si="27"/>
        <v>0</v>
      </c>
      <c r="O89" s="179">
        <v>0</v>
      </c>
      <c r="P89" s="80">
        <f t="shared" si="28"/>
        <v>0</v>
      </c>
      <c r="Q89" s="179">
        <v>0</v>
      </c>
      <c r="R89" s="80">
        <f t="shared" si="29"/>
        <v>0</v>
      </c>
      <c r="S89" s="179">
        <v>0</v>
      </c>
      <c r="T89" s="80">
        <f t="shared" si="30"/>
        <v>0</v>
      </c>
      <c r="U89" s="179">
        <v>0</v>
      </c>
      <c r="V89" s="80">
        <f t="shared" si="31"/>
        <v>0</v>
      </c>
      <c r="X89" s="200"/>
    </row>
    <row r="90" spans="1:24" ht="12.75" customHeight="1">
      <c r="A90" s="2" t="s">
        <v>421</v>
      </c>
      <c r="B90" s="35"/>
      <c r="C90" s="179">
        <v>0</v>
      </c>
      <c r="D90" s="80">
        <f t="shared" si="32"/>
        <v>0</v>
      </c>
      <c r="E90" s="179">
        <v>0</v>
      </c>
      <c r="F90" s="80">
        <f t="shared" si="23"/>
        <v>0</v>
      </c>
      <c r="G90" s="179">
        <v>0</v>
      </c>
      <c r="H90" s="80">
        <f t="shared" si="24"/>
        <v>0</v>
      </c>
      <c r="I90" s="179">
        <v>0</v>
      </c>
      <c r="J90" s="80">
        <f t="shared" si="25"/>
        <v>0</v>
      </c>
      <c r="K90" s="179">
        <v>0</v>
      </c>
      <c r="L90" s="80">
        <f t="shared" si="26"/>
        <v>0</v>
      </c>
      <c r="M90" s="179">
        <v>0</v>
      </c>
      <c r="N90" s="80">
        <f t="shared" si="27"/>
        <v>0</v>
      </c>
      <c r="O90" s="179">
        <v>0</v>
      </c>
      <c r="P90" s="80">
        <f t="shared" si="28"/>
        <v>0</v>
      </c>
      <c r="Q90" s="179">
        <v>0</v>
      </c>
      <c r="R90" s="80">
        <f t="shared" si="29"/>
        <v>0</v>
      </c>
      <c r="S90" s="179">
        <v>0</v>
      </c>
      <c r="T90" s="80">
        <f t="shared" si="30"/>
        <v>0</v>
      </c>
      <c r="U90" s="179">
        <v>0</v>
      </c>
      <c r="V90" s="80">
        <f t="shared" si="31"/>
        <v>0</v>
      </c>
      <c r="X90" s="200"/>
    </row>
    <row r="91" spans="1:24" ht="12.75" customHeight="1">
      <c r="A91" s="2" t="s">
        <v>422</v>
      </c>
      <c r="C91" s="179">
        <v>0</v>
      </c>
      <c r="D91" s="80">
        <f t="shared" si="32"/>
        <v>0</v>
      </c>
      <c r="E91" s="179">
        <v>0</v>
      </c>
      <c r="F91" s="80">
        <f t="shared" si="23"/>
        <v>0</v>
      </c>
      <c r="G91" s="179">
        <v>0</v>
      </c>
      <c r="H91" s="80">
        <f t="shared" si="24"/>
        <v>0</v>
      </c>
      <c r="I91" s="179">
        <v>0</v>
      </c>
      <c r="J91" s="80">
        <f t="shared" si="25"/>
        <v>0</v>
      </c>
      <c r="K91" s="179">
        <v>0</v>
      </c>
      <c r="L91" s="80">
        <f t="shared" si="26"/>
        <v>0</v>
      </c>
      <c r="M91" s="179">
        <v>0</v>
      </c>
      <c r="N91" s="80">
        <f t="shared" si="27"/>
        <v>0</v>
      </c>
      <c r="O91" s="179">
        <v>0</v>
      </c>
      <c r="P91" s="80">
        <f t="shared" si="28"/>
        <v>0</v>
      </c>
      <c r="Q91" s="179">
        <v>0</v>
      </c>
      <c r="R91" s="80">
        <f t="shared" si="29"/>
        <v>0</v>
      </c>
      <c r="S91" s="179">
        <v>0</v>
      </c>
      <c r="T91" s="80">
        <f t="shared" si="30"/>
        <v>0</v>
      </c>
      <c r="U91" s="179">
        <v>0</v>
      </c>
      <c r="V91" s="80">
        <f t="shared" si="31"/>
        <v>0</v>
      </c>
      <c r="X91" s="200"/>
    </row>
    <row r="92" spans="1:24" ht="12.75" customHeight="1">
      <c r="A92" s="2" t="s">
        <v>423</v>
      </c>
      <c r="B92" s="35"/>
      <c r="C92" s="179">
        <v>0</v>
      </c>
      <c r="D92" s="80">
        <f t="shared" si="32"/>
        <v>0</v>
      </c>
      <c r="E92" s="179">
        <v>0</v>
      </c>
      <c r="F92" s="80">
        <f t="shared" si="23"/>
        <v>0</v>
      </c>
      <c r="G92" s="179">
        <v>0</v>
      </c>
      <c r="H92" s="80">
        <f t="shared" si="24"/>
        <v>0</v>
      </c>
      <c r="I92" s="179">
        <v>0</v>
      </c>
      <c r="J92" s="80">
        <f t="shared" si="25"/>
        <v>0</v>
      </c>
      <c r="K92" s="179">
        <v>0</v>
      </c>
      <c r="L92" s="80">
        <f t="shared" si="26"/>
        <v>0</v>
      </c>
      <c r="M92" s="179">
        <v>0</v>
      </c>
      <c r="N92" s="80">
        <f t="shared" si="27"/>
        <v>0</v>
      </c>
      <c r="O92" s="179">
        <v>0</v>
      </c>
      <c r="P92" s="80">
        <f t="shared" si="28"/>
        <v>0</v>
      </c>
      <c r="Q92" s="179">
        <v>0</v>
      </c>
      <c r="R92" s="80">
        <f t="shared" si="29"/>
        <v>0</v>
      </c>
      <c r="S92" s="179">
        <v>0</v>
      </c>
      <c r="T92" s="80">
        <f t="shared" si="30"/>
        <v>0</v>
      </c>
      <c r="U92" s="179">
        <v>0</v>
      </c>
      <c r="V92" s="80">
        <f t="shared" si="31"/>
        <v>0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32"/>
        <v>0</v>
      </c>
      <c r="E93" s="179">
        <v>0</v>
      </c>
      <c r="F93" s="80">
        <f t="shared" si="23"/>
        <v>0</v>
      </c>
      <c r="G93" s="179">
        <v>0</v>
      </c>
      <c r="H93" s="80">
        <f t="shared" si="24"/>
        <v>0</v>
      </c>
      <c r="I93" s="179">
        <v>0</v>
      </c>
      <c r="J93" s="80">
        <f t="shared" si="25"/>
        <v>0</v>
      </c>
      <c r="K93" s="179">
        <v>0</v>
      </c>
      <c r="L93" s="80">
        <f t="shared" si="26"/>
        <v>0</v>
      </c>
      <c r="M93" s="179">
        <v>0</v>
      </c>
      <c r="N93" s="80">
        <f t="shared" si="27"/>
        <v>0</v>
      </c>
      <c r="O93" s="179">
        <v>0</v>
      </c>
      <c r="P93" s="80">
        <f t="shared" si="28"/>
        <v>0</v>
      </c>
      <c r="Q93" s="179">
        <v>0</v>
      </c>
      <c r="R93" s="80">
        <f t="shared" si="29"/>
        <v>0</v>
      </c>
      <c r="S93" s="179">
        <v>0</v>
      </c>
      <c r="T93" s="80">
        <f t="shared" si="30"/>
        <v>0</v>
      </c>
      <c r="U93" s="179">
        <v>0</v>
      </c>
      <c r="V93" s="80">
        <f t="shared" si="31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32"/>
        <v>0</v>
      </c>
      <c r="E94" s="179">
        <v>0</v>
      </c>
      <c r="F94" s="80">
        <f t="shared" si="23"/>
        <v>0</v>
      </c>
      <c r="G94" s="179">
        <v>0</v>
      </c>
      <c r="H94" s="80">
        <f t="shared" si="24"/>
        <v>0</v>
      </c>
      <c r="I94" s="179">
        <v>0</v>
      </c>
      <c r="J94" s="80">
        <f t="shared" si="25"/>
        <v>0</v>
      </c>
      <c r="K94" s="179">
        <v>0</v>
      </c>
      <c r="L94" s="80">
        <f t="shared" si="26"/>
        <v>0</v>
      </c>
      <c r="M94" s="179">
        <v>0</v>
      </c>
      <c r="N94" s="80">
        <f t="shared" si="27"/>
        <v>0</v>
      </c>
      <c r="O94" s="179">
        <v>0</v>
      </c>
      <c r="P94" s="80">
        <f t="shared" si="28"/>
        <v>0</v>
      </c>
      <c r="Q94" s="179">
        <v>0</v>
      </c>
      <c r="R94" s="80">
        <f t="shared" si="29"/>
        <v>0</v>
      </c>
      <c r="S94" s="179">
        <v>0</v>
      </c>
      <c r="T94" s="80">
        <f t="shared" si="30"/>
        <v>0</v>
      </c>
      <c r="U94" s="179">
        <v>0</v>
      </c>
      <c r="V94" s="80">
        <f t="shared" si="31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32"/>
        <v>0</v>
      </c>
      <c r="E95" s="179">
        <v>0</v>
      </c>
      <c r="F95" s="80">
        <f t="shared" si="23"/>
        <v>0</v>
      </c>
      <c r="G95" s="179">
        <v>0</v>
      </c>
      <c r="H95" s="80">
        <f t="shared" si="24"/>
        <v>0</v>
      </c>
      <c r="I95" s="179">
        <v>0</v>
      </c>
      <c r="J95" s="80">
        <f t="shared" si="25"/>
        <v>0</v>
      </c>
      <c r="K95" s="179">
        <v>0</v>
      </c>
      <c r="L95" s="80">
        <f t="shared" si="26"/>
        <v>0</v>
      </c>
      <c r="M95" s="179">
        <v>0</v>
      </c>
      <c r="N95" s="80">
        <f t="shared" si="27"/>
        <v>0</v>
      </c>
      <c r="O95" s="179">
        <v>0</v>
      </c>
      <c r="P95" s="80">
        <f t="shared" si="28"/>
        <v>0</v>
      </c>
      <c r="Q95" s="179">
        <v>0</v>
      </c>
      <c r="R95" s="80">
        <f t="shared" si="29"/>
        <v>0</v>
      </c>
      <c r="S95" s="179">
        <v>0</v>
      </c>
      <c r="T95" s="80">
        <f t="shared" si="30"/>
        <v>0</v>
      </c>
      <c r="U95" s="179">
        <v>0</v>
      </c>
      <c r="V95" s="80">
        <f t="shared" si="31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32"/>
        <v>0</v>
      </c>
      <c r="E96" s="179">
        <v>0</v>
      </c>
      <c r="F96" s="80">
        <f t="shared" si="23"/>
        <v>0</v>
      </c>
      <c r="G96" s="179">
        <v>0</v>
      </c>
      <c r="H96" s="80">
        <f t="shared" si="24"/>
        <v>0</v>
      </c>
      <c r="I96" s="179">
        <v>0</v>
      </c>
      <c r="J96" s="80">
        <f t="shared" si="25"/>
        <v>0</v>
      </c>
      <c r="K96" s="179">
        <v>0</v>
      </c>
      <c r="L96" s="80">
        <f t="shared" si="26"/>
        <v>0</v>
      </c>
      <c r="M96" s="179">
        <v>0</v>
      </c>
      <c r="N96" s="80">
        <f t="shared" si="27"/>
        <v>0</v>
      </c>
      <c r="O96" s="179">
        <v>0</v>
      </c>
      <c r="P96" s="80">
        <f t="shared" si="28"/>
        <v>0</v>
      </c>
      <c r="Q96" s="179">
        <v>0</v>
      </c>
      <c r="R96" s="80">
        <f t="shared" si="29"/>
        <v>0</v>
      </c>
      <c r="S96" s="179">
        <v>0</v>
      </c>
      <c r="T96" s="80">
        <f t="shared" si="30"/>
        <v>0</v>
      </c>
      <c r="U96" s="179">
        <v>0</v>
      </c>
      <c r="V96" s="80">
        <f t="shared" si="31"/>
        <v>0</v>
      </c>
      <c r="X96" s="200"/>
    </row>
    <row r="97" spans="1:24" ht="12.75" customHeight="1">
      <c r="A97" s="2" t="s">
        <v>428</v>
      </c>
      <c r="B97" s="35"/>
      <c r="C97" s="179">
        <v>0</v>
      </c>
      <c r="D97" s="80">
        <f t="shared" si="32"/>
        <v>0</v>
      </c>
      <c r="E97" s="179">
        <v>0</v>
      </c>
      <c r="F97" s="80">
        <f t="shared" si="23"/>
        <v>0</v>
      </c>
      <c r="G97" s="179">
        <v>0</v>
      </c>
      <c r="H97" s="80">
        <f t="shared" si="24"/>
        <v>0</v>
      </c>
      <c r="I97" s="179">
        <v>0</v>
      </c>
      <c r="J97" s="80">
        <f t="shared" si="25"/>
        <v>0</v>
      </c>
      <c r="K97" s="179">
        <v>0</v>
      </c>
      <c r="L97" s="80">
        <f t="shared" si="26"/>
        <v>0</v>
      </c>
      <c r="M97" s="179">
        <v>0</v>
      </c>
      <c r="N97" s="80">
        <f t="shared" si="27"/>
        <v>0</v>
      </c>
      <c r="O97" s="179">
        <v>0</v>
      </c>
      <c r="P97" s="80">
        <f t="shared" si="28"/>
        <v>0</v>
      </c>
      <c r="Q97" s="179">
        <v>0</v>
      </c>
      <c r="R97" s="80">
        <f t="shared" si="29"/>
        <v>0</v>
      </c>
      <c r="S97" s="179">
        <v>0</v>
      </c>
      <c r="T97" s="80">
        <f t="shared" si="30"/>
        <v>0</v>
      </c>
      <c r="U97" s="179">
        <v>0</v>
      </c>
      <c r="V97" s="80">
        <f t="shared" si="31"/>
        <v>0</v>
      </c>
      <c r="X97" s="200"/>
    </row>
    <row r="98" spans="1:24" ht="12.75" customHeight="1">
      <c r="A98" s="6" t="s">
        <v>457</v>
      </c>
      <c r="B98" s="35"/>
      <c r="C98" s="179">
        <v>0</v>
      </c>
      <c r="D98" s="80">
        <f t="shared" si="32"/>
        <v>0</v>
      </c>
      <c r="E98" s="179">
        <v>0</v>
      </c>
      <c r="F98" s="80">
        <f t="shared" si="23"/>
        <v>0</v>
      </c>
      <c r="G98" s="179">
        <v>0</v>
      </c>
      <c r="H98" s="80">
        <f t="shared" si="24"/>
        <v>0</v>
      </c>
      <c r="I98" s="179">
        <v>0</v>
      </c>
      <c r="J98" s="80">
        <f t="shared" si="25"/>
        <v>0</v>
      </c>
      <c r="K98" s="179">
        <v>0</v>
      </c>
      <c r="L98" s="80">
        <f t="shared" si="26"/>
        <v>0</v>
      </c>
      <c r="M98" s="179">
        <v>0</v>
      </c>
      <c r="N98" s="80">
        <f t="shared" si="27"/>
        <v>0</v>
      </c>
      <c r="O98" s="179">
        <v>0</v>
      </c>
      <c r="P98" s="80">
        <f t="shared" si="28"/>
        <v>0</v>
      </c>
      <c r="Q98" s="179">
        <v>0</v>
      </c>
      <c r="R98" s="80">
        <f t="shared" si="29"/>
        <v>0</v>
      </c>
      <c r="S98" s="179">
        <v>0</v>
      </c>
      <c r="T98" s="80">
        <f t="shared" si="30"/>
        <v>0</v>
      </c>
      <c r="U98" s="179">
        <v>0</v>
      </c>
      <c r="V98" s="80">
        <f t="shared" si="31"/>
        <v>0</v>
      </c>
      <c r="X98" s="200"/>
    </row>
    <row r="99" spans="1:24" ht="12.75" customHeight="1">
      <c r="A99" s="6" t="s">
        <v>457</v>
      </c>
      <c r="B99" s="35"/>
      <c r="C99" s="179">
        <v>0</v>
      </c>
      <c r="D99" s="80">
        <f t="shared" si="32"/>
        <v>0</v>
      </c>
      <c r="E99" s="179">
        <v>0</v>
      </c>
      <c r="F99" s="80">
        <f t="shared" si="23"/>
        <v>0</v>
      </c>
      <c r="G99" s="179">
        <v>0</v>
      </c>
      <c r="H99" s="80">
        <f t="shared" si="24"/>
        <v>0</v>
      </c>
      <c r="I99" s="179">
        <v>0</v>
      </c>
      <c r="J99" s="80">
        <f t="shared" si="25"/>
        <v>0</v>
      </c>
      <c r="K99" s="179">
        <v>0</v>
      </c>
      <c r="L99" s="80">
        <f t="shared" si="26"/>
        <v>0</v>
      </c>
      <c r="M99" s="179">
        <v>0</v>
      </c>
      <c r="N99" s="80">
        <f t="shared" si="27"/>
        <v>0</v>
      </c>
      <c r="O99" s="179">
        <v>0</v>
      </c>
      <c r="P99" s="80">
        <f t="shared" si="28"/>
        <v>0</v>
      </c>
      <c r="Q99" s="179">
        <v>0</v>
      </c>
      <c r="R99" s="80">
        <f t="shared" si="29"/>
        <v>0</v>
      </c>
      <c r="S99" s="179">
        <v>0</v>
      </c>
      <c r="T99" s="80">
        <f t="shared" si="30"/>
        <v>0</v>
      </c>
      <c r="U99" s="179">
        <v>0</v>
      </c>
      <c r="V99" s="80">
        <f t="shared" si="31"/>
        <v>0</v>
      </c>
      <c r="X99" s="200"/>
    </row>
    <row r="100" spans="1:24" ht="12.75" customHeight="1">
      <c r="A100" s="6" t="s">
        <v>457</v>
      </c>
      <c r="B100" s="35"/>
      <c r="C100" s="179">
        <v>0</v>
      </c>
      <c r="D100" s="80">
        <f t="shared" si="32"/>
        <v>0</v>
      </c>
      <c r="E100" s="179">
        <v>0</v>
      </c>
      <c r="F100" s="80">
        <f t="shared" si="23"/>
        <v>0</v>
      </c>
      <c r="G100" s="179">
        <v>0</v>
      </c>
      <c r="H100" s="80">
        <f t="shared" si="24"/>
        <v>0</v>
      </c>
      <c r="I100" s="179">
        <v>0</v>
      </c>
      <c r="J100" s="80">
        <f t="shared" si="25"/>
        <v>0</v>
      </c>
      <c r="K100" s="179">
        <v>0</v>
      </c>
      <c r="L100" s="80">
        <f t="shared" si="26"/>
        <v>0</v>
      </c>
      <c r="M100" s="179">
        <v>0</v>
      </c>
      <c r="N100" s="80">
        <f t="shared" si="27"/>
        <v>0</v>
      </c>
      <c r="O100" s="179">
        <v>0</v>
      </c>
      <c r="P100" s="80">
        <f t="shared" si="28"/>
        <v>0</v>
      </c>
      <c r="Q100" s="179">
        <v>0</v>
      </c>
      <c r="R100" s="80">
        <f t="shared" si="29"/>
        <v>0</v>
      </c>
      <c r="S100" s="179">
        <v>0</v>
      </c>
      <c r="T100" s="80">
        <f t="shared" si="30"/>
        <v>0</v>
      </c>
      <c r="U100" s="179">
        <v>0</v>
      </c>
      <c r="V100" s="80">
        <f t="shared" si="31"/>
        <v>0</v>
      </c>
      <c r="X100" s="200"/>
    </row>
    <row r="101" spans="1:24" ht="12.75" customHeight="1">
      <c r="A101" s="28" t="s">
        <v>432</v>
      </c>
      <c r="B101" s="35"/>
      <c r="C101" s="179"/>
      <c r="D101" s="80">
        <f t="shared" si="32"/>
        <v>0</v>
      </c>
      <c r="E101" s="179"/>
      <c r="F101" s="80">
        <f t="shared" si="23"/>
        <v>0</v>
      </c>
      <c r="G101" s="179"/>
      <c r="H101" s="80">
        <f t="shared" si="24"/>
        <v>0</v>
      </c>
      <c r="I101" s="179">
        <v>0</v>
      </c>
      <c r="J101" s="80">
        <f t="shared" si="25"/>
        <v>0</v>
      </c>
      <c r="K101" s="179">
        <v>0</v>
      </c>
      <c r="L101" s="80">
        <f t="shared" si="26"/>
        <v>0</v>
      </c>
      <c r="M101" s="179">
        <v>0</v>
      </c>
      <c r="N101" s="80">
        <f t="shared" si="27"/>
        <v>0</v>
      </c>
      <c r="O101" s="179">
        <v>0</v>
      </c>
      <c r="P101" s="80">
        <f t="shared" si="28"/>
        <v>0</v>
      </c>
      <c r="Q101" s="179">
        <v>0</v>
      </c>
      <c r="R101" s="80">
        <f t="shared" si="29"/>
        <v>0</v>
      </c>
      <c r="S101" s="179">
        <v>0</v>
      </c>
      <c r="T101" s="80">
        <f t="shared" si="30"/>
        <v>0</v>
      </c>
      <c r="U101" s="179">
        <v>0</v>
      </c>
      <c r="V101" s="80">
        <f t="shared" si="31"/>
        <v>0</v>
      </c>
      <c r="X101" s="200"/>
    </row>
    <row r="102" spans="1:24" ht="12.75" customHeight="1">
      <c r="A102" s="117" t="s">
        <v>431</v>
      </c>
      <c r="B102" s="35"/>
      <c r="C102" s="179">
        <v>0</v>
      </c>
      <c r="D102" s="80">
        <f t="shared" si="32"/>
        <v>0</v>
      </c>
      <c r="E102" s="179">
        <v>0</v>
      </c>
      <c r="F102" s="80">
        <f t="shared" si="23"/>
        <v>0</v>
      </c>
      <c r="G102" s="179">
        <v>0</v>
      </c>
      <c r="H102" s="80">
        <f t="shared" si="24"/>
        <v>0</v>
      </c>
      <c r="I102" s="179">
        <v>0</v>
      </c>
      <c r="J102" s="80">
        <f t="shared" si="25"/>
        <v>0</v>
      </c>
      <c r="K102" s="179">
        <v>0</v>
      </c>
      <c r="L102" s="80">
        <f t="shared" si="26"/>
        <v>0</v>
      </c>
      <c r="M102" s="179">
        <v>0</v>
      </c>
      <c r="N102" s="80">
        <f t="shared" si="27"/>
        <v>0</v>
      </c>
      <c r="O102" s="179">
        <v>0</v>
      </c>
      <c r="P102" s="80">
        <f t="shared" si="28"/>
        <v>0</v>
      </c>
      <c r="Q102" s="179">
        <v>0</v>
      </c>
      <c r="R102" s="80">
        <f t="shared" si="29"/>
        <v>0</v>
      </c>
      <c r="S102" s="179">
        <v>0</v>
      </c>
      <c r="T102" s="80">
        <f t="shared" si="30"/>
        <v>0</v>
      </c>
      <c r="U102" s="179">
        <v>0</v>
      </c>
      <c r="V102" s="80">
        <f t="shared" si="31"/>
        <v>0</v>
      </c>
      <c r="X102" s="200"/>
    </row>
    <row r="103" spans="1:24" ht="12.75" customHeight="1">
      <c r="A103" s="117" t="s">
        <v>431</v>
      </c>
      <c r="B103" s="35"/>
      <c r="C103" s="179">
        <v>0</v>
      </c>
      <c r="D103" s="80">
        <f t="shared" si="32"/>
        <v>0</v>
      </c>
      <c r="E103" s="179">
        <v>0</v>
      </c>
      <c r="F103" s="80">
        <f t="shared" si="23"/>
        <v>0</v>
      </c>
      <c r="G103" s="179">
        <v>0</v>
      </c>
      <c r="H103" s="80">
        <f t="shared" si="24"/>
        <v>0</v>
      </c>
      <c r="I103" s="179">
        <v>0</v>
      </c>
      <c r="J103" s="80">
        <f t="shared" si="25"/>
        <v>0</v>
      </c>
      <c r="K103" s="179">
        <v>0</v>
      </c>
      <c r="L103" s="80">
        <f t="shared" si="26"/>
        <v>0</v>
      </c>
      <c r="M103" s="179">
        <v>0</v>
      </c>
      <c r="N103" s="80">
        <f t="shared" si="27"/>
        <v>0</v>
      </c>
      <c r="O103" s="179">
        <v>0</v>
      </c>
      <c r="P103" s="80">
        <f t="shared" si="28"/>
        <v>0</v>
      </c>
      <c r="Q103" s="179">
        <v>0</v>
      </c>
      <c r="R103" s="80">
        <f t="shared" si="29"/>
        <v>0</v>
      </c>
      <c r="S103" s="179">
        <v>0</v>
      </c>
      <c r="T103" s="80">
        <f t="shared" si="30"/>
        <v>0</v>
      </c>
      <c r="U103" s="179">
        <v>0</v>
      </c>
      <c r="V103" s="80">
        <f t="shared" si="31"/>
        <v>0</v>
      </c>
      <c r="X103" s="200"/>
    </row>
    <row r="104" spans="1:24" ht="12.75" customHeight="1">
      <c r="A104" s="117" t="s">
        <v>431</v>
      </c>
      <c r="B104" s="35"/>
      <c r="C104" s="179">
        <v>0</v>
      </c>
      <c r="D104" s="80">
        <f t="shared" si="32"/>
        <v>0</v>
      </c>
      <c r="E104" s="179">
        <v>0</v>
      </c>
      <c r="F104" s="80">
        <f t="shared" si="23"/>
        <v>0</v>
      </c>
      <c r="G104" s="179">
        <v>0</v>
      </c>
      <c r="H104" s="80">
        <f t="shared" si="24"/>
        <v>0</v>
      </c>
      <c r="I104" s="179">
        <v>0</v>
      </c>
      <c r="J104" s="80">
        <f t="shared" si="25"/>
        <v>0</v>
      </c>
      <c r="K104" s="179">
        <v>0</v>
      </c>
      <c r="L104" s="80">
        <f t="shared" si="26"/>
        <v>0</v>
      </c>
      <c r="M104" s="179">
        <v>0</v>
      </c>
      <c r="N104" s="80">
        <f t="shared" si="27"/>
        <v>0</v>
      </c>
      <c r="O104" s="179">
        <v>0</v>
      </c>
      <c r="P104" s="80">
        <f t="shared" si="28"/>
        <v>0</v>
      </c>
      <c r="Q104" s="179">
        <v>0</v>
      </c>
      <c r="R104" s="80">
        <f t="shared" si="29"/>
        <v>0</v>
      </c>
      <c r="S104" s="179">
        <v>0</v>
      </c>
      <c r="T104" s="80">
        <f t="shared" si="30"/>
        <v>0</v>
      </c>
      <c r="U104" s="179">
        <v>0</v>
      </c>
      <c r="V104" s="80">
        <f t="shared" si="31"/>
        <v>0</v>
      </c>
      <c r="X104" s="200"/>
    </row>
    <row r="105" spans="1:24" ht="12.75" customHeight="1">
      <c r="A105" s="2" t="s">
        <v>432</v>
      </c>
      <c r="B105" s="53"/>
      <c r="C105" s="82">
        <f>SUM(C52:C104)</f>
        <v>0</v>
      </c>
      <c r="D105" s="83">
        <f t="shared" si="32"/>
        <v>0</v>
      </c>
      <c r="E105" s="82">
        <f>SUM(E52:E104)</f>
        <v>0</v>
      </c>
      <c r="F105" s="83">
        <f t="shared" si="23"/>
        <v>0</v>
      </c>
      <c r="G105" s="82">
        <f>SUM(G52:G104)</f>
        <v>0</v>
      </c>
      <c r="H105" s="83">
        <f t="shared" si="24"/>
        <v>0</v>
      </c>
      <c r="I105" s="82">
        <f>SUM(I52:I104)</f>
        <v>0</v>
      </c>
      <c r="J105" s="83">
        <f t="shared" si="25"/>
        <v>0</v>
      </c>
      <c r="K105" s="82">
        <f>SUM(K52:K104)</f>
        <v>0</v>
      </c>
      <c r="L105" s="83">
        <f t="shared" si="26"/>
        <v>0</v>
      </c>
      <c r="M105" s="82">
        <f>SUM(M52:M104)</f>
        <v>0</v>
      </c>
      <c r="N105" s="83">
        <f t="shared" si="27"/>
        <v>0</v>
      </c>
      <c r="O105" s="82">
        <f>SUM(O52:O104)</f>
        <v>0</v>
      </c>
      <c r="P105" s="83">
        <f t="shared" si="28"/>
        <v>0</v>
      </c>
      <c r="Q105" s="82">
        <f>SUM(Q52:Q104)</f>
        <v>0</v>
      </c>
      <c r="R105" s="83">
        <f t="shared" si="29"/>
        <v>0</v>
      </c>
      <c r="S105" s="82">
        <f>SUM(S52:S104)</f>
        <v>0</v>
      </c>
      <c r="T105" s="83">
        <f t="shared" si="30"/>
        <v>0</v>
      </c>
      <c r="U105" s="82">
        <f>SUM(U52:U104)</f>
        <v>0</v>
      </c>
      <c r="V105" s="83">
        <f t="shared" si="31"/>
        <v>0</v>
      </c>
    </row>
    <row r="106" spans="1:24" ht="12.75" customHeight="1">
      <c r="A106" s="117" t="s">
        <v>433</v>
      </c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17" t="s">
        <v>433</v>
      </c>
      <c r="B107" s="53"/>
      <c r="C107" s="82">
        <f>C28-C33-C46-C105</f>
        <v>57000</v>
      </c>
      <c r="D107" s="83">
        <f>IFERROR(C107/C$28,0)</f>
        <v>1</v>
      </c>
      <c r="E107" s="82">
        <f>E28-E33-E46-E105</f>
        <v>58140</v>
      </c>
      <c r="F107" s="83">
        <f>IFERROR(E107/E$28,0)</f>
        <v>1</v>
      </c>
      <c r="G107" s="82">
        <f>G28-G33-G46-G105</f>
        <v>59302.8</v>
      </c>
      <c r="H107" s="83">
        <f>IFERROR(G107/G$28,0)</f>
        <v>1</v>
      </c>
      <c r="I107" s="82">
        <f>I28-I33-I46-I105</f>
        <v>60488.856000000007</v>
      </c>
      <c r="J107" s="83">
        <f>IFERROR(I107/I$28,0)</f>
        <v>1</v>
      </c>
      <c r="K107" s="82">
        <f>K28-K33-K46-K105</f>
        <v>61698.633120000006</v>
      </c>
      <c r="L107" s="83">
        <f>IFERROR(K107/K$28,0)</f>
        <v>1</v>
      </c>
      <c r="M107" s="82">
        <f>M28-M33-M46-M105</f>
        <v>62932.605782400009</v>
      </c>
      <c r="N107" s="83">
        <f>IFERROR(M107/M$28,0)</f>
        <v>1</v>
      </c>
      <c r="O107" s="82">
        <f>O28-O33-O46-O105</f>
        <v>64191.25789804801</v>
      </c>
      <c r="P107" s="83">
        <f>IFERROR(O107/O$28,0)</f>
        <v>1</v>
      </c>
      <c r="Q107" s="82">
        <f>Q28-Q33-Q46-Q105</f>
        <v>65475.083056008974</v>
      </c>
      <c r="R107" s="83">
        <f>IFERROR(Q107/Q$28,0)</f>
        <v>1</v>
      </c>
      <c r="S107" s="82">
        <f>S28-S33-S46-S105</f>
        <v>66784.584717129153</v>
      </c>
      <c r="T107" s="83">
        <f>IFERROR(S107/S$28,0)</f>
        <v>1</v>
      </c>
      <c r="U107" s="82">
        <f>U28-U33-U46-U105</f>
        <v>68120.276411471743</v>
      </c>
      <c r="V107" s="83">
        <f>IFERROR(U107/U$28,0)</f>
        <v>1</v>
      </c>
    </row>
    <row r="108" spans="1:24" ht="12.75" customHeight="1">
      <c r="A108" s="117" t="s">
        <v>433</v>
      </c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 t="s">
        <v>434</v>
      </c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1"/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1" t="s">
        <v>435</v>
      </c>
      <c r="B111" s="35"/>
      <c r="C111" s="79">
        <f>C59</f>
        <v>0</v>
      </c>
      <c r="D111" s="80">
        <f t="shared" ref="D111:D116" si="33">IFERROR(C111/C$28,0)</f>
        <v>0</v>
      </c>
      <c r="E111" s="79">
        <f>E59</f>
        <v>0</v>
      </c>
      <c r="F111" s="80">
        <f t="shared" ref="F111:F116" si="34">IFERROR(E111/E$28,0)</f>
        <v>0</v>
      </c>
      <c r="G111" s="79">
        <f>G59</f>
        <v>0</v>
      </c>
      <c r="H111" s="80">
        <f t="shared" ref="H111:H116" si="35">IFERROR(G111/G$28,0)</f>
        <v>0</v>
      </c>
      <c r="I111" s="79">
        <f>I59</f>
        <v>0</v>
      </c>
      <c r="J111" s="80">
        <f t="shared" ref="J111:J116" si="36">IFERROR(I111/I$28,0)</f>
        <v>0</v>
      </c>
      <c r="K111" s="79">
        <f>K59</f>
        <v>0</v>
      </c>
      <c r="L111" s="80">
        <f t="shared" ref="L111:L116" si="37">IFERROR(K111/K$28,0)</f>
        <v>0</v>
      </c>
      <c r="M111" s="79">
        <f>M59</f>
        <v>0</v>
      </c>
      <c r="N111" s="80">
        <f t="shared" ref="N111:N116" si="38">IFERROR(M111/M$28,0)</f>
        <v>0</v>
      </c>
      <c r="O111" s="79">
        <f>O59</f>
        <v>0</v>
      </c>
      <c r="P111" s="80">
        <f t="shared" ref="P111:P116" si="39">IFERROR(O111/O$28,0)</f>
        <v>0</v>
      </c>
      <c r="Q111" s="79">
        <f>Q59</f>
        <v>0</v>
      </c>
      <c r="R111" s="80">
        <f t="shared" ref="R111:R116" si="40">IFERROR(Q111/Q$28,0)</f>
        <v>0</v>
      </c>
      <c r="S111" s="79">
        <f>S59</f>
        <v>0</v>
      </c>
      <c r="T111" s="80">
        <f t="shared" ref="T111:T116" si="41">IFERROR(S111/S$28,0)</f>
        <v>0</v>
      </c>
      <c r="U111" s="79">
        <f>U59</f>
        <v>0</v>
      </c>
      <c r="V111" s="80">
        <f t="shared" ref="V111:V116" si="42">IFERROR(U111/U$28,0)</f>
        <v>0</v>
      </c>
    </row>
    <row r="112" spans="1:24" ht="12.75" customHeight="1">
      <c r="A112" s="1"/>
      <c r="B112" s="35"/>
      <c r="C112" s="79">
        <f>C62</f>
        <v>0</v>
      </c>
      <c r="D112" s="80">
        <f t="shared" si="33"/>
        <v>0</v>
      </c>
      <c r="E112" s="79">
        <f>E62</f>
        <v>0</v>
      </c>
      <c r="F112" s="80">
        <f t="shared" si="34"/>
        <v>0</v>
      </c>
      <c r="G112" s="79">
        <f>G62</f>
        <v>0</v>
      </c>
      <c r="H112" s="80">
        <f t="shared" si="35"/>
        <v>0</v>
      </c>
      <c r="I112" s="79">
        <f>I62</f>
        <v>0</v>
      </c>
      <c r="J112" s="80">
        <f t="shared" si="36"/>
        <v>0</v>
      </c>
      <c r="K112" s="79">
        <f>K62</f>
        <v>0</v>
      </c>
      <c r="L112" s="80">
        <f t="shared" si="37"/>
        <v>0</v>
      </c>
      <c r="M112" s="79">
        <f>M62</f>
        <v>0</v>
      </c>
      <c r="N112" s="80">
        <f t="shared" si="38"/>
        <v>0</v>
      </c>
      <c r="O112" s="79">
        <f>O62</f>
        <v>0</v>
      </c>
      <c r="P112" s="80">
        <f t="shared" si="39"/>
        <v>0</v>
      </c>
      <c r="Q112" s="79">
        <f>Q62</f>
        <v>0</v>
      </c>
      <c r="R112" s="80">
        <f t="shared" si="40"/>
        <v>0</v>
      </c>
      <c r="S112" s="79">
        <f>S62</f>
        <v>0</v>
      </c>
      <c r="T112" s="80">
        <f t="shared" si="41"/>
        <v>0</v>
      </c>
      <c r="U112" s="79">
        <f>U62</f>
        <v>0</v>
      </c>
      <c r="V112" s="80">
        <f t="shared" si="42"/>
        <v>0</v>
      </c>
    </row>
    <row r="113" spans="1:22" ht="12.75" customHeight="1">
      <c r="A113" s="1"/>
      <c r="B113" s="41"/>
      <c r="C113" s="111">
        <v>0</v>
      </c>
      <c r="D113" s="80">
        <f t="shared" si="33"/>
        <v>0</v>
      </c>
      <c r="E113" s="111">
        <v>0</v>
      </c>
      <c r="F113" s="80">
        <f t="shared" si="34"/>
        <v>0</v>
      </c>
      <c r="G113" s="111">
        <v>0</v>
      </c>
      <c r="H113" s="80">
        <f t="shared" si="35"/>
        <v>0</v>
      </c>
      <c r="I113" s="111">
        <v>0</v>
      </c>
      <c r="J113" s="80">
        <f t="shared" si="36"/>
        <v>0</v>
      </c>
      <c r="K113" s="111">
        <v>0</v>
      </c>
      <c r="L113" s="80">
        <f t="shared" si="37"/>
        <v>0</v>
      </c>
      <c r="M113" s="111">
        <v>0</v>
      </c>
      <c r="N113" s="80">
        <f t="shared" si="38"/>
        <v>0</v>
      </c>
      <c r="O113" s="111">
        <v>0</v>
      </c>
      <c r="P113" s="80">
        <f t="shared" si="39"/>
        <v>0</v>
      </c>
      <c r="Q113" s="111">
        <v>0</v>
      </c>
      <c r="R113" s="80">
        <f t="shared" si="40"/>
        <v>0</v>
      </c>
      <c r="S113" s="111">
        <v>0</v>
      </c>
      <c r="T113" s="80">
        <f t="shared" si="41"/>
        <v>0</v>
      </c>
      <c r="U113" s="111">
        <v>0</v>
      </c>
      <c r="V113" s="80">
        <f t="shared" si="42"/>
        <v>0</v>
      </c>
    </row>
    <row r="114" spans="1:22" ht="12.75" customHeight="1">
      <c r="A114" s="40" t="s">
        <v>436</v>
      </c>
      <c r="B114" s="41"/>
      <c r="C114" s="111">
        <v>0</v>
      </c>
      <c r="D114" s="80">
        <f t="shared" si="33"/>
        <v>0</v>
      </c>
      <c r="E114" s="111">
        <v>0</v>
      </c>
      <c r="F114" s="80">
        <f t="shared" si="34"/>
        <v>0</v>
      </c>
      <c r="G114" s="111">
        <v>0</v>
      </c>
      <c r="H114" s="80">
        <f t="shared" si="35"/>
        <v>0</v>
      </c>
      <c r="I114" s="111">
        <v>0</v>
      </c>
      <c r="J114" s="80">
        <f t="shared" si="36"/>
        <v>0</v>
      </c>
      <c r="K114" s="111">
        <v>0</v>
      </c>
      <c r="L114" s="80">
        <f t="shared" si="37"/>
        <v>0</v>
      </c>
      <c r="M114" s="111">
        <v>0</v>
      </c>
      <c r="N114" s="80">
        <f t="shared" si="38"/>
        <v>0</v>
      </c>
      <c r="O114" s="111">
        <v>0</v>
      </c>
      <c r="P114" s="80">
        <f t="shared" si="39"/>
        <v>0</v>
      </c>
      <c r="Q114" s="111">
        <v>0</v>
      </c>
      <c r="R114" s="80">
        <f t="shared" si="40"/>
        <v>0</v>
      </c>
      <c r="S114" s="111">
        <v>0</v>
      </c>
      <c r="T114" s="80">
        <f t="shared" si="41"/>
        <v>0</v>
      </c>
      <c r="U114" s="111">
        <v>0</v>
      </c>
      <c r="V114" s="80">
        <f t="shared" si="42"/>
        <v>0</v>
      </c>
    </row>
    <row r="115" spans="1:22" ht="12.75" customHeight="1">
      <c r="A115" s="2" t="s">
        <v>390</v>
      </c>
      <c r="B115" s="41"/>
      <c r="C115" s="112">
        <v>0</v>
      </c>
      <c r="D115" s="80">
        <f t="shared" si="33"/>
        <v>0</v>
      </c>
      <c r="E115" s="112">
        <v>0</v>
      </c>
      <c r="F115" s="80">
        <f t="shared" si="34"/>
        <v>0</v>
      </c>
      <c r="G115" s="112">
        <v>0</v>
      </c>
      <c r="H115" s="80">
        <f t="shared" si="35"/>
        <v>0</v>
      </c>
      <c r="I115" s="112">
        <v>0</v>
      </c>
      <c r="J115" s="80">
        <f t="shared" si="36"/>
        <v>0</v>
      </c>
      <c r="K115" s="112">
        <v>0</v>
      </c>
      <c r="L115" s="80">
        <f t="shared" si="37"/>
        <v>0</v>
      </c>
      <c r="M115" s="112">
        <v>0</v>
      </c>
      <c r="N115" s="80">
        <f t="shared" si="38"/>
        <v>0</v>
      </c>
      <c r="O115" s="112">
        <v>0</v>
      </c>
      <c r="P115" s="80">
        <f t="shared" si="39"/>
        <v>0</v>
      </c>
      <c r="Q115" s="112">
        <v>0</v>
      </c>
      <c r="R115" s="80">
        <f t="shared" si="40"/>
        <v>0</v>
      </c>
      <c r="S115" s="112">
        <v>0</v>
      </c>
      <c r="T115" s="80">
        <f t="shared" si="41"/>
        <v>0</v>
      </c>
      <c r="U115" s="112">
        <v>0</v>
      </c>
      <c r="V115" s="80">
        <f t="shared" si="42"/>
        <v>0</v>
      </c>
    </row>
    <row r="116" spans="1:22" ht="12.75" customHeight="1">
      <c r="A116" s="2" t="s">
        <v>437</v>
      </c>
      <c r="B116" s="42"/>
      <c r="C116" s="85">
        <f>SUM(C111:C115)</f>
        <v>0</v>
      </c>
      <c r="D116" s="83">
        <f t="shared" si="33"/>
        <v>0</v>
      </c>
      <c r="E116" s="85">
        <f>SUM(E111:E115)</f>
        <v>0</v>
      </c>
      <c r="F116" s="83">
        <f t="shared" si="34"/>
        <v>0</v>
      </c>
      <c r="G116" s="85">
        <f>SUM(G111:G115)</f>
        <v>0</v>
      </c>
      <c r="H116" s="83">
        <f t="shared" si="35"/>
        <v>0</v>
      </c>
      <c r="I116" s="85">
        <f>SUM(I111:I115)</f>
        <v>0</v>
      </c>
      <c r="J116" s="83">
        <f t="shared" si="36"/>
        <v>0</v>
      </c>
      <c r="K116" s="85">
        <f>SUM(K111:K115)</f>
        <v>0</v>
      </c>
      <c r="L116" s="83">
        <f t="shared" si="37"/>
        <v>0</v>
      </c>
      <c r="M116" s="85">
        <f>SUM(M111:M115)</f>
        <v>0</v>
      </c>
      <c r="N116" s="83">
        <f t="shared" si="38"/>
        <v>0</v>
      </c>
      <c r="O116" s="85">
        <f>SUM(O111:O115)</f>
        <v>0</v>
      </c>
      <c r="P116" s="83">
        <f t="shared" si="39"/>
        <v>0</v>
      </c>
      <c r="Q116" s="85">
        <f>SUM(Q111:Q115)</f>
        <v>0</v>
      </c>
      <c r="R116" s="83">
        <f t="shared" si="40"/>
        <v>0</v>
      </c>
      <c r="S116" s="85">
        <f>SUM(S111:S115)</f>
        <v>0</v>
      </c>
      <c r="T116" s="83">
        <f t="shared" si="41"/>
        <v>0</v>
      </c>
      <c r="U116" s="85">
        <f>SUM(U111:U115)</f>
        <v>0</v>
      </c>
      <c r="V116" s="83">
        <f t="shared" si="42"/>
        <v>0</v>
      </c>
    </row>
    <row r="117" spans="1:22" ht="12.75" customHeight="1">
      <c r="A117" s="117" t="s">
        <v>433</v>
      </c>
    </row>
    <row r="118" spans="1:22" ht="12.75" customHeight="1">
      <c r="A118" s="117" t="s">
        <v>433</v>
      </c>
      <c r="B118" s="43"/>
    </row>
    <row r="119" spans="1:22" ht="12.75" customHeight="1">
      <c r="A119" s="117" t="s">
        <v>433</v>
      </c>
      <c r="B119" s="47"/>
    </row>
    <row r="120" spans="1:22" ht="12.75" customHeight="1">
      <c r="A120" s="40" t="s">
        <v>438</v>
      </c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7" tint="0.59999389629810485"/>
  </sheetPr>
  <dimension ref="A1:X119"/>
  <sheetViews>
    <sheetView topLeftCell="A28" zoomScale="70" zoomScaleNormal="70" workbookViewId="0" xr3:uid="{11A3ACCB-1F19-5AC9-A611-4158731A345D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40.85546875" style="2" customWidth="1"/>
    <col min="3" max="3" width="15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39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Burger King (Graham Center)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220</v>
      </c>
      <c r="E8" s="109">
        <f>+C8</f>
        <v>220</v>
      </c>
      <c r="G8" s="109">
        <f>+E8</f>
        <v>220</v>
      </c>
      <c r="I8" s="109">
        <f>+G8</f>
        <v>220</v>
      </c>
      <c r="K8" s="109">
        <f>+I8</f>
        <v>220</v>
      </c>
      <c r="M8" s="109">
        <f>+K8</f>
        <v>220</v>
      </c>
      <c r="O8" s="109">
        <f>+M8</f>
        <v>220</v>
      </c>
      <c r="Q8" s="109">
        <f>+O8</f>
        <v>220</v>
      </c>
      <c r="S8" s="109">
        <f>+Q8</f>
        <v>220</v>
      </c>
      <c r="U8" s="109">
        <f>+S8</f>
        <v>220</v>
      </c>
    </row>
    <row r="10" spans="1:22" ht="12.75" customHeight="1">
      <c r="A10" s="2" t="s">
        <v>449</v>
      </c>
      <c r="C10" s="109">
        <v>337</v>
      </c>
      <c r="E10" s="109"/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450</v>
      </c>
      <c r="C12" s="110">
        <v>5.4</v>
      </c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451</v>
      </c>
      <c r="C14" s="121">
        <f>C12*C10*C8</f>
        <v>400356.00000000006</v>
      </c>
      <c r="E14" s="121">
        <f>E12*E10*E8</f>
        <v>0</v>
      </c>
      <c r="G14" s="121">
        <f>G12*G10*G8</f>
        <v>0</v>
      </c>
      <c r="I14" s="121">
        <f>I12*I10*I8</f>
        <v>0</v>
      </c>
      <c r="K14" s="121">
        <f>K12*K10*K8</f>
        <v>0</v>
      </c>
      <c r="M14" s="121">
        <f>M12*M10*M8</f>
        <v>0</v>
      </c>
      <c r="O14" s="121">
        <f>O12*O10*O8</f>
        <v>0</v>
      </c>
      <c r="Q14" s="121">
        <f>Q12*Q10*Q8</f>
        <v>0</v>
      </c>
      <c r="S14" s="121">
        <f>S12*S10*S8</f>
        <v>0</v>
      </c>
      <c r="U14" s="121">
        <f>U12*U10*U8</f>
        <v>0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+C14-C20-C21</f>
        <v>346267.90440000006</v>
      </c>
      <c r="D19" s="80">
        <f>IFERROR(C19/C$28,0)</f>
        <v>0.8649</v>
      </c>
      <c r="E19" s="208">
        <f>+E14-E20</f>
        <v>0</v>
      </c>
      <c r="F19" s="80">
        <f>IFERROR(E19/E$28,0)</f>
        <v>0</v>
      </c>
      <c r="G19" s="111">
        <f>E19*1.02</f>
        <v>0</v>
      </c>
      <c r="H19" s="80">
        <f>IFERROR(G19/G$28,0)</f>
        <v>0</v>
      </c>
      <c r="I19" s="111">
        <f>G19*1.02</f>
        <v>0</v>
      </c>
      <c r="J19" s="80">
        <f>IFERROR(I19/I$28,0)</f>
        <v>0</v>
      </c>
      <c r="K19" s="111">
        <f>I19*1.02</f>
        <v>0</v>
      </c>
      <c r="L19" s="80">
        <f>IFERROR(K19/K$28,0)</f>
        <v>0</v>
      </c>
      <c r="M19" s="111">
        <f>K19*1.02</f>
        <v>0</v>
      </c>
      <c r="N19" s="80">
        <f>IFERROR(M19/M$28,0)</f>
        <v>0</v>
      </c>
      <c r="O19" s="111">
        <f>M19*1.02</f>
        <v>0</v>
      </c>
      <c r="P19" s="80">
        <f>IFERROR(O19/O$28,0)</f>
        <v>0</v>
      </c>
      <c r="Q19" s="111">
        <f>O19*1.02</f>
        <v>0</v>
      </c>
      <c r="R19" s="80">
        <f>IFERROR(Q19/Q$28,0)</f>
        <v>0</v>
      </c>
      <c r="S19" s="111">
        <f>Q19*1.02</f>
        <v>0</v>
      </c>
      <c r="T19" s="80">
        <f>IFERROR(S19/S$28,0)</f>
        <v>0</v>
      </c>
      <c r="U19" s="111">
        <f>S19*1.02</f>
        <v>0</v>
      </c>
      <c r="V19" s="80">
        <f>IFERROR(U19/U$28,0)</f>
        <v>0</v>
      </c>
    </row>
    <row r="20" spans="1:24" ht="12.75" customHeight="1">
      <c r="A20" s="2" t="s">
        <v>357</v>
      </c>
      <c r="B20" s="35"/>
      <c r="C20" s="111">
        <f>+C14*12.38%</f>
        <v>49564.072800000009</v>
      </c>
      <c r="D20" s="80">
        <f>IFERROR(C20/C$28,0)</f>
        <v>0.12380000000000001</v>
      </c>
      <c r="E20" s="111">
        <f>+E14*53.27%</f>
        <v>0</v>
      </c>
      <c r="F20" s="80">
        <f>IFERROR(E20/E$28,0)</f>
        <v>0</v>
      </c>
      <c r="G20" s="111">
        <f t="shared" ref="G20:U21" si="0">E20*1.02</f>
        <v>0</v>
      </c>
      <c r="H20" s="80">
        <f>IFERROR(G20/G$28,0)</f>
        <v>0</v>
      </c>
      <c r="I20" s="111">
        <f t="shared" si="0"/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191" t="s">
        <v>358</v>
      </c>
      <c r="B21" s="203"/>
      <c r="C21" s="111">
        <f>+C14*0.0113</f>
        <v>4524.0228000000006</v>
      </c>
      <c r="D21" s="80">
        <f>IFERROR(C21/C$28,0)</f>
        <v>1.1299999999999999E-2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364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365</v>
      </c>
      <c r="B28" s="53"/>
      <c r="C28" s="82">
        <f>SUM(C19:C27)</f>
        <v>400356.00000000006</v>
      </c>
      <c r="D28" s="83">
        <f t="shared" si="1"/>
        <v>1</v>
      </c>
      <c r="E28" s="82">
        <f>SUM(E19:E27)</f>
        <v>0</v>
      </c>
      <c r="F28" s="83">
        <f t="shared" si="2"/>
        <v>0</v>
      </c>
      <c r="G28" s="82">
        <f>SUM(G19:G27)</f>
        <v>0</v>
      </c>
      <c r="H28" s="83">
        <f t="shared" si="3"/>
        <v>0</v>
      </c>
      <c r="I28" s="82">
        <f>SUM(I19:I27)</f>
        <v>0</v>
      </c>
      <c r="J28" s="83">
        <f t="shared" si="4"/>
        <v>0</v>
      </c>
      <c r="K28" s="82">
        <f>SUM(K19:K27)</f>
        <v>0</v>
      </c>
      <c r="L28" s="83">
        <f t="shared" si="5"/>
        <v>0</v>
      </c>
      <c r="M28" s="82">
        <f>SUM(M19:M27)</f>
        <v>0</v>
      </c>
      <c r="N28" s="83">
        <f t="shared" si="6"/>
        <v>0</v>
      </c>
      <c r="O28" s="82">
        <f>SUM(O19:O27)</f>
        <v>0</v>
      </c>
      <c r="P28" s="83">
        <f t="shared" si="7"/>
        <v>0</v>
      </c>
      <c r="Q28" s="82">
        <f>SUM(Q19:Q27)</f>
        <v>0</v>
      </c>
      <c r="R28" s="83">
        <f t="shared" si="8"/>
        <v>0</v>
      </c>
      <c r="S28" s="82">
        <f>SUM(S19:S27)</f>
        <v>0</v>
      </c>
      <c r="T28" s="83">
        <f t="shared" si="9"/>
        <v>0</v>
      </c>
      <c r="U28" s="82">
        <f>SUM(U19:U27)</f>
        <v>0</v>
      </c>
      <c r="V28" s="83">
        <f t="shared" si="10"/>
        <v>0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0.29420000000000002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117784.73520000002</v>
      </c>
      <c r="D31" s="80">
        <f>IFERROR(C31/C$28,0)</f>
        <v>0.29420000000000002</v>
      </c>
      <c r="E31" s="179">
        <f>$C$30*E14</f>
        <v>0</v>
      </c>
      <c r="F31" s="80">
        <f>IFERROR(E31/E$28,0)</f>
        <v>0</v>
      </c>
      <c r="G31" s="179">
        <f>$C$30*G14</f>
        <v>0</v>
      </c>
      <c r="H31" s="80">
        <f>IFERROR(G31/G$28,0)</f>
        <v>0</v>
      </c>
      <c r="I31" s="179">
        <f>$C$30*I14</f>
        <v>0</v>
      </c>
      <c r="J31" s="80">
        <f>IFERROR(I31/I$28,0)</f>
        <v>0</v>
      </c>
      <c r="K31" s="179">
        <f>$C$30*K14</f>
        <v>0</v>
      </c>
      <c r="L31" s="80">
        <f>IFERROR(K31/K$28,0)</f>
        <v>0</v>
      </c>
      <c r="M31" s="179">
        <f>$C$30*M14</f>
        <v>0</v>
      </c>
      <c r="N31" s="80">
        <f>IFERROR(M31/M$28,0)</f>
        <v>0</v>
      </c>
      <c r="O31" s="179">
        <f>$C$30*O14</f>
        <v>0</v>
      </c>
      <c r="P31" s="80">
        <f>IFERROR(O31/O$28,0)</f>
        <v>0</v>
      </c>
      <c r="Q31" s="179">
        <f>$C$30*Q14</f>
        <v>0</v>
      </c>
      <c r="R31" s="80">
        <f>IFERROR(Q31/Q$28,0)</f>
        <v>0</v>
      </c>
      <c r="S31" s="179">
        <f>$C$30*S14</f>
        <v>0</v>
      </c>
      <c r="T31" s="80">
        <f>IFERROR(S31/S$28,0)</f>
        <v>0</v>
      </c>
      <c r="U31" s="179">
        <f>$C$30*U14</f>
        <v>0</v>
      </c>
      <c r="V31" s="80">
        <f>IFERROR(U31/U$28,0)</f>
        <v>0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117784.73520000002</v>
      </c>
      <c r="D33" s="83">
        <f>IFERROR(C33/C$28,0)</f>
        <v>0.29420000000000002</v>
      </c>
      <c r="E33" s="82">
        <f>SUM(E31:E32)</f>
        <v>0</v>
      </c>
      <c r="F33" s="83">
        <f>IFERROR(E33/E$28,0)</f>
        <v>0</v>
      </c>
      <c r="G33" s="82">
        <f>SUM(G31:G32)</f>
        <v>0</v>
      </c>
      <c r="H33" s="83">
        <f>IFERROR(G33/G$28,0)</f>
        <v>0</v>
      </c>
      <c r="I33" s="82">
        <f>SUM(I31:I32)</f>
        <v>0</v>
      </c>
      <c r="J33" s="83">
        <f>IFERROR(I33/I$28,0)</f>
        <v>0</v>
      </c>
      <c r="K33" s="82">
        <f>SUM(K31:K32)</f>
        <v>0</v>
      </c>
      <c r="L33" s="83">
        <f>IFERROR(K33/K$28,0)</f>
        <v>0</v>
      </c>
      <c r="M33" s="82">
        <f>SUM(M31:M32)</f>
        <v>0</v>
      </c>
      <c r="N33" s="83">
        <f>IFERROR(M33/M$28,0)</f>
        <v>0</v>
      </c>
      <c r="O33" s="82">
        <f>SUM(O31:O32)</f>
        <v>0</v>
      </c>
      <c r="P33" s="83">
        <f>IFERROR(O33/O$28,0)</f>
        <v>0</v>
      </c>
      <c r="Q33" s="82">
        <f>SUM(Q31:Q32)</f>
        <v>0</v>
      </c>
      <c r="R33" s="83">
        <f>IFERROR(Q33/Q$28,0)</f>
        <v>0</v>
      </c>
      <c r="S33" s="82">
        <f>SUM(S31:S32)</f>
        <v>0</v>
      </c>
      <c r="T33" s="83">
        <f>IFERROR(S33/S$28,0)</f>
        <v>0</v>
      </c>
      <c r="U33" s="82">
        <f>SUM(U31:U32)</f>
        <v>0</v>
      </c>
      <c r="V33" s="83">
        <f>IFERROR(U33/U$28,0)</f>
        <v>0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/>
      <c r="D36" s="80">
        <f t="shared" ref="D36:D46" si="11">IFERROR(C36/C$28,0)</f>
        <v>0</v>
      </c>
      <c r="E36" s="179"/>
      <c r="F36" s="80">
        <f t="shared" ref="F36:F46" si="12">IFERROR(E36/E$28,0)</f>
        <v>0</v>
      </c>
      <c r="G36" s="179"/>
      <c r="H36" s="80">
        <f t="shared" ref="H36:H46" si="13">IFERROR(G36/G$28,0)</f>
        <v>0</v>
      </c>
      <c r="I36" s="179"/>
      <c r="J36" s="80">
        <f t="shared" ref="J36:J46" si="14">IFERROR(I36/I$28,0)</f>
        <v>0</v>
      </c>
      <c r="K36" s="179"/>
      <c r="L36" s="80">
        <f t="shared" ref="L36:L46" si="15">IFERROR(K36/K$28,0)</f>
        <v>0</v>
      </c>
      <c r="M36" s="179"/>
      <c r="N36" s="80">
        <f t="shared" ref="N36:N46" si="16">IFERROR(M36/M$28,0)</f>
        <v>0</v>
      </c>
      <c r="O36" s="179"/>
      <c r="P36" s="80">
        <f t="shared" ref="P36:P46" si="17">IFERROR(O36/O$28,0)</f>
        <v>0</v>
      </c>
      <c r="Q36" s="179"/>
      <c r="R36" s="80">
        <f t="shared" ref="R36:R46" si="18">IFERROR(Q36/Q$28,0)</f>
        <v>0</v>
      </c>
      <c r="S36" s="179"/>
      <c r="T36" s="80">
        <f t="shared" ref="T36:T46" si="19">IFERROR(S36/S$28,0)</f>
        <v>0</v>
      </c>
      <c r="U36" s="179"/>
      <c r="V36" s="80">
        <f t="shared" ref="V36:V46" si="20">IFERROR(U36/U$28,0)</f>
        <v>0</v>
      </c>
    </row>
    <row r="37" spans="1:22" ht="12.75" customHeight="1">
      <c r="A37" s="2" t="s">
        <v>372</v>
      </c>
      <c r="B37" s="35"/>
      <c r="C37" s="179">
        <v>116007</v>
      </c>
      <c r="D37" s="80">
        <f t="shared" si="11"/>
        <v>0.28975961394359018</v>
      </c>
      <c r="E37" s="179"/>
      <c r="F37" s="80">
        <f t="shared" si="12"/>
        <v>0</v>
      </c>
      <c r="G37" s="179">
        <f>+E37*1.035</f>
        <v>0</v>
      </c>
      <c r="H37" s="80">
        <f t="shared" si="13"/>
        <v>0</v>
      </c>
      <c r="I37" s="179">
        <f>+G37*1.032</f>
        <v>0</v>
      </c>
      <c r="J37" s="80">
        <f t="shared" si="14"/>
        <v>0</v>
      </c>
      <c r="K37" s="179">
        <f>+I37*1.025</f>
        <v>0</v>
      </c>
      <c r="L37" s="80">
        <f t="shared" si="15"/>
        <v>0</v>
      </c>
      <c r="M37" s="179">
        <f>+K37*1.025</f>
        <v>0</v>
      </c>
      <c r="N37" s="80">
        <f t="shared" si="16"/>
        <v>0</v>
      </c>
      <c r="O37" s="179">
        <f>+M37*1.025</f>
        <v>0</v>
      </c>
      <c r="P37" s="80">
        <f t="shared" si="17"/>
        <v>0</v>
      </c>
      <c r="Q37" s="179">
        <f>+O37*1.025</f>
        <v>0</v>
      </c>
      <c r="R37" s="80">
        <f t="shared" si="18"/>
        <v>0</v>
      </c>
      <c r="S37" s="179">
        <f>+Q37*1.025</f>
        <v>0</v>
      </c>
      <c r="T37" s="80">
        <f t="shared" si="19"/>
        <v>0</v>
      </c>
      <c r="U37" s="179">
        <f>+S37*1.025</f>
        <v>0</v>
      </c>
      <c r="V37" s="80">
        <f t="shared" si="20"/>
        <v>0</v>
      </c>
    </row>
    <row r="38" spans="1:22" ht="12.75" customHeight="1">
      <c r="A38" s="2" t="s">
        <v>373</v>
      </c>
      <c r="B38" s="35"/>
      <c r="C38" s="179">
        <v>0</v>
      </c>
      <c r="D38" s="80">
        <f t="shared" si="11"/>
        <v>0</v>
      </c>
      <c r="E38" s="179"/>
      <c r="F38" s="80">
        <f t="shared" si="12"/>
        <v>0</v>
      </c>
      <c r="G38" s="179">
        <f>+E38*1.035</f>
        <v>0</v>
      </c>
      <c r="H38" s="80">
        <f t="shared" si="13"/>
        <v>0</v>
      </c>
      <c r="I38" s="179">
        <f>+G38*1.032</f>
        <v>0</v>
      </c>
      <c r="J38" s="80">
        <f t="shared" si="14"/>
        <v>0</v>
      </c>
      <c r="K38" s="179">
        <f>+I38*1.025</f>
        <v>0</v>
      </c>
      <c r="L38" s="80">
        <f t="shared" si="15"/>
        <v>0</v>
      </c>
      <c r="M38" s="179">
        <f>+K38*1.025</f>
        <v>0</v>
      </c>
      <c r="N38" s="80">
        <f t="shared" si="16"/>
        <v>0</v>
      </c>
      <c r="O38" s="179">
        <f>+M38*1.025</f>
        <v>0</v>
      </c>
      <c r="P38" s="80">
        <f t="shared" si="17"/>
        <v>0</v>
      </c>
      <c r="Q38" s="179">
        <f>+O38*1.025</f>
        <v>0</v>
      </c>
      <c r="R38" s="80">
        <f t="shared" si="18"/>
        <v>0</v>
      </c>
      <c r="S38" s="179">
        <f>+Q38*1.025</f>
        <v>0</v>
      </c>
      <c r="T38" s="80">
        <f t="shared" si="19"/>
        <v>0</v>
      </c>
      <c r="U38" s="179">
        <f>+S38*1.025</f>
        <v>0</v>
      </c>
      <c r="V38" s="80">
        <f t="shared" si="20"/>
        <v>0</v>
      </c>
    </row>
    <row r="39" spans="1:22" ht="12.75" customHeight="1">
      <c r="A39" s="2" t="s">
        <v>374</v>
      </c>
      <c r="B39" s="35"/>
      <c r="C39" s="179">
        <v>21871</v>
      </c>
      <c r="D39" s="80">
        <f t="shared" si="11"/>
        <v>5.4628880296536078E-2</v>
      </c>
      <c r="E39" s="179"/>
      <c r="F39" s="80">
        <f t="shared" si="12"/>
        <v>0</v>
      </c>
      <c r="G39" s="179">
        <f>+E39*1.035</f>
        <v>0</v>
      </c>
      <c r="H39" s="80">
        <f t="shared" si="13"/>
        <v>0</v>
      </c>
      <c r="I39" s="179">
        <f>+G39*1.032</f>
        <v>0</v>
      </c>
      <c r="J39" s="80">
        <f t="shared" si="14"/>
        <v>0</v>
      </c>
      <c r="K39" s="179">
        <f>+I39*1.025</f>
        <v>0</v>
      </c>
      <c r="L39" s="80">
        <f t="shared" si="15"/>
        <v>0</v>
      </c>
      <c r="M39" s="179">
        <f>+K39*1.025</f>
        <v>0</v>
      </c>
      <c r="N39" s="80">
        <f t="shared" si="16"/>
        <v>0</v>
      </c>
      <c r="O39" s="179">
        <f>+M39*1.025</f>
        <v>0</v>
      </c>
      <c r="P39" s="80">
        <f t="shared" si="17"/>
        <v>0</v>
      </c>
      <c r="Q39" s="179">
        <f>+O39*1.025</f>
        <v>0</v>
      </c>
      <c r="R39" s="80">
        <f t="shared" si="18"/>
        <v>0</v>
      </c>
      <c r="S39" s="179">
        <f>+Q39*1.025</f>
        <v>0</v>
      </c>
      <c r="T39" s="80">
        <f t="shared" si="19"/>
        <v>0</v>
      </c>
      <c r="U39" s="179">
        <f>+S39*1.025</f>
        <v>0</v>
      </c>
      <c r="V39" s="80">
        <f t="shared" si="20"/>
        <v>0</v>
      </c>
    </row>
    <row r="40" spans="1:22" ht="12.75" customHeight="1">
      <c r="A40" s="2" t="s">
        <v>375</v>
      </c>
      <c r="B40" s="35"/>
      <c r="C40" s="179">
        <f>C36*0.124</f>
        <v>0</v>
      </c>
      <c r="D40" s="80">
        <f t="shared" si="11"/>
        <v>0</v>
      </c>
      <c r="E40" s="179"/>
      <c r="F40" s="80">
        <f t="shared" si="12"/>
        <v>0</v>
      </c>
      <c r="G40" s="179">
        <f>G36*0.124</f>
        <v>0</v>
      </c>
      <c r="H40" s="80">
        <f t="shared" si="13"/>
        <v>0</v>
      </c>
      <c r="I40" s="179">
        <f>I36*0.124</f>
        <v>0</v>
      </c>
      <c r="J40" s="80">
        <f t="shared" si="14"/>
        <v>0</v>
      </c>
      <c r="K40" s="179">
        <f>K36*0.124</f>
        <v>0</v>
      </c>
      <c r="L40" s="80">
        <f t="shared" si="15"/>
        <v>0</v>
      </c>
      <c r="M40" s="179">
        <f>M36*0.124</f>
        <v>0</v>
      </c>
      <c r="N40" s="80">
        <f t="shared" si="16"/>
        <v>0</v>
      </c>
      <c r="O40" s="179">
        <f>O36*0.124</f>
        <v>0</v>
      </c>
      <c r="P40" s="80">
        <f t="shared" si="17"/>
        <v>0</v>
      </c>
      <c r="Q40" s="179">
        <f>Q36*0.124</f>
        <v>0</v>
      </c>
      <c r="R40" s="80">
        <f t="shared" si="18"/>
        <v>0</v>
      </c>
      <c r="S40" s="179">
        <f>S36*0.124</f>
        <v>0</v>
      </c>
      <c r="T40" s="80">
        <f t="shared" si="19"/>
        <v>0</v>
      </c>
      <c r="U40" s="179">
        <f>U36*0.124</f>
        <v>0</v>
      </c>
      <c r="V40" s="80">
        <f t="shared" si="20"/>
        <v>0</v>
      </c>
    </row>
    <row r="41" spans="1:22" ht="12.75" customHeight="1">
      <c r="A41" s="2" t="s">
        <v>376</v>
      </c>
      <c r="B41" s="35"/>
      <c r="C41" s="179">
        <f>C37*0.124</f>
        <v>14384.868</v>
      </c>
      <c r="D41" s="80">
        <f t="shared" si="11"/>
        <v>3.5930192129005181E-2</v>
      </c>
      <c r="E41" s="179"/>
      <c r="F41" s="80">
        <f t="shared" si="12"/>
        <v>0</v>
      </c>
      <c r="G41" s="179">
        <f>G37*0.124</f>
        <v>0</v>
      </c>
      <c r="H41" s="80">
        <f t="shared" si="13"/>
        <v>0</v>
      </c>
      <c r="I41" s="179">
        <f>I37*0.124</f>
        <v>0</v>
      </c>
      <c r="J41" s="80">
        <f t="shared" si="14"/>
        <v>0</v>
      </c>
      <c r="K41" s="179">
        <f>K37*0.124</f>
        <v>0</v>
      </c>
      <c r="L41" s="80">
        <f t="shared" si="15"/>
        <v>0</v>
      </c>
      <c r="M41" s="179">
        <f>M37*0.124</f>
        <v>0</v>
      </c>
      <c r="N41" s="80">
        <f t="shared" si="16"/>
        <v>0</v>
      </c>
      <c r="O41" s="179">
        <f>O37*0.124</f>
        <v>0</v>
      </c>
      <c r="P41" s="80">
        <f t="shared" si="17"/>
        <v>0</v>
      </c>
      <c r="Q41" s="179">
        <f>Q37*0.124</f>
        <v>0</v>
      </c>
      <c r="R41" s="80">
        <f t="shared" si="18"/>
        <v>0</v>
      </c>
      <c r="S41" s="179">
        <f>S37*0.124</f>
        <v>0</v>
      </c>
      <c r="T41" s="80">
        <f t="shared" si="19"/>
        <v>0</v>
      </c>
      <c r="U41" s="179">
        <f>U37*0.124</f>
        <v>0</v>
      </c>
      <c r="V41" s="80">
        <f t="shared" si="20"/>
        <v>0</v>
      </c>
    </row>
    <row r="42" spans="1:22" ht="12.75" customHeight="1">
      <c r="A42" s="2" t="s">
        <v>377</v>
      </c>
      <c r="B42" s="35"/>
      <c r="C42" s="179"/>
      <c r="D42" s="80">
        <f t="shared" si="11"/>
        <v>0</v>
      </c>
      <c r="E42" s="179"/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79"/>
      <c r="D43" s="80">
        <f t="shared" si="11"/>
        <v>0</v>
      </c>
      <c r="E43" s="179"/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79"/>
      <c r="D44" s="80">
        <f t="shared" si="11"/>
        <v>0</v>
      </c>
      <c r="E44" s="179"/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82">
        <f>SUM(C36:C39)*0.094</f>
        <v>12960.531999999999</v>
      </c>
      <c r="D45" s="80">
        <f t="shared" si="11"/>
        <v>3.2372518458571864E-2</v>
      </c>
      <c r="E45" s="182"/>
      <c r="F45" s="80">
        <f t="shared" si="12"/>
        <v>0</v>
      </c>
      <c r="G45" s="182">
        <f>SUM(G36:G39)*0.094</f>
        <v>0</v>
      </c>
      <c r="H45" s="80">
        <f t="shared" si="13"/>
        <v>0</v>
      </c>
      <c r="I45" s="182">
        <f>SUM(I36:I39)*0.094</f>
        <v>0</v>
      </c>
      <c r="J45" s="80">
        <f t="shared" si="14"/>
        <v>0</v>
      </c>
      <c r="K45" s="182">
        <f>SUM(K36:K39)*0.094</f>
        <v>0</v>
      </c>
      <c r="L45" s="80">
        <f t="shared" si="15"/>
        <v>0</v>
      </c>
      <c r="M45" s="182">
        <f>SUM(M36:M39)*0.094</f>
        <v>0</v>
      </c>
      <c r="N45" s="80">
        <f t="shared" si="16"/>
        <v>0</v>
      </c>
      <c r="O45" s="182">
        <f>SUM(O36:O39)*0.094</f>
        <v>0</v>
      </c>
      <c r="P45" s="80">
        <f t="shared" si="17"/>
        <v>0</v>
      </c>
      <c r="Q45" s="182">
        <f>SUM(Q36:Q39)*0.094</f>
        <v>0</v>
      </c>
      <c r="R45" s="80">
        <f t="shared" si="18"/>
        <v>0</v>
      </c>
      <c r="S45" s="182">
        <f>SUM(S36:S39)*0.094</f>
        <v>0</v>
      </c>
      <c r="T45" s="80">
        <f t="shared" si="19"/>
        <v>0</v>
      </c>
      <c r="U45" s="182">
        <f>SUM(U36:U39)*0.094</f>
        <v>0</v>
      </c>
      <c r="V45" s="80">
        <f t="shared" si="20"/>
        <v>0</v>
      </c>
    </row>
    <row r="46" spans="1:22" ht="12.75" customHeight="1">
      <c r="A46" s="1" t="s">
        <v>381</v>
      </c>
      <c r="B46" s="53"/>
      <c r="C46" s="82">
        <f>SUM(C36:C45)</f>
        <v>165223.4</v>
      </c>
      <c r="D46" s="83">
        <f t="shared" si="11"/>
        <v>0.41269120482770327</v>
      </c>
      <c r="E46" s="82">
        <f>SUM(E36:E45)</f>
        <v>0</v>
      </c>
      <c r="F46" s="83">
        <f t="shared" si="12"/>
        <v>0</v>
      </c>
      <c r="G46" s="82">
        <f>SUM(G36:G45)</f>
        <v>0</v>
      </c>
      <c r="H46" s="83">
        <f t="shared" si="13"/>
        <v>0</v>
      </c>
      <c r="I46" s="82">
        <f>SUM(I36:I45)</f>
        <v>0</v>
      </c>
      <c r="J46" s="83">
        <f t="shared" si="14"/>
        <v>0</v>
      </c>
      <c r="K46" s="82">
        <f>SUM(K36:K45)</f>
        <v>0</v>
      </c>
      <c r="L46" s="83">
        <f t="shared" si="15"/>
        <v>0</v>
      </c>
      <c r="M46" s="82">
        <f>SUM(M36:M45)</f>
        <v>0</v>
      </c>
      <c r="N46" s="83">
        <f t="shared" si="16"/>
        <v>0</v>
      </c>
      <c r="O46" s="82">
        <f>SUM(O36:O45)</f>
        <v>0</v>
      </c>
      <c r="P46" s="83">
        <f t="shared" si="17"/>
        <v>0</v>
      </c>
      <c r="Q46" s="82">
        <f>SUM(Q36:Q45)</f>
        <v>0</v>
      </c>
      <c r="R46" s="83">
        <f t="shared" si="18"/>
        <v>0</v>
      </c>
      <c r="S46" s="82">
        <f>SUM(S36:S45)</f>
        <v>0</v>
      </c>
      <c r="T46" s="83">
        <f t="shared" si="19"/>
        <v>0</v>
      </c>
      <c r="U46" s="82">
        <f>SUM(U36:U45)</f>
        <v>0</v>
      </c>
      <c r="V46" s="83">
        <f t="shared" si="20"/>
        <v>0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83" si="21">IFERROR(C52/C$28,0)</f>
        <v>0</v>
      </c>
      <c r="E52" s="179">
        <v>0</v>
      </c>
      <c r="F52" s="80">
        <f t="shared" ref="F52:F105" si="22">IFERROR(E52/E$28,0)</f>
        <v>0</v>
      </c>
      <c r="G52" s="179">
        <v>0</v>
      </c>
      <c r="H52" s="80">
        <f t="shared" ref="H52:H105" si="23">IFERROR(G52/G$28,0)</f>
        <v>0</v>
      </c>
      <c r="I52" s="179">
        <v>0</v>
      </c>
      <c r="J52" s="80">
        <f t="shared" ref="J52:J105" si="24">IFERROR(I52/I$28,0)</f>
        <v>0</v>
      </c>
      <c r="K52" s="179">
        <v>0</v>
      </c>
      <c r="L52" s="80">
        <f t="shared" ref="L52:L105" si="25">IFERROR(K52/K$28,0)</f>
        <v>0</v>
      </c>
      <c r="M52" s="179">
        <v>0</v>
      </c>
      <c r="N52" s="80">
        <f t="shared" ref="N52:N105" si="26">IFERROR(M52/M$28,0)</f>
        <v>0</v>
      </c>
      <c r="O52" s="179">
        <v>0</v>
      </c>
      <c r="P52" s="80">
        <f t="shared" ref="P52:P105" si="27">IFERROR(O52/O$28,0)</f>
        <v>0</v>
      </c>
      <c r="Q52" s="179">
        <v>0</v>
      </c>
      <c r="R52" s="80">
        <f t="shared" ref="R52:R105" si="28">IFERROR(Q52/Q$28,0)</f>
        <v>0</v>
      </c>
      <c r="S52" s="179">
        <v>0</v>
      </c>
      <c r="T52" s="80">
        <f t="shared" ref="T52:T105" si="29">IFERROR(S52/S$28,0)</f>
        <v>0</v>
      </c>
      <c r="U52" s="179">
        <v>0</v>
      </c>
      <c r="V52" s="80">
        <f t="shared" ref="V52:V105" si="30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1"/>
        <v>0</v>
      </c>
      <c r="E53" s="179">
        <v>0</v>
      </c>
      <c r="F53" s="80">
        <f t="shared" si="22"/>
        <v>0</v>
      </c>
      <c r="G53" s="179">
        <v>0</v>
      </c>
      <c r="H53" s="80">
        <f t="shared" si="23"/>
        <v>0</v>
      </c>
      <c r="I53" s="179">
        <v>0</v>
      </c>
      <c r="J53" s="80">
        <f t="shared" si="24"/>
        <v>0</v>
      </c>
      <c r="K53" s="179">
        <v>0</v>
      </c>
      <c r="L53" s="80">
        <f t="shared" si="25"/>
        <v>0</v>
      </c>
      <c r="M53" s="179">
        <v>0</v>
      </c>
      <c r="N53" s="80">
        <f t="shared" si="26"/>
        <v>0</v>
      </c>
      <c r="O53" s="179">
        <v>0</v>
      </c>
      <c r="P53" s="80">
        <f t="shared" si="27"/>
        <v>0</v>
      </c>
      <c r="Q53" s="179">
        <v>0</v>
      </c>
      <c r="R53" s="80">
        <f t="shared" si="28"/>
        <v>0</v>
      </c>
      <c r="S53" s="179">
        <v>0</v>
      </c>
      <c r="T53" s="80">
        <f t="shared" si="29"/>
        <v>0</v>
      </c>
      <c r="U53" s="179">
        <v>0</v>
      </c>
      <c r="V53" s="80">
        <f t="shared" si="30"/>
        <v>0</v>
      </c>
      <c r="X53" s="200"/>
    </row>
    <row r="54" spans="1:24" ht="12.75" customHeight="1">
      <c r="A54" s="2" t="s">
        <v>385</v>
      </c>
      <c r="B54" s="35"/>
      <c r="C54" s="179">
        <v>280.24920000000009</v>
      </c>
      <c r="D54" s="80">
        <f t="shared" si="21"/>
        <v>7.000000000000001E-4</v>
      </c>
      <c r="E54" s="179">
        <v>0</v>
      </c>
      <c r="F54" s="80">
        <f t="shared" si="22"/>
        <v>0</v>
      </c>
      <c r="G54" s="179">
        <v>0</v>
      </c>
      <c r="H54" s="80">
        <f t="shared" si="23"/>
        <v>0</v>
      </c>
      <c r="I54" s="179">
        <v>0</v>
      </c>
      <c r="J54" s="80">
        <f t="shared" si="24"/>
        <v>0</v>
      </c>
      <c r="K54" s="179">
        <v>0</v>
      </c>
      <c r="L54" s="80">
        <f t="shared" si="25"/>
        <v>0</v>
      </c>
      <c r="M54" s="179">
        <v>0</v>
      </c>
      <c r="N54" s="80">
        <f t="shared" si="26"/>
        <v>0</v>
      </c>
      <c r="O54" s="179">
        <v>0</v>
      </c>
      <c r="P54" s="80">
        <f t="shared" si="27"/>
        <v>0</v>
      </c>
      <c r="Q54" s="179">
        <v>0</v>
      </c>
      <c r="R54" s="80">
        <f t="shared" si="28"/>
        <v>0</v>
      </c>
      <c r="S54" s="179">
        <v>0</v>
      </c>
      <c r="T54" s="80">
        <f t="shared" si="29"/>
        <v>0</v>
      </c>
      <c r="U54" s="179">
        <v>0</v>
      </c>
      <c r="V54" s="80">
        <f t="shared" si="30"/>
        <v>0</v>
      </c>
      <c r="X54" s="200"/>
    </row>
    <row r="55" spans="1:24" ht="12.75" customHeight="1">
      <c r="A55" s="2" t="s">
        <v>386</v>
      </c>
      <c r="B55" s="35"/>
      <c r="C55" s="179">
        <v>34030.260000000009</v>
      </c>
      <c r="D55" s="80">
        <f t="shared" si="21"/>
        <v>8.5000000000000006E-2</v>
      </c>
      <c r="E55" s="179">
        <v>0</v>
      </c>
      <c r="F55" s="80">
        <f t="shared" si="22"/>
        <v>0</v>
      </c>
      <c r="G55" s="179">
        <v>0</v>
      </c>
      <c r="H55" s="80">
        <f t="shared" si="23"/>
        <v>0</v>
      </c>
      <c r="I55" s="179">
        <v>0</v>
      </c>
      <c r="J55" s="80">
        <f t="shared" si="24"/>
        <v>0</v>
      </c>
      <c r="K55" s="179">
        <v>0</v>
      </c>
      <c r="L55" s="80">
        <f t="shared" si="25"/>
        <v>0</v>
      </c>
      <c r="M55" s="179">
        <v>0</v>
      </c>
      <c r="N55" s="80">
        <f t="shared" si="26"/>
        <v>0</v>
      </c>
      <c r="O55" s="179">
        <v>0</v>
      </c>
      <c r="P55" s="80">
        <f t="shared" si="27"/>
        <v>0</v>
      </c>
      <c r="Q55" s="179">
        <v>0</v>
      </c>
      <c r="R55" s="80">
        <f t="shared" si="28"/>
        <v>0</v>
      </c>
      <c r="S55" s="179">
        <v>0</v>
      </c>
      <c r="T55" s="80">
        <f t="shared" si="29"/>
        <v>0</v>
      </c>
      <c r="U55" s="179">
        <v>0</v>
      </c>
      <c r="V55" s="80">
        <f t="shared" si="30"/>
        <v>0</v>
      </c>
      <c r="X55" s="200"/>
    </row>
    <row r="56" spans="1:24" ht="12.75" customHeight="1">
      <c r="A56" s="2" t="s">
        <v>387</v>
      </c>
      <c r="B56" s="35"/>
      <c r="C56" s="179">
        <v>204.18156000000008</v>
      </c>
      <c r="D56" s="80">
        <f t="shared" si="21"/>
        <v>5.1000000000000015E-4</v>
      </c>
      <c r="E56" s="179">
        <v>0</v>
      </c>
      <c r="F56" s="80">
        <f t="shared" si="22"/>
        <v>0</v>
      </c>
      <c r="G56" s="179">
        <v>0</v>
      </c>
      <c r="H56" s="80">
        <f t="shared" si="23"/>
        <v>0</v>
      </c>
      <c r="I56" s="179">
        <v>0</v>
      </c>
      <c r="J56" s="80">
        <f t="shared" si="24"/>
        <v>0</v>
      </c>
      <c r="K56" s="179">
        <v>0</v>
      </c>
      <c r="L56" s="80">
        <f t="shared" si="25"/>
        <v>0</v>
      </c>
      <c r="M56" s="179">
        <v>0</v>
      </c>
      <c r="N56" s="80">
        <f t="shared" si="26"/>
        <v>0</v>
      </c>
      <c r="O56" s="179">
        <v>0</v>
      </c>
      <c r="P56" s="80">
        <f t="shared" si="27"/>
        <v>0</v>
      </c>
      <c r="Q56" s="179">
        <v>0</v>
      </c>
      <c r="R56" s="80">
        <f t="shared" si="28"/>
        <v>0</v>
      </c>
      <c r="S56" s="179">
        <v>0</v>
      </c>
      <c r="T56" s="80">
        <f t="shared" si="29"/>
        <v>0</v>
      </c>
      <c r="U56" s="179">
        <v>0</v>
      </c>
      <c r="V56" s="80">
        <f t="shared" si="30"/>
        <v>0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1"/>
        <v>0</v>
      </c>
      <c r="E57" s="179">
        <v>0</v>
      </c>
      <c r="F57" s="80">
        <f t="shared" si="22"/>
        <v>0</v>
      </c>
      <c r="G57" s="179">
        <v>0</v>
      </c>
      <c r="H57" s="80">
        <f t="shared" si="23"/>
        <v>0</v>
      </c>
      <c r="I57" s="179">
        <v>0</v>
      </c>
      <c r="J57" s="80">
        <f t="shared" si="24"/>
        <v>0</v>
      </c>
      <c r="K57" s="179">
        <v>0</v>
      </c>
      <c r="L57" s="80">
        <f t="shared" si="25"/>
        <v>0</v>
      </c>
      <c r="M57" s="179">
        <v>0</v>
      </c>
      <c r="N57" s="80">
        <f t="shared" si="26"/>
        <v>0</v>
      </c>
      <c r="O57" s="179">
        <v>0</v>
      </c>
      <c r="P57" s="80">
        <f t="shared" si="27"/>
        <v>0</v>
      </c>
      <c r="Q57" s="179">
        <v>0</v>
      </c>
      <c r="R57" s="80">
        <f t="shared" si="28"/>
        <v>0</v>
      </c>
      <c r="S57" s="179">
        <v>0</v>
      </c>
      <c r="T57" s="80">
        <f t="shared" si="29"/>
        <v>0</v>
      </c>
      <c r="U57" s="179">
        <v>0</v>
      </c>
      <c r="V57" s="80">
        <f t="shared" si="30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1"/>
        <v>0</v>
      </c>
      <c r="E58" s="179">
        <v>0</v>
      </c>
      <c r="F58" s="80">
        <f t="shared" si="22"/>
        <v>0</v>
      </c>
      <c r="G58" s="179">
        <v>0</v>
      </c>
      <c r="H58" s="80">
        <f t="shared" si="23"/>
        <v>0</v>
      </c>
      <c r="I58" s="179">
        <v>0</v>
      </c>
      <c r="J58" s="80">
        <f t="shared" si="24"/>
        <v>0</v>
      </c>
      <c r="K58" s="179">
        <v>0</v>
      </c>
      <c r="L58" s="80">
        <f t="shared" si="25"/>
        <v>0</v>
      </c>
      <c r="M58" s="179">
        <v>0</v>
      </c>
      <c r="N58" s="80">
        <f t="shared" si="26"/>
        <v>0</v>
      </c>
      <c r="O58" s="179">
        <v>0</v>
      </c>
      <c r="P58" s="80">
        <f t="shared" si="27"/>
        <v>0</v>
      </c>
      <c r="Q58" s="179">
        <v>0</v>
      </c>
      <c r="R58" s="80">
        <f t="shared" si="28"/>
        <v>0</v>
      </c>
      <c r="S58" s="179">
        <v>0</v>
      </c>
      <c r="T58" s="80">
        <f t="shared" si="29"/>
        <v>0</v>
      </c>
      <c r="U58" s="179">
        <v>0</v>
      </c>
      <c r="V58" s="80">
        <f t="shared" si="30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1"/>
        <v>0</v>
      </c>
      <c r="E59" s="179">
        <v>0</v>
      </c>
      <c r="F59" s="80">
        <f t="shared" si="22"/>
        <v>0</v>
      </c>
      <c r="G59" s="179">
        <v>0</v>
      </c>
      <c r="H59" s="80">
        <f t="shared" si="23"/>
        <v>0</v>
      </c>
      <c r="I59" s="179">
        <v>0</v>
      </c>
      <c r="J59" s="80">
        <f t="shared" si="24"/>
        <v>0</v>
      </c>
      <c r="K59" s="179">
        <v>0</v>
      </c>
      <c r="L59" s="80">
        <f t="shared" si="25"/>
        <v>0</v>
      </c>
      <c r="M59" s="179">
        <v>0</v>
      </c>
      <c r="N59" s="80">
        <f t="shared" si="26"/>
        <v>0</v>
      </c>
      <c r="O59" s="179">
        <v>0</v>
      </c>
      <c r="P59" s="80">
        <f t="shared" si="27"/>
        <v>0</v>
      </c>
      <c r="Q59" s="179">
        <v>0</v>
      </c>
      <c r="R59" s="80">
        <f t="shared" si="28"/>
        <v>0</v>
      </c>
      <c r="S59" s="179">
        <v>0</v>
      </c>
      <c r="T59" s="80">
        <f t="shared" si="29"/>
        <v>0</v>
      </c>
      <c r="U59" s="179">
        <v>0</v>
      </c>
      <c r="V59" s="80">
        <f t="shared" si="30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1"/>
        <v>0</v>
      </c>
      <c r="E60" s="179">
        <v>0</v>
      </c>
      <c r="F60" s="80">
        <f t="shared" si="22"/>
        <v>0</v>
      </c>
      <c r="G60" s="179">
        <v>0</v>
      </c>
      <c r="H60" s="80">
        <f t="shared" si="23"/>
        <v>0</v>
      </c>
      <c r="I60" s="179">
        <v>0</v>
      </c>
      <c r="J60" s="80">
        <f t="shared" si="24"/>
        <v>0</v>
      </c>
      <c r="K60" s="179">
        <v>0</v>
      </c>
      <c r="L60" s="80">
        <f t="shared" si="25"/>
        <v>0</v>
      </c>
      <c r="M60" s="179">
        <v>0</v>
      </c>
      <c r="N60" s="80">
        <f t="shared" si="26"/>
        <v>0</v>
      </c>
      <c r="O60" s="179">
        <v>0</v>
      </c>
      <c r="P60" s="80">
        <f t="shared" si="27"/>
        <v>0</v>
      </c>
      <c r="Q60" s="179">
        <v>0</v>
      </c>
      <c r="R60" s="80">
        <f t="shared" si="28"/>
        <v>0</v>
      </c>
      <c r="S60" s="179">
        <v>0</v>
      </c>
      <c r="T60" s="80">
        <f t="shared" si="29"/>
        <v>0</v>
      </c>
      <c r="U60" s="179">
        <v>0</v>
      </c>
      <c r="V60" s="80">
        <f t="shared" si="30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1"/>
        <v>0</v>
      </c>
      <c r="E61" s="179">
        <v>0</v>
      </c>
      <c r="F61" s="80">
        <f t="shared" si="22"/>
        <v>0</v>
      </c>
      <c r="G61" s="179">
        <v>0</v>
      </c>
      <c r="H61" s="80">
        <f t="shared" si="23"/>
        <v>0</v>
      </c>
      <c r="I61" s="179">
        <v>0</v>
      </c>
      <c r="J61" s="80">
        <f t="shared" si="24"/>
        <v>0</v>
      </c>
      <c r="K61" s="179">
        <v>0</v>
      </c>
      <c r="L61" s="80">
        <f t="shared" si="25"/>
        <v>0</v>
      </c>
      <c r="M61" s="179">
        <v>0</v>
      </c>
      <c r="N61" s="80">
        <f t="shared" si="26"/>
        <v>0</v>
      </c>
      <c r="O61" s="179">
        <v>0</v>
      </c>
      <c r="P61" s="80">
        <f t="shared" si="27"/>
        <v>0</v>
      </c>
      <c r="Q61" s="179">
        <v>0</v>
      </c>
      <c r="R61" s="80">
        <f t="shared" si="28"/>
        <v>0</v>
      </c>
      <c r="S61" s="179">
        <v>0</v>
      </c>
      <c r="T61" s="80">
        <f t="shared" si="29"/>
        <v>0</v>
      </c>
      <c r="U61" s="179">
        <v>0</v>
      </c>
      <c r="V61" s="80">
        <f t="shared" si="30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1"/>
        <v>0</v>
      </c>
      <c r="E62" s="179">
        <v>0</v>
      </c>
      <c r="F62" s="80">
        <f t="shared" si="22"/>
        <v>0</v>
      </c>
      <c r="G62" s="179">
        <v>0</v>
      </c>
      <c r="H62" s="80">
        <f t="shared" si="23"/>
        <v>0</v>
      </c>
      <c r="I62" s="179">
        <v>0</v>
      </c>
      <c r="J62" s="80">
        <f t="shared" si="24"/>
        <v>0</v>
      </c>
      <c r="K62" s="179">
        <v>0</v>
      </c>
      <c r="L62" s="80">
        <f t="shared" si="25"/>
        <v>0</v>
      </c>
      <c r="M62" s="179">
        <v>0</v>
      </c>
      <c r="N62" s="80">
        <f t="shared" si="26"/>
        <v>0</v>
      </c>
      <c r="O62" s="179">
        <v>0</v>
      </c>
      <c r="P62" s="80">
        <f t="shared" si="27"/>
        <v>0</v>
      </c>
      <c r="Q62" s="179">
        <v>0</v>
      </c>
      <c r="R62" s="80">
        <f t="shared" si="28"/>
        <v>0</v>
      </c>
      <c r="S62" s="179">
        <v>0</v>
      </c>
      <c r="T62" s="80">
        <f t="shared" si="29"/>
        <v>0</v>
      </c>
      <c r="U62" s="179">
        <v>0</v>
      </c>
      <c r="V62" s="80">
        <f t="shared" si="30"/>
        <v>0</v>
      </c>
      <c r="X62" s="200"/>
    </row>
    <row r="63" spans="1:24" ht="12.75" customHeight="1">
      <c r="A63" s="2" t="s">
        <v>394</v>
      </c>
      <c r="B63" s="35"/>
      <c r="C63" s="179">
        <v>5493.8594067239655</v>
      </c>
      <c r="D63" s="80">
        <f t="shared" si="21"/>
        <v>1.3722435549171149E-2</v>
      </c>
      <c r="E63" s="179">
        <v>0</v>
      </c>
      <c r="F63" s="80">
        <f t="shared" si="22"/>
        <v>0</v>
      </c>
      <c r="G63" s="179">
        <v>0</v>
      </c>
      <c r="H63" s="80">
        <f t="shared" si="23"/>
        <v>0</v>
      </c>
      <c r="I63" s="179">
        <v>0</v>
      </c>
      <c r="J63" s="80">
        <f t="shared" si="24"/>
        <v>0</v>
      </c>
      <c r="K63" s="179">
        <v>0</v>
      </c>
      <c r="L63" s="80">
        <f t="shared" si="25"/>
        <v>0</v>
      </c>
      <c r="M63" s="179">
        <v>0</v>
      </c>
      <c r="N63" s="80">
        <f t="shared" si="26"/>
        <v>0</v>
      </c>
      <c r="O63" s="179">
        <v>0</v>
      </c>
      <c r="P63" s="80">
        <f t="shared" si="27"/>
        <v>0</v>
      </c>
      <c r="Q63" s="179">
        <v>0</v>
      </c>
      <c r="R63" s="80">
        <f t="shared" si="28"/>
        <v>0</v>
      </c>
      <c r="S63" s="179">
        <v>0</v>
      </c>
      <c r="T63" s="80">
        <f t="shared" si="29"/>
        <v>0</v>
      </c>
      <c r="U63" s="179">
        <v>0</v>
      </c>
      <c r="V63" s="80">
        <f t="shared" si="30"/>
        <v>0</v>
      </c>
      <c r="X63" s="200"/>
    </row>
    <row r="64" spans="1:24" ht="12.75" customHeight="1">
      <c r="A64" s="2" t="s">
        <v>395</v>
      </c>
      <c r="B64" s="35"/>
      <c r="C64" s="179">
        <v>1921.7088000000001</v>
      </c>
      <c r="D64" s="80">
        <f t="shared" si="21"/>
        <v>4.7999999999999996E-3</v>
      </c>
      <c r="E64" s="179">
        <v>0</v>
      </c>
      <c r="F64" s="80">
        <f t="shared" si="22"/>
        <v>0</v>
      </c>
      <c r="G64" s="179">
        <v>0</v>
      </c>
      <c r="H64" s="80">
        <f t="shared" si="23"/>
        <v>0</v>
      </c>
      <c r="I64" s="179">
        <v>0</v>
      </c>
      <c r="J64" s="80">
        <f t="shared" si="24"/>
        <v>0</v>
      </c>
      <c r="K64" s="179">
        <v>0</v>
      </c>
      <c r="L64" s="80">
        <f t="shared" si="25"/>
        <v>0</v>
      </c>
      <c r="M64" s="179">
        <v>0</v>
      </c>
      <c r="N64" s="80">
        <f t="shared" si="26"/>
        <v>0</v>
      </c>
      <c r="O64" s="179">
        <v>0</v>
      </c>
      <c r="P64" s="80">
        <f t="shared" si="27"/>
        <v>0</v>
      </c>
      <c r="Q64" s="179">
        <v>0</v>
      </c>
      <c r="R64" s="80">
        <f t="shared" si="28"/>
        <v>0</v>
      </c>
      <c r="S64" s="179">
        <v>0</v>
      </c>
      <c r="T64" s="80">
        <f t="shared" si="29"/>
        <v>0</v>
      </c>
      <c r="U64" s="179">
        <v>0</v>
      </c>
      <c r="V64" s="80">
        <f t="shared" si="30"/>
        <v>0</v>
      </c>
      <c r="X64" s="200"/>
    </row>
    <row r="65" spans="1:24" ht="12.75" customHeight="1">
      <c r="A65" s="2" t="s">
        <v>396</v>
      </c>
      <c r="B65" s="35"/>
      <c r="C65" s="179">
        <v>200.17800000000003</v>
      </c>
      <c r="D65" s="80">
        <f t="shared" si="21"/>
        <v>5.0000000000000001E-4</v>
      </c>
      <c r="E65" s="179">
        <v>0</v>
      </c>
      <c r="F65" s="80">
        <f t="shared" si="22"/>
        <v>0</v>
      </c>
      <c r="G65" s="179">
        <v>0</v>
      </c>
      <c r="H65" s="80">
        <f t="shared" si="23"/>
        <v>0</v>
      </c>
      <c r="I65" s="179">
        <v>0</v>
      </c>
      <c r="J65" s="80">
        <f t="shared" si="24"/>
        <v>0</v>
      </c>
      <c r="K65" s="179">
        <v>0</v>
      </c>
      <c r="L65" s="80">
        <f t="shared" si="25"/>
        <v>0</v>
      </c>
      <c r="M65" s="179">
        <v>0</v>
      </c>
      <c r="N65" s="80">
        <f t="shared" si="26"/>
        <v>0</v>
      </c>
      <c r="O65" s="179">
        <v>0</v>
      </c>
      <c r="P65" s="80">
        <f t="shared" si="27"/>
        <v>0</v>
      </c>
      <c r="Q65" s="179">
        <v>0</v>
      </c>
      <c r="R65" s="80">
        <f t="shared" si="28"/>
        <v>0</v>
      </c>
      <c r="S65" s="179">
        <v>0</v>
      </c>
      <c r="T65" s="80">
        <f t="shared" si="29"/>
        <v>0</v>
      </c>
      <c r="U65" s="179">
        <v>0</v>
      </c>
      <c r="V65" s="80">
        <f t="shared" si="30"/>
        <v>0</v>
      </c>
      <c r="X65" s="200"/>
    </row>
    <row r="66" spans="1:24" ht="12.75" customHeight="1">
      <c r="A66" s="2" t="s">
        <v>397</v>
      </c>
      <c r="B66" s="35"/>
      <c r="C66" s="179">
        <v>1120.9968000000003</v>
      </c>
      <c r="D66" s="80">
        <f t="shared" si="21"/>
        <v>2.8000000000000004E-3</v>
      </c>
      <c r="E66" s="179">
        <v>0</v>
      </c>
      <c r="F66" s="80">
        <f t="shared" si="22"/>
        <v>0</v>
      </c>
      <c r="G66" s="179">
        <v>0</v>
      </c>
      <c r="H66" s="80">
        <f t="shared" si="23"/>
        <v>0</v>
      </c>
      <c r="I66" s="179">
        <v>0</v>
      </c>
      <c r="J66" s="80">
        <f t="shared" si="24"/>
        <v>0</v>
      </c>
      <c r="K66" s="179">
        <v>0</v>
      </c>
      <c r="L66" s="80">
        <f t="shared" si="25"/>
        <v>0</v>
      </c>
      <c r="M66" s="179">
        <v>0</v>
      </c>
      <c r="N66" s="80">
        <f t="shared" si="26"/>
        <v>0</v>
      </c>
      <c r="O66" s="179">
        <v>0</v>
      </c>
      <c r="P66" s="80">
        <f t="shared" si="27"/>
        <v>0</v>
      </c>
      <c r="Q66" s="179">
        <v>0</v>
      </c>
      <c r="R66" s="80">
        <f t="shared" si="28"/>
        <v>0</v>
      </c>
      <c r="S66" s="179">
        <v>0</v>
      </c>
      <c r="T66" s="80">
        <f t="shared" si="29"/>
        <v>0</v>
      </c>
      <c r="U66" s="179">
        <v>0</v>
      </c>
      <c r="V66" s="80">
        <f t="shared" si="30"/>
        <v>0</v>
      </c>
      <c r="X66" s="200"/>
    </row>
    <row r="67" spans="1:24" ht="12.75" customHeight="1">
      <c r="A67" s="2" t="s">
        <v>398</v>
      </c>
      <c r="B67" s="35"/>
      <c r="C67" s="179">
        <v>6005.3400000000011</v>
      </c>
      <c r="D67" s="80">
        <f t="shared" si="21"/>
        <v>1.5000000000000001E-2</v>
      </c>
      <c r="E67" s="179">
        <v>0</v>
      </c>
      <c r="F67" s="80">
        <f t="shared" si="22"/>
        <v>0</v>
      </c>
      <c r="G67" s="179">
        <v>0</v>
      </c>
      <c r="H67" s="80">
        <f t="shared" si="23"/>
        <v>0</v>
      </c>
      <c r="I67" s="179">
        <v>0</v>
      </c>
      <c r="J67" s="80">
        <f t="shared" si="24"/>
        <v>0</v>
      </c>
      <c r="K67" s="179">
        <v>0</v>
      </c>
      <c r="L67" s="80">
        <f t="shared" si="25"/>
        <v>0</v>
      </c>
      <c r="M67" s="179">
        <v>0</v>
      </c>
      <c r="N67" s="80">
        <f t="shared" si="26"/>
        <v>0</v>
      </c>
      <c r="O67" s="179">
        <v>0</v>
      </c>
      <c r="P67" s="80">
        <f t="shared" si="27"/>
        <v>0</v>
      </c>
      <c r="Q67" s="179">
        <v>0</v>
      </c>
      <c r="R67" s="80">
        <f t="shared" si="28"/>
        <v>0</v>
      </c>
      <c r="S67" s="179">
        <v>0</v>
      </c>
      <c r="T67" s="80">
        <f t="shared" si="29"/>
        <v>0</v>
      </c>
      <c r="U67" s="179">
        <v>0</v>
      </c>
      <c r="V67" s="80">
        <f t="shared" si="30"/>
        <v>0</v>
      </c>
      <c r="X67" s="200"/>
    </row>
    <row r="68" spans="1:24" ht="12.75" customHeight="1">
      <c r="A68" s="2" t="s">
        <v>399</v>
      </c>
      <c r="B68" s="35"/>
      <c r="C68" s="179">
        <v>680.60520000000008</v>
      </c>
      <c r="D68" s="80">
        <f t="shared" si="21"/>
        <v>1.6999999999999999E-3</v>
      </c>
      <c r="E68" s="179">
        <v>0</v>
      </c>
      <c r="F68" s="80">
        <f t="shared" si="22"/>
        <v>0</v>
      </c>
      <c r="G68" s="179">
        <v>0</v>
      </c>
      <c r="H68" s="80">
        <f t="shared" si="23"/>
        <v>0</v>
      </c>
      <c r="I68" s="179">
        <v>0</v>
      </c>
      <c r="J68" s="80">
        <f t="shared" si="24"/>
        <v>0</v>
      </c>
      <c r="K68" s="179">
        <v>0</v>
      </c>
      <c r="L68" s="80">
        <f t="shared" si="25"/>
        <v>0</v>
      </c>
      <c r="M68" s="179">
        <v>0</v>
      </c>
      <c r="N68" s="80">
        <f t="shared" si="26"/>
        <v>0</v>
      </c>
      <c r="O68" s="179">
        <v>0</v>
      </c>
      <c r="P68" s="80">
        <f t="shared" si="27"/>
        <v>0</v>
      </c>
      <c r="Q68" s="179">
        <v>0</v>
      </c>
      <c r="R68" s="80">
        <f t="shared" si="28"/>
        <v>0</v>
      </c>
      <c r="S68" s="179">
        <v>0</v>
      </c>
      <c r="T68" s="80">
        <f t="shared" si="29"/>
        <v>0</v>
      </c>
      <c r="U68" s="179">
        <v>0</v>
      </c>
      <c r="V68" s="80">
        <f t="shared" si="30"/>
        <v>0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1"/>
        <v>0</v>
      </c>
      <c r="E69" s="179">
        <v>0</v>
      </c>
      <c r="F69" s="80">
        <f t="shared" si="22"/>
        <v>0</v>
      </c>
      <c r="G69" s="179">
        <v>0</v>
      </c>
      <c r="H69" s="80">
        <f t="shared" si="23"/>
        <v>0</v>
      </c>
      <c r="I69" s="179">
        <v>0</v>
      </c>
      <c r="J69" s="80">
        <f t="shared" si="24"/>
        <v>0</v>
      </c>
      <c r="K69" s="179">
        <v>0</v>
      </c>
      <c r="L69" s="80">
        <f t="shared" si="25"/>
        <v>0</v>
      </c>
      <c r="M69" s="179">
        <v>0</v>
      </c>
      <c r="N69" s="80">
        <f t="shared" si="26"/>
        <v>0</v>
      </c>
      <c r="O69" s="179">
        <v>0</v>
      </c>
      <c r="P69" s="80">
        <f t="shared" si="27"/>
        <v>0</v>
      </c>
      <c r="Q69" s="179">
        <v>0</v>
      </c>
      <c r="R69" s="80">
        <f t="shared" si="28"/>
        <v>0</v>
      </c>
      <c r="S69" s="179">
        <v>0</v>
      </c>
      <c r="T69" s="80">
        <f t="shared" si="29"/>
        <v>0</v>
      </c>
      <c r="U69" s="179">
        <v>0</v>
      </c>
      <c r="V69" s="80">
        <f t="shared" si="30"/>
        <v>0</v>
      </c>
      <c r="X69" s="200"/>
    </row>
    <row r="70" spans="1:24" ht="12.75" customHeight="1">
      <c r="A70" s="2" t="s">
        <v>401</v>
      </c>
      <c r="B70" s="35"/>
      <c r="C70" s="179">
        <v>40.035600000000017</v>
      </c>
      <c r="D70" s="80">
        <f t="shared" si="21"/>
        <v>1.0000000000000003E-4</v>
      </c>
      <c r="E70" s="179">
        <v>0</v>
      </c>
      <c r="F70" s="80">
        <f t="shared" si="22"/>
        <v>0</v>
      </c>
      <c r="G70" s="179">
        <v>0</v>
      </c>
      <c r="H70" s="80">
        <f t="shared" si="23"/>
        <v>0</v>
      </c>
      <c r="I70" s="179">
        <v>0</v>
      </c>
      <c r="J70" s="80">
        <f t="shared" si="24"/>
        <v>0</v>
      </c>
      <c r="K70" s="179">
        <v>0</v>
      </c>
      <c r="L70" s="80">
        <f t="shared" si="25"/>
        <v>0</v>
      </c>
      <c r="M70" s="179">
        <v>0</v>
      </c>
      <c r="N70" s="80">
        <f t="shared" si="26"/>
        <v>0</v>
      </c>
      <c r="O70" s="179">
        <v>0</v>
      </c>
      <c r="P70" s="80">
        <f t="shared" si="27"/>
        <v>0</v>
      </c>
      <c r="Q70" s="179">
        <v>0</v>
      </c>
      <c r="R70" s="80">
        <f t="shared" si="28"/>
        <v>0</v>
      </c>
      <c r="S70" s="179">
        <v>0</v>
      </c>
      <c r="T70" s="80">
        <f t="shared" si="29"/>
        <v>0</v>
      </c>
      <c r="U70" s="179">
        <v>0</v>
      </c>
      <c r="V70" s="80">
        <f t="shared" si="30"/>
        <v>0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1"/>
        <v>0</v>
      </c>
      <c r="E71" s="179">
        <v>0</v>
      </c>
      <c r="F71" s="80">
        <f t="shared" si="22"/>
        <v>0</v>
      </c>
      <c r="G71" s="179">
        <v>0</v>
      </c>
      <c r="H71" s="80">
        <f t="shared" si="23"/>
        <v>0</v>
      </c>
      <c r="I71" s="179">
        <v>0</v>
      </c>
      <c r="J71" s="80">
        <f t="shared" si="24"/>
        <v>0</v>
      </c>
      <c r="K71" s="179">
        <v>0</v>
      </c>
      <c r="L71" s="80">
        <f t="shared" si="25"/>
        <v>0</v>
      </c>
      <c r="M71" s="179">
        <v>0</v>
      </c>
      <c r="N71" s="80">
        <f t="shared" si="26"/>
        <v>0</v>
      </c>
      <c r="O71" s="179">
        <v>0</v>
      </c>
      <c r="P71" s="80">
        <f t="shared" si="27"/>
        <v>0</v>
      </c>
      <c r="Q71" s="179">
        <v>0</v>
      </c>
      <c r="R71" s="80">
        <f t="shared" si="28"/>
        <v>0</v>
      </c>
      <c r="S71" s="179">
        <v>0</v>
      </c>
      <c r="T71" s="80">
        <f t="shared" si="29"/>
        <v>0</v>
      </c>
      <c r="U71" s="179">
        <v>0</v>
      </c>
      <c r="V71" s="80">
        <f t="shared" si="30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1"/>
        <v>0</v>
      </c>
      <c r="E72" s="179">
        <v>0</v>
      </c>
      <c r="F72" s="80">
        <f t="shared" si="22"/>
        <v>0</v>
      </c>
      <c r="G72" s="179">
        <v>0</v>
      </c>
      <c r="H72" s="80">
        <f t="shared" si="23"/>
        <v>0</v>
      </c>
      <c r="I72" s="179">
        <v>0</v>
      </c>
      <c r="J72" s="80">
        <f t="shared" si="24"/>
        <v>0</v>
      </c>
      <c r="K72" s="179">
        <v>0</v>
      </c>
      <c r="L72" s="80">
        <f t="shared" si="25"/>
        <v>0</v>
      </c>
      <c r="M72" s="179">
        <v>0</v>
      </c>
      <c r="N72" s="80">
        <f t="shared" si="26"/>
        <v>0</v>
      </c>
      <c r="O72" s="179">
        <v>0</v>
      </c>
      <c r="P72" s="80">
        <f t="shared" si="27"/>
        <v>0</v>
      </c>
      <c r="Q72" s="179">
        <v>0</v>
      </c>
      <c r="R72" s="80">
        <f t="shared" si="28"/>
        <v>0</v>
      </c>
      <c r="S72" s="179">
        <v>0</v>
      </c>
      <c r="T72" s="80">
        <f t="shared" si="29"/>
        <v>0</v>
      </c>
      <c r="U72" s="179">
        <v>0</v>
      </c>
      <c r="V72" s="80">
        <f t="shared" si="30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1"/>
        <v>0</v>
      </c>
      <c r="E73" s="179">
        <v>0</v>
      </c>
      <c r="F73" s="80">
        <f t="shared" si="22"/>
        <v>0</v>
      </c>
      <c r="G73" s="179">
        <v>0</v>
      </c>
      <c r="H73" s="80">
        <f t="shared" si="23"/>
        <v>0</v>
      </c>
      <c r="I73" s="179">
        <v>0</v>
      </c>
      <c r="J73" s="80">
        <f t="shared" si="24"/>
        <v>0</v>
      </c>
      <c r="K73" s="179">
        <v>0</v>
      </c>
      <c r="L73" s="80">
        <f t="shared" si="25"/>
        <v>0</v>
      </c>
      <c r="M73" s="179">
        <v>0</v>
      </c>
      <c r="N73" s="80">
        <f t="shared" si="26"/>
        <v>0</v>
      </c>
      <c r="O73" s="179">
        <v>0</v>
      </c>
      <c r="P73" s="80">
        <f t="shared" si="27"/>
        <v>0</v>
      </c>
      <c r="Q73" s="179">
        <v>0</v>
      </c>
      <c r="R73" s="80">
        <f t="shared" si="28"/>
        <v>0</v>
      </c>
      <c r="S73" s="179">
        <v>0</v>
      </c>
      <c r="T73" s="80">
        <f t="shared" si="29"/>
        <v>0</v>
      </c>
      <c r="U73" s="179">
        <v>0</v>
      </c>
      <c r="V73" s="80">
        <f t="shared" si="30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1"/>
        <v>0</v>
      </c>
      <c r="E74" s="179">
        <v>0</v>
      </c>
      <c r="F74" s="80">
        <f t="shared" si="22"/>
        <v>0</v>
      </c>
      <c r="G74" s="179">
        <v>0</v>
      </c>
      <c r="H74" s="80">
        <f t="shared" si="23"/>
        <v>0</v>
      </c>
      <c r="I74" s="179">
        <v>0</v>
      </c>
      <c r="J74" s="80">
        <f t="shared" si="24"/>
        <v>0</v>
      </c>
      <c r="K74" s="179">
        <v>0</v>
      </c>
      <c r="L74" s="80">
        <f t="shared" si="25"/>
        <v>0</v>
      </c>
      <c r="M74" s="179">
        <v>0</v>
      </c>
      <c r="N74" s="80">
        <f t="shared" si="26"/>
        <v>0</v>
      </c>
      <c r="O74" s="179">
        <v>0</v>
      </c>
      <c r="P74" s="80">
        <f t="shared" si="27"/>
        <v>0</v>
      </c>
      <c r="Q74" s="179">
        <v>0</v>
      </c>
      <c r="R74" s="80">
        <f t="shared" si="28"/>
        <v>0</v>
      </c>
      <c r="S74" s="179">
        <v>0</v>
      </c>
      <c r="T74" s="80">
        <f t="shared" si="29"/>
        <v>0</v>
      </c>
      <c r="U74" s="179">
        <v>0</v>
      </c>
      <c r="V74" s="80">
        <f t="shared" si="30"/>
        <v>0</v>
      </c>
      <c r="X74" s="200"/>
    </row>
    <row r="75" spans="1:24" ht="12.75" customHeight="1">
      <c r="A75" s="2" t="s">
        <v>406</v>
      </c>
      <c r="B75" s="35"/>
      <c r="C75" s="179">
        <v>2001.7800000000004</v>
      </c>
      <c r="D75" s="80">
        <f t="shared" si="21"/>
        <v>5.0000000000000001E-3</v>
      </c>
      <c r="E75" s="179">
        <v>0</v>
      </c>
      <c r="F75" s="80">
        <f t="shared" si="22"/>
        <v>0</v>
      </c>
      <c r="G75" s="179">
        <v>0</v>
      </c>
      <c r="H75" s="80">
        <f t="shared" si="23"/>
        <v>0</v>
      </c>
      <c r="I75" s="179">
        <v>0</v>
      </c>
      <c r="J75" s="80">
        <f t="shared" si="24"/>
        <v>0</v>
      </c>
      <c r="K75" s="179">
        <v>0</v>
      </c>
      <c r="L75" s="80">
        <f t="shared" si="25"/>
        <v>0</v>
      </c>
      <c r="M75" s="179">
        <v>0</v>
      </c>
      <c r="N75" s="80">
        <f t="shared" si="26"/>
        <v>0</v>
      </c>
      <c r="O75" s="179">
        <v>0</v>
      </c>
      <c r="P75" s="80">
        <f t="shared" si="27"/>
        <v>0</v>
      </c>
      <c r="Q75" s="179">
        <v>0</v>
      </c>
      <c r="R75" s="80">
        <f t="shared" si="28"/>
        <v>0</v>
      </c>
      <c r="S75" s="179">
        <v>0</v>
      </c>
      <c r="T75" s="80">
        <f t="shared" si="29"/>
        <v>0</v>
      </c>
      <c r="U75" s="179">
        <v>0</v>
      </c>
      <c r="V75" s="80">
        <f t="shared" si="30"/>
        <v>0</v>
      </c>
      <c r="X75" s="200"/>
    </row>
    <row r="76" spans="1:24" ht="12.75" customHeight="1">
      <c r="A76" s="2" t="s">
        <v>407</v>
      </c>
      <c r="B76" s="35"/>
      <c r="C76" s="179">
        <v>160.14240000000007</v>
      </c>
      <c r="D76" s="80">
        <f t="shared" si="21"/>
        <v>4.0000000000000013E-4</v>
      </c>
      <c r="E76" s="179">
        <v>0</v>
      </c>
      <c r="F76" s="80">
        <f t="shared" si="22"/>
        <v>0</v>
      </c>
      <c r="G76" s="179">
        <v>0</v>
      </c>
      <c r="H76" s="80">
        <f t="shared" si="23"/>
        <v>0</v>
      </c>
      <c r="I76" s="179">
        <v>0</v>
      </c>
      <c r="J76" s="80">
        <f t="shared" si="24"/>
        <v>0</v>
      </c>
      <c r="K76" s="179">
        <v>0</v>
      </c>
      <c r="L76" s="80">
        <f t="shared" si="25"/>
        <v>0</v>
      </c>
      <c r="M76" s="179">
        <v>0</v>
      </c>
      <c r="N76" s="80">
        <f t="shared" si="26"/>
        <v>0</v>
      </c>
      <c r="O76" s="179">
        <v>0</v>
      </c>
      <c r="P76" s="80">
        <f t="shared" si="27"/>
        <v>0</v>
      </c>
      <c r="Q76" s="179">
        <v>0</v>
      </c>
      <c r="R76" s="80">
        <f t="shared" si="28"/>
        <v>0</v>
      </c>
      <c r="S76" s="179">
        <v>0</v>
      </c>
      <c r="T76" s="80">
        <f t="shared" si="29"/>
        <v>0</v>
      </c>
      <c r="U76" s="179">
        <v>0</v>
      </c>
      <c r="V76" s="80">
        <f t="shared" si="30"/>
        <v>0</v>
      </c>
      <c r="X76" s="200"/>
    </row>
    <row r="77" spans="1:24" ht="12.75" customHeight="1">
      <c r="A77" s="2" t="s">
        <v>408</v>
      </c>
      <c r="B77" s="35"/>
      <c r="C77" s="179">
        <v>520.46280000000013</v>
      </c>
      <c r="D77" s="80">
        <f t="shared" si="21"/>
        <v>1.3000000000000002E-3</v>
      </c>
      <c r="E77" s="179">
        <v>0</v>
      </c>
      <c r="F77" s="80">
        <f t="shared" si="22"/>
        <v>0</v>
      </c>
      <c r="G77" s="179">
        <v>0</v>
      </c>
      <c r="H77" s="80">
        <f t="shared" si="23"/>
        <v>0</v>
      </c>
      <c r="I77" s="179">
        <v>0</v>
      </c>
      <c r="J77" s="80">
        <f t="shared" si="24"/>
        <v>0</v>
      </c>
      <c r="K77" s="179">
        <v>0</v>
      </c>
      <c r="L77" s="80">
        <f t="shared" si="25"/>
        <v>0</v>
      </c>
      <c r="M77" s="179">
        <v>0</v>
      </c>
      <c r="N77" s="80">
        <f t="shared" si="26"/>
        <v>0</v>
      </c>
      <c r="O77" s="179">
        <v>0</v>
      </c>
      <c r="P77" s="80">
        <f t="shared" si="27"/>
        <v>0</v>
      </c>
      <c r="Q77" s="179">
        <v>0</v>
      </c>
      <c r="R77" s="80">
        <f t="shared" si="28"/>
        <v>0</v>
      </c>
      <c r="S77" s="179">
        <v>0</v>
      </c>
      <c r="T77" s="80">
        <f t="shared" si="29"/>
        <v>0</v>
      </c>
      <c r="U77" s="179">
        <v>0</v>
      </c>
      <c r="V77" s="80">
        <f t="shared" si="30"/>
        <v>0</v>
      </c>
      <c r="X77" s="200"/>
    </row>
    <row r="78" spans="1:24" ht="12.75" customHeight="1">
      <c r="A78" s="2" t="s">
        <v>409</v>
      </c>
      <c r="B78" s="35"/>
      <c r="C78" s="179">
        <v>8807.8320000000022</v>
      </c>
      <c r="D78" s="80">
        <f t="shared" si="21"/>
        <v>2.2000000000000002E-2</v>
      </c>
      <c r="E78" s="179">
        <v>0</v>
      </c>
      <c r="F78" s="80">
        <f t="shared" si="22"/>
        <v>0</v>
      </c>
      <c r="G78" s="179">
        <v>0</v>
      </c>
      <c r="H78" s="80">
        <f t="shared" si="23"/>
        <v>0</v>
      </c>
      <c r="I78" s="179">
        <v>0</v>
      </c>
      <c r="J78" s="80">
        <f t="shared" si="24"/>
        <v>0</v>
      </c>
      <c r="K78" s="179">
        <v>0</v>
      </c>
      <c r="L78" s="80">
        <f t="shared" si="25"/>
        <v>0</v>
      </c>
      <c r="M78" s="179">
        <v>0</v>
      </c>
      <c r="N78" s="80">
        <f t="shared" si="26"/>
        <v>0</v>
      </c>
      <c r="O78" s="179">
        <v>0</v>
      </c>
      <c r="P78" s="80">
        <f t="shared" si="27"/>
        <v>0</v>
      </c>
      <c r="Q78" s="179">
        <v>0</v>
      </c>
      <c r="R78" s="80">
        <f t="shared" si="28"/>
        <v>0</v>
      </c>
      <c r="S78" s="179">
        <v>0</v>
      </c>
      <c r="T78" s="80">
        <f t="shared" si="29"/>
        <v>0</v>
      </c>
      <c r="U78" s="179">
        <v>0</v>
      </c>
      <c r="V78" s="80">
        <f t="shared" si="30"/>
        <v>0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1"/>
        <v>0</v>
      </c>
      <c r="E79" s="179">
        <v>0</v>
      </c>
      <c r="F79" s="80">
        <f t="shared" si="22"/>
        <v>0</v>
      </c>
      <c r="G79" s="179">
        <v>0</v>
      </c>
      <c r="H79" s="80">
        <f t="shared" si="23"/>
        <v>0</v>
      </c>
      <c r="I79" s="179">
        <v>0</v>
      </c>
      <c r="J79" s="80">
        <f t="shared" si="24"/>
        <v>0</v>
      </c>
      <c r="K79" s="179">
        <v>0</v>
      </c>
      <c r="L79" s="80">
        <f t="shared" si="25"/>
        <v>0</v>
      </c>
      <c r="M79" s="179">
        <v>0</v>
      </c>
      <c r="N79" s="80">
        <f t="shared" si="26"/>
        <v>0</v>
      </c>
      <c r="O79" s="179">
        <v>0</v>
      </c>
      <c r="P79" s="80">
        <f t="shared" si="27"/>
        <v>0</v>
      </c>
      <c r="Q79" s="179">
        <v>0</v>
      </c>
      <c r="R79" s="80">
        <f t="shared" si="28"/>
        <v>0</v>
      </c>
      <c r="S79" s="179">
        <v>0</v>
      </c>
      <c r="T79" s="80">
        <f t="shared" si="29"/>
        <v>0</v>
      </c>
      <c r="U79" s="179">
        <v>0</v>
      </c>
      <c r="V79" s="80">
        <f t="shared" si="30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1"/>
        <v>0</v>
      </c>
      <c r="E80" s="179">
        <v>0</v>
      </c>
      <c r="F80" s="80">
        <f t="shared" si="22"/>
        <v>0</v>
      </c>
      <c r="G80" s="179">
        <v>0</v>
      </c>
      <c r="H80" s="80">
        <f t="shared" si="23"/>
        <v>0</v>
      </c>
      <c r="I80" s="179">
        <v>0</v>
      </c>
      <c r="J80" s="80">
        <f t="shared" si="24"/>
        <v>0</v>
      </c>
      <c r="K80" s="179">
        <v>0</v>
      </c>
      <c r="L80" s="80">
        <f t="shared" si="25"/>
        <v>0</v>
      </c>
      <c r="M80" s="179">
        <v>0</v>
      </c>
      <c r="N80" s="80">
        <f t="shared" si="26"/>
        <v>0</v>
      </c>
      <c r="O80" s="179">
        <v>0</v>
      </c>
      <c r="P80" s="80">
        <f t="shared" si="27"/>
        <v>0</v>
      </c>
      <c r="Q80" s="179">
        <v>0</v>
      </c>
      <c r="R80" s="80">
        <f t="shared" si="28"/>
        <v>0</v>
      </c>
      <c r="S80" s="179">
        <v>0</v>
      </c>
      <c r="T80" s="80">
        <f t="shared" si="29"/>
        <v>0</v>
      </c>
      <c r="U80" s="179">
        <v>0</v>
      </c>
      <c r="V80" s="80">
        <f t="shared" si="30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1"/>
        <v>0</v>
      </c>
      <c r="E81" s="179">
        <v>0</v>
      </c>
      <c r="F81" s="80">
        <f t="shared" si="22"/>
        <v>0</v>
      </c>
      <c r="G81" s="179">
        <v>0</v>
      </c>
      <c r="H81" s="80">
        <f t="shared" si="23"/>
        <v>0</v>
      </c>
      <c r="I81" s="179">
        <v>0</v>
      </c>
      <c r="J81" s="80">
        <f t="shared" si="24"/>
        <v>0</v>
      </c>
      <c r="K81" s="179">
        <v>0</v>
      </c>
      <c r="L81" s="80">
        <f t="shared" si="25"/>
        <v>0</v>
      </c>
      <c r="M81" s="179">
        <v>0</v>
      </c>
      <c r="N81" s="80">
        <f t="shared" si="26"/>
        <v>0</v>
      </c>
      <c r="O81" s="179">
        <v>0</v>
      </c>
      <c r="P81" s="80">
        <f t="shared" si="27"/>
        <v>0</v>
      </c>
      <c r="Q81" s="179">
        <v>0</v>
      </c>
      <c r="R81" s="80">
        <f t="shared" si="28"/>
        <v>0</v>
      </c>
      <c r="S81" s="179">
        <v>0</v>
      </c>
      <c r="T81" s="80">
        <f t="shared" si="29"/>
        <v>0</v>
      </c>
      <c r="U81" s="179">
        <v>0</v>
      </c>
      <c r="V81" s="80">
        <f t="shared" si="30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1"/>
        <v>0</v>
      </c>
      <c r="E82" s="179">
        <v>0</v>
      </c>
      <c r="F82" s="80">
        <f t="shared" si="22"/>
        <v>0</v>
      </c>
      <c r="G82" s="179">
        <v>0</v>
      </c>
      <c r="H82" s="80">
        <f t="shared" si="23"/>
        <v>0</v>
      </c>
      <c r="I82" s="179">
        <v>0</v>
      </c>
      <c r="J82" s="80">
        <f t="shared" si="24"/>
        <v>0</v>
      </c>
      <c r="K82" s="179">
        <v>0</v>
      </c>
      <c r="L82" s="80">
        <f t="shared" si="25"/>
        <v>0</v>
      </c>
      <c r="M82" s="179">
        <v>0</v>
      </c>
      <c r="N82" s="80">
        <f t="shared" si="26"/>
        <v>0</v>
      </c>
      <c r="O82" s="179">
        <v>0</v>
      </c>
      <c r="P82" s="80">
        <f t="shared" si="27"/>
        <v>0</v>
      </c>
      <c r="Q82" s="179">
        <v>0</v>
      </c>
      <c r="R82" s="80">
        <f t="shared" si="28"/>
        <v>0</v>
      </c>
      <c r="S82" s="179">
        <v>0</v>
      </c>
      <c r="T82" s="80">
        <f t="shared" si="29"/>
        <v>0</v>
      </c>
      <c r="U82" s="179">
        <v>0</v>
      </c>
      <c r="V82" s="80">
        <f t="shared" si="30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1"/>
        <v>0</v>
      </c>
      <c r="E83" s="179">
        <v>0</v>
      </c>
      <c r="F83" s="80">
        <f t="shared" si="22"/>
        <v>0</v>
      </c>
      <c r="G83" s="179">
        <v>0</v>
      </c>
      <c r="H83" s="80">
        <f t="shared" si="23"/>
        <v>0</v>
      </c>
      <c r="I83" s="179">
        <v>0</v>
      </c>
      <c r="J83" s="80">
        <f t="shared" si="24"/>
        <v>0</v>
      </c>
      <c r="K83" s="179">
        <v>0</v>
      </c>
      <c r="L83" s="80">
        <f t="shared" si="25"/>
        <v>0</v>
      </c>
      <c r="M83" s="179">
        <v>0</v>
      </c>
      <c r="N83" s="80">
        <f t="shared" si="26"/>
        <v>0</v>
      </c>
      <c r="O83" s="179">
        <v>0</v>
      </c>
      <c r="P83" s="80">
        <f t="shared" si="27"/>
        <v>0</v>
      </c>
      <c r="Q83" s="179">
        <v>0</v>
      </c>
      <c r="R83" s="80">
        <f t="shared" si="28"/>
        <v>0</v>
      </c>
      <c r="S83" s="179">
        <v>0</v>
      </c>
      <c r="T83" s="80">
        <f t="shared" si="29"/>
        <v>0</v>
      </c>
      <c r="U83" s="179">
        <v>0</v>
      </c>
      <c r="V83" s="80">
        <f t="shared" si="30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ref="D84:D105" si="31">IFERROR(C84/C$28,0)</f>
        <v>0</v>
      </c>
      <c r="E84" s="179">
        <v>0</v>
      </c>
      <c r="F84" s="80">
        <f t="shared" si="22"/>
        <v>0</v>
      </c>
      <c r="G84" s="179">
        <v>0</v>
      </c>
      <c r="H84" s="80">
        <f t="shared" si="23"/>
        <v>0</v>
      </c>
      <c r="I84" s="179">
        <v>0</v>
      </c>
      <c r="J84" s="80">
        <f t="shared" si="24"/>
        <v>0</v>
      </c>
      <c r="K84" s="179">
        <v>0</v>
      </c>
      <c r="L84" s="80">
        <f t="shared" si="25"/>
        <v>0</v>
      </c>
      <c r="M84" s="179">
        <v>0</v>
      </c>
      <c r="N84" s="80">
        <f t="shared" si="26"/>
        <v>0</v>
      </c>
      <c r="O84" s="179">
        <v>0</v>
      </c>
      <c r="P84" s="80">
        <f t="shared" si="27"/>
        <v>0</v>
      </c>
      <c r="Q84" s="179">
        <v>0</v>
      </c>
      <c r="R84" s="80">
        <f t="shared" si="28"/>
        <v>0</v>
      </c>
      <c r="S84" s="179">
        <v>0</v>
      </c>
      <c r="T84" s="80">
        <f t="shared" si="29"/>
        <v>0</v>
      </c>
      <c r="U84" s="179">
        <v>0</v>
      </c>
      <c r="V84" s="80">
        <f t="shared" si="30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31"/>
        <v>0</v>
      </c>
      <c r="E85" s="179">
        <v>0</v>
      </c>
      <c r="F85" s="80">
        <f t="shared" si="22"/>
        <v>0</v>
      </c>
      <c r="G85" s="179">
        <v>0</v>
      </c>
      <c r="H85" s="80">
        <f t="shared" si="23"/>
        <v>0</v>
      </c>
      <c r="I85" s="179">
        <v>0</v>
      </c>
      <c r="J85" s="80">
        <f t="shared" si="24"/>
        <v>0</v>
      </c>
      <c r="K85" s="179">
        <v>0</v>
      </c>
      <c r="L85" s="80">
        <f t="shared" si="25"/>
        <v>0</v>
      </c>
      <c r="M85" s="179">
        <v>0</v>
      </c>
      <c r="N85" s="80">
        <f t="shared" si="26"/>
        <v>0</v>
      </c>
      <c r="O85" s="179">
        <v>0</v>
      </c>
      <c r="P85" s="80">
        <f t="shared" si="27"/>
        <v>0</v>
      </c>
      <c r="Q85" s="179">
        <v>0</v>
      </c>
      <c r="R85" s="80">
        <f t="shared" si="28"/>
        <v>0</v>
      </c>
      <c r="S85" s="179">
        <v>0</v>
      </c>
      <c r="T85" s="80">
        <f t="shared" si="29"/>
        <v>0</v>
      </c>
      <c r="U85" s="179">
        <v>0</v>
      </c>
      <c r="V85" s="80">
        <f t="shared" si="30"/>
        <v>0</v>
      </c>
      <c r="X85" s="200"/>
    </row>
    <row r="86" spans="1:24" ht="12.75" customHeight="1">
      <c r="A86" s="2" t="s">
        <v>417</v>
      </c>
      <c r="B86" s="35"/>
      <c r="C86" s="179">
        <v>1601.4240000000002</v>
      </c>
      <c r="D86" s="80">
        <f t="shared" si="31"/>
        <v>4.0000000000000001E-3</v>
      </c>
      <c r="E86" s="179">
        <v>0</v>
      </c>
      <c r="F86" s="80">
        <f t="shared" si="22"/>
        <v>0</v>
      </c>
      <c r="G86" s="179">
        <v>0</v>
      </c>
      <c r="H86" s="80">
        <f t="shared" si="23"/>
        <v>0</v>
      </c>
      <c r="I86" s="179">
        <v>0</v>
      </c>
      <c r="J86" s="80">
        <f t="shared" si="24"/>
        <v>0</v>
      </c>
      <c r="K86" s="179">
        <v>0</v>
      </c>
      <c r="L86" s="80">
        <f t="shared" si="25"/>
        <v>0</v>
      </c>
      <c r="M86" s="179">
        <v>0</v>
      </c>
      <c r="N86" s="80">
        <f t="shared" si="26"/>
        <v>0</v>
      </c>
      <c r="O86" s="179">
        <v>0</v>
      </c>
      <c r="P86" s="80">
        <f t="shared" si="27"/>
        <v>0</v>
      </c>
      <c r="Q86" s="179">
        <v>0</v>
      </c>
      <c r="R86" s="80">
        <f t="shared" si="28"/>
        <v>0</v>
      </c>
      <c r="S86" s="179">
        <v>0</v>
      </c>
      <c r="T86" s="80">
        <f t="shared" si="29"/>
        <v>0</v>
      </c>
      <c r="U86" s="179">
        <v>0</v>
      </c>
      <c r="V86" s="80">
        <f t="shared" si="30"/>
        <v>0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31"/>
        <v>0</v>
      </c>
      <c r="E87" s="179">
        <v>0</v>
      </c>
      <c r="F87" s="80">
        <f t="shared" si="22"/>
        <v>0</v>
      </c>
      <c r="G87" s="179">
        <v>0</v>
      </c>
      <c r="H87" s="80">
        <f t="shared" si="23"/>
        <v>0</v>
      </c>
      <c r="I87" s="179">
        <v>0</v>
      </c>
      <c r="J87" s="80">
        <f t="shared" si="24"/>
        <v>0</v>
      </c>
      <c r="K87" s="179">
        <v>0</v>
      </c>
      <c r="L87" s="80">
        <f t="shared" si="25"/>
        <v>0</v>
      </c>
      <c r="M87" s="179">
        <v>0</v>
      </c>
      <c r="N87" s="80">
        <f t="shared" si="26"/>
        <v>0</v>
      </c>
      <c r="O87" s="179">
        <v>0</v>
      </c>
      <c r="P87" s="80">
        <f t="shared" si="27"/>
        <v>0</v>
      </c>
      <c r="Q87" s="179">
        <v>0</v>
      </c>
      <c r="R87" s="80">
        <f t="shared" si="28"/>
        <v>0</v>
      </c>
      <c r="S87" s="179">
        <v>0</v>
      </c>
      <c r="T87" s="80">
        <f t="shared" si="29"/>
        <v>0</v>
      </c>
      <c r="U87" s="179">
        <v>0</v>
      </c>
      <c r="V87" s="80">
        <f t="shared" si="30"/>
        <v>0</v>
      </c>
      <c r="X87" s="200"/>
    </row>
    <row r="88" spans="1:24" ht="12.75" customHeight="1">
      <c r="A88" s="2" t="s">
        <v>419</v>
      </c>
      <c r="B88" s="35"/>
      <c r="C88" s="179">
        <v>2041.8156000000006</v>
      </c>
      <c r="D88" s="80">
        <f t="shared" si="31"/>
        <v>5.1000000000000004E-3</v>
      </c>
      <c r="E88" s="179">
        <v>0</v>
      </c>
      <c r="F88" s="80">
        <f t="shared" si="22"/>
        <v>0</v>
      </c>
      <c r="G88" s="179">
        <v>0</v>
      </c>
      <c r="H88" s="80">
        <f t="shared" si="23"/>
        <v>0</v>
      </c>
      <c r="I88" s="179">
        <v>0</v>
      </c>
      <c r="J88" s="80">
        <f t="shared" si="24"/>
        <v>0</v>
      </c>
      <c r="K88" s="179">
        <v>0</v>
      </c>
      <c r="L88" s="80">
        <f t="shared" si="25"/>
        <v>0</v>
      </c>
      <c r="M88" s="179">
        <v>0</v>
      </c>
      <c r="N88" s="80">
        <f t="shared" si="26"/>
        <v>0</v>
      </c>
      <c r="O88" s="179">
        <v>0</v>
      </c>
      <c r="P88" s="80">
        <f t="shared" si="27"/>
        <v>0</v>
      </c>
      <c r="Q88" s="179">
        <v>0</v>
      </c>
      <c r="R88" s="80">
        <f t="shared" si="28"/>
        <v>0</v>
      </c>
      <c r="S88" s="179">
        <v>0</v>
      </c>
      <c r="T88" s="80">
        <f t="shared" si="29"/>
        <v>0</v>
      </c>
      <c r="U88" s="179">
        <v>0</v>
      </c>
      <c r="V88" s="80">
        <f t="shared" si="30"/>
        <v>0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31"/>
        <v>0</v>
      </c>
      <c r="E89" s="179">
        <v>0</v>
      </c>
      <c r="F89" s="80">
        <f t="shared" si="22"/>
        <v>0</v>
      </c>
      <c r="G89" s="179">
        <v>0</v>
      </c>
      <c r="H89" s="80">
        <f t="shared" si="23"/>
        <v>0</v>
      </c>
      <c r="I89" s="179">
        <v>0</v>
      </c>
      <c r="J89" s="80">
        <f t="shared" si="24"/>
        <v>0</v>
      </c>
      <c r="K89" s="179">
        <v>0</v>
      </c>
      <c r="L89" s="80">
        <f t="shared" si="25"/>
        <v>0</v>
      </c>
      <c r="M89" s="179">
        <v>0</v>
      </c>
      <c r="N89" s="80">
        <f t="shared" si="26"/>
        <v>0</v>
      </c>
      <c r="O89" s="179">
        <v>0</v>
      </c>
      <c r="P89" s="80">
        <f t="shared" si="27"/>
        <v>0</v>
      </c>
      <c r="Q89" s="179">
        <v>0</v>
      </c>
      <c r="R89" s="80">
        <f t="shared" si="28"/>
        <v>0</v>
      </c>
      <c r="S89" s="179">
        <v>0</v>
      </c>
      <c r="T89" s="80">
        <f t="shared" si="29"/>
        <v>0</v>
      </c>
      <c r="U89" s="179">
        <v>0</v>
      </c>
      <c r="V89" s="80">
        <f t="shared" si="30"/>
        <v>0</v>
      </c>
      <c r="X89" s="200"/>
    </row>
    <row r="90" spans="1:24" ht="12.75" customHeight="1">
      <c r="A90" s="2" t="s">
        <v>421</v>
      </c>
      <c r="B90" s="35"/>
      <c r="C90" s="179">
        <v>80.071200000000033</v>
      </c>
      <c r="D90" s="80">
        <f t="shared" si="31"/>
        <v>2.0000000000000006E-4</v>
      </c>
      <c r="E90" s="179">
        <v>0</v>
      </c>
      <c r="F90" s="80">
        <f t="shared" si="22"/>
        <v>0</v>
      </c>
      <c r="G90" s="179">
        <v>0</v>
      </c>
      <c r="H90" s="80">
        <f t="shared" si="23"/>
        <v>0</v>
      </c>
      <c r="I90" s="179">
        <v>0</v>
      </c>
      <c r="J90" s="80">
        <f t="shared" si="24"/>
        <v>0</v>
      </c>
      <c r="K90" s="179">
        <v>0</v>
      </c>
      <c r="L90" s="80">
        <f t="shared" si="25"/>
        <v>0</v>
      </c>
      <c r="M90" s="179">
        <v>0</v>
      </c>
      <c r="N90" s="80">
        <f t="shared" si="26"/>
        <v>0</v>
      </c>
      <c r="O90" s="179">
        <v>0</v>
      </c>
      <c r="P90" s="80">
        <f t="shared" si="27"/>
        <v>0</v>
      </c>
      <c r="Q90" s="179">
        <v>0</v>
      </c>
      <c r="R90" s="80">
        <f t="shared" si="28"/>
        <v>0</v>
      </c>
      <c r="S90" s="179">
        <v>0</v>
      </c>
      <c r="T90" s="80">
        <f t="shared" si="29"/>
        <v>0</v>
      </c>
      <c r="U90" s="179">
        <v>0</v>
      </c>
      <c r="V90" s="80">
        <f t="shared" si="30"/>
        <v>0</v>
      </c>
      <c r="X90" s="200"/>
    </row>
    <row r="91" spans="1:24" ht="12.75" customHeight="1">
      <c r="A91" s="2" t="s">
        <v>422</v>
      </c>
      <c r="C91" s="179">
        <v>0</v>
      </c>
      <c r="D91" s="80">
        <f t="shared" si="31"/>
        <v>0</v>
      </c>
      <c r="E91" s="179">
        <v>0</v>
      </c>
      <c r="F91" s="80">
        <f t="shared" si="22"/>
        <v>0</v>
      </c>
      <c r="G91" s="179">
        <v>0</v>
      </c>
      <c r="H91" s="80">
        <f t="shared" si="23"/>
        <v>0</v>
      </c>
      <c r="I91" s="179">
        <v>0</v>
      </c>
      <c r="J91" s="80">
        <f t="shared" si="24"/>
        <v>0</v>
      </c>
      <c r="K91" s="179">
        <v>0</v>
      </c>
      <c r="L91" s="80">
        <f t="shared" si="25"/>
        <v>0</v>
      </c>
      <c r="M91" s="179">
        <v>0</v>
      </c>
      <c r="N91" s="80">
        <f t="shared" si="26"/>
        <v>0</v>
      </c>
      <c r="O91" s="179">
        <v>0</v>
      </c>
      <c r="P91" s="80">
        <f t="shared" si="27"/>
        <v>0</v>
      </c>
      <c r="Q91" s="179">
        <v>0</v>
      </c>
      <c r="R91" s="80">
        <f t="shared" si="28"/>
        <v>0</v>
      </c>
      <c r="S91" s="179">
        <v>0</v>
      </c>
      <c r="T91" s="80">
        <f t="shared" si="29"/>
        <v>0</v>
      </c>
      <c r="U91" s="179">
        <v>0</v>
      </c>
      <c r="V91" s="80">
        <f t="shared" si="30"/>
        <v>0</v>
      </c>
      <c r="X91" s="200"/>
    </row>
    <row r="92" spans="1:24" ht="12.75" customHeight="1">
      <c r="A92" s="2" t="s">
        <v>423</v>
      </c>
      <c r="B92" s="35"/>
      <c r="C92" s="179">
        <v>2081.8512000000005</v>
      </c>
      <c r="D92" s="80">
        <f t="shared" si="31"/>
        <v>5.2000000000000006E-3</v>
      </c>
      <c r="E92" s="179">
        <v>0</v>
      </c>
      <c r="F92" s="80">
        <f t="shared" si="22"/>
        <v>0</v>
      </c>
      <c r="G92" s="179">
        <v>0</v>
      </c>
      <c r="H92" s="80">
        <f t="shared" si="23"/>
        <v>0</v>
      </c>
      <c r="I92" s="179">
        <v>0</v>
      </c>
      <c r="J92" s="80">
        <f t="shared" si="24"/>
        <v>0</v>
      </c>
      <c r="K92" s="179">
        <v>0</v>
      </c>
      <c r="L92" s="80">
        <f t="shared" si="25"/>
        <v>0</v>
      </c>
      <c r="M92" s="179">
        <v>0</v>
      </c>
      <c r="N92" s="80">
        <f t="shared" si="26"/>
        <v>0</v>
      </c>
      <c r="O92" s="179">
        <v>0</v>
      </c>
      <c r="P92" s="80">
        <f t="shared" si="27"/>
        <v>0</v>
      </c>
      <c r="Q92" s="179">
        <v>0</v>
      </c>
      <c r="R92" s="80">
        <f t="shared" si="28"/>
        <v>0</v>
      </c>
      <c r="S92" s="179">
        <v>0</v>
      </c>
      <c r="T92" s="80">
        <f t="shared" si="29"/>
        <v>0</v>
      </c>
      <c r="U92" s="179">
        <v>0</v>
      </c>
      <c r="V92" s="80">
        <f t="shared" si="30"/>
        <v>0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31"/>
        <v>0</v>
      </c>
      <c r="E93" s="179">
        <v>0</v>
      </c>
      <c r="F93" s="80">
        <f t="shared" si="22"/>
        <v>0</v>
      </c>
      <c r="G93" s="179">
        <v>0</v>
      </c>
      <c r="H93" s="80">
        <f t="shared" si="23"/>
        <v>0</v>
      </c>
      <c r="I93" s="179">
        <v>0</v>
      </c>
      <c r="J93" s="80">
        <f t="shared" si="24"/>
        <v>0</v>
      </c>
      <c r="K93" s="179">
        <v>0</v>
      </c>
      <c r="L93" s="80">
        <f t="shared" si="25"/>
        <v>0</v>
      </c>
      <c r="M93" s="179">
        <v>0</v>
      </c>
      <c r="N93" s="80">
        <f t="shared" si="26"/>
        <v>0</v>
      </c>
      <c r="O93" s="179">
        <v>0</v>
      </c>
      <c r="P93" s="80">
        <f t="shared" si="27"/>
        <v>0</v>
      </c>
      <c r="Q93" s="179">
        <v>0</v>
      </c>
      <c r="R93" s="80">
        <f t="shared" si="28"/>
        <v>0</v>
      </c>
      <c r="S93" s="179">
        <v>0</v>
      </c>
      <c r="T93" s="80">
        <f t="shared" si="29"/>
        <v>0</v>
      </c>
      <c r="U93" s="179">
        <v>0</v>
      </c>
      <c r="V93" s="80">
        <f t="shared" si="30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31"/>
        <v>0</v>
      </c>
      <c r="E94" s="179">
        <v>0</v>
      </c>
      <c r="F94" s="80">
        <f t="shared" si="22"/>
        <v>0</v>
      </c>
      <c r="G94" s="179">
        <v>0</v>
      </c>
      <c r="H94" s="80">
        <f t="shared" si="23"/>
        <v>0</v>
      </c>
      <c r="I94" s="179">
        <v>0</v>
      </c>
      <c r="J94" s="80">
        <f t="shared" si="24"/>
        <v>0</v>
      </c>
      <c r="K94" s="179">
        <v>0</v>
      </c>
      <c r="L94" s="80">
        <f t="shared" si="25"/>
        <v>0</v>
      </c>
      <c r="M94" s="179">
        <v>0</v>
      </c>
      <c r="N94" s="80">
        <f t="shared" si="26"/>
        <v>0</v>
      </c>
      <c r="O94" s="179">
        <v>0</v>
      </c>
      <c r="P94" s="80">
        <f t="shared" si="27"/>
        <v>0</v>
      </c>
      <c r="Q94" s="179">
        <v>0</v>
      </c>
      <c r="R94" s="80">
        <f t="shared" si="28"/>
        <v>0</v>
      </c>
      <c r="S94" s="179">
        <v>0</v>
      </c>
      <c r="T94" s="80">
        <f t="shared" si="29"/>
        <v>0</v>
      </c>
      <c r="U94" s="179">
        <v>0</v>
      </c>
      <c r="V94" s="80">
        <f t="shared" si="30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31"/>
        <v>0</v>
      </c>
      <c r="E95" s="179">
        <v>0</v>
      </c>
      <c r="F95" s="80">
        <f t="shared" si="22"/>
        <v>0</v>
      </c>
      <c r="G95" s="179">
        <v>0</v>
      </c>
      <c r="H95" s="80">
        <f t="shared" si="23"/>
        <v>0</v>
      </c>
      <c r="I95" s="179">
        <v>0</v>
      </c>
      <c r="J95" s="80">
        <f t="shared" si="24"/>
        <v>0</v>
      </c>
      <c r="K95" s="179">
        <v>0</v>
      </c>
      <c r="L95" s="80">
        <f t="shared" si="25"/>
        <v>0</v>
      </c>
      <c r="M95" s="179">
        <v>0</v>
      </c>
      <c r="N95" s="80">
        <f t="shared" si="26"/>
        <v>0</v>
      </c>
      <c r="O95" s="179">
        <v>0</v>
      </c>
      <c r="P95" s="80">
        <f t="shared" si="27"/>
        <v>0</v>
      </c>
      <c r="Q95" s="179">
        <v>0</v>
      </c>
      <c r="R95" s="80">
        <f t="shared" si="28"/>
        <v>0</v>
      </c>
      <c r="S95" s="179">
        <v>0</v>
      </c>
      <c r="T95" s="80">
        <f t="shared" si="29"/>
        <v>0</v>
      </c>
      <c r="U95" s="179">
        <v>0</v>
      </c>
      <c r="V95" s="80">
        <f t="shared" si="30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31"/>
        <v>0</v>
      </c>
      <c r="E96" s="179">
        <v>0</v>
      </c>
      <c r="F96" s="80">
        <f t="shared" si="22"/>
        <v>0</v>
      </c>
      <c r="G96" s="179">
        <v>0</v>
      </c>
      <c r="H96" s="80">
        <f t="shared" si="23"/>
        <v>0</v>
      </c>
      <c r="I96" s="179">
        <v>0</v>
      </c>
      <c r="J96" s="80">
        <f t="shared" si="24"/>
        <v>0</v>
      </c>
      <c r="K96" s="179">
        <v>0</v>
      </c>
      <c r="L96" s="80">
        <f t="shared" si="25"/>
        <v>0</v>
      </c>
      <c r="M96" s="179">
        <v>0</v>
      </c>
      <c r="N96" s="80">
        <f t="shared" si="26"/>
        <v>0</v>
      </c>
      <c r="O96" s="179">
        <v>0</v>
      </c>
      <c r="P96" s="80">
        <f t="shared" si="27"/>
        <v>0</v>
      </c>
      <c r="Q96" s="179">
        <v>0</v>
      </c>
      <c r="R96" s="80">
        <f t="shared" si="28"/>
        <v>0</v>
      </c>
      <c r="S96" s="179">
        <v>0</v>
      </c>
      <c r="T96" s="80">
        <f t="shared" si="29"/>
        <v>0</v>
      </c>
      <c r="U96" s="179">
        <v>0</v>
      </c>
      <c r="V96" s="80">
        <f t="shared" si="30"/>
        <v>0</v>
      </c>
      <c r="X96" s="200"/>
    </row>
    <row r="97" spans="1:24" ht="12.75" customHeight="1">
      <c r="A97" s="2" t="s">
        <v>428</v>
      </c>
      <c r="B97" s="35"/>
      <c r="C97" s="179">
        <v>6107.9953999999998</v>
      </c>
      <c r="D97" s="80">
        <f t="shared" si="31"/>
        <v>1.5256410294837592E-2</v>
      </c>
      <c r="E97" s="179">
        <v>0</v>
      </c>
      <c r="F97" s="80">
        <f t="shared" si="22"/>
        <v>0</v>
      </c>
      <c r="G97" s="179">
        <v>0</v>
      </c>
      <c r="H97" s="80">
        <f t="shared" si="23"/>
        <v>0</v>
      </c>
      <c r="I97" s="179">
        <v>0</v>
      </c>
      <c r="J97" s="80">
        <f t="shared" si="24"/>
        <v>0</v>
      </c>
      <c r="K97" s="179">
        <v>0</v>
      </c>
      <c r="L97" s="80">
        <f t="shared" si="25"/>
        <v>0</v>
      </c>
      <c r="M97" s="179">
        <v>0</v>
      </c>
      <c r="N97" s="80">
        <f t="shared" si="26"/>
        <v>0</v>
      </c>
      <c r="O97" s="179">
        <v>0</v>
      </c>
      <c r="P97" s="80">
        <f t="shared" si="27"/>
        <v>0</v>
      </c>
      <c r="Q97" s="179">
        <v>0</v>
      </c>
      <c r="R97" s="80">
        <f t="shared" si="28"/>
        <v>0</v>
      </c>
      <c r="S97" s="179">
        <v>0</v>
      </c>
      <c r="T97" s="80">
        <f t="shared" si="29"/>
        <v>0</v>
      </c>
      <c r="U97" s="179">
        <v>0</v>
      </c>
      <c r="V97" s="80">
        <f t="shared" si="30"/>
        <v>0</v>
      </c>
      <c r="X97" s="200"/>
    </row>
    <row r="98" spans="1:24" ht="12.75" customHeight="1">
      <c r="A98" s="117" t="s">
        <v>431</v>
      </c>
      <c r="B98" s="35"/>
      <c r="C98" s="179">
        <v>480.42720000000003</v>
      </c>
      <c r="D98" s="80">
        <f t="shared" si="31"/>
        <v>1.1999999999999999E-3</v>
      </c>
      <c r="E98" s="179">
        <v>0</v>
      </c>
      <c r="F98" s="80">
        <f t="shared" si="22"/>
        <v>0</v>
      </c>
      <c r="G98" s="179">
        <v>0</v>
      </c>
      <c r="H98" s="80">
        <f t="shared" si="23"/>
        <v>0</v>
      </c>
      <c r="I98" s="179">
        <v>0</v>
      </c>
      <c r="J98" s="80">
        <f t="shared" si="24"/>
        <v>0</v>
      </c>
      <c r="K98" s="179">
        <v>0</v>
      </c>
      <c r="L98" s="80">
        <f t="shared" si="25"/>
        <v>0</v>
      </c>
      <c r="M98" s="179">
        <v>0</v>
      </c>
      <c r="N98" s="80">
        <f t="shared" si="26"/>
        <v>0</v>
      </c>
      <c r="O98" s="179">
        <v>0</v>
      </c>
      <c r="P98" s="80">
        <f t="shared" si="27"/>
        <v>0</v>
      </c>
      <c r="Q98" s="179">
        <v>0</v>
      </c>
      <c r="R98" s="80">
        <f t="shared" si="28"/>
        <v>0</v>
      </c>
      <c r="S98" s="179">
        <v>0</v>
      </c>
      <c r="T98" s="80">
        <f t="shared" si="29"/>
        <v>0</v>
      </c>
      <c r="U98" s="179">
        <v>0</v>
      </c>
      <c r="V98" s="80">
        <f t="shared" si="30"/>
        <v>0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31"/>
        <v>0</v>
      </c>
      <c r="E99" s="179">
        <v>0</v>
      </c>
      <c r="F99" s="80">
        <f t="shared" si="22"/>
        <v>0</v>
      </c>
      <c r="G99" s="179">
        <v>0</v>
      </c>
      <c r="H99" s="80">
        <f t="shared" si="23"/>
        <v>0</v>
      </c>
      <c r="I99" s="179">
        <v>0</v>
      </c>
      <c r="J99" s="80">
        <f t="shared" si="24"/>
        <v>0</v>
      </c>
      <c r="K99" s="179">
        <v>0</v>
      </c>
      <c r="L99" s="80">
        <f t="shared" si="25"/>
        <v>0</v>
      </c>
      <c r="M99" s="179">
        <v>0</v>
      </c>
      <c r="N99" s="80">
        <f t="shared" si="26"/>
        <v>0</v>
      </c>
      <c r="O99" s="179">
        <v>0</v>
      </c>
      <c r="P99" s="80">
        <f t="shared" si="27"/>
        <v>0</v>
      </c>
      <c r="Q99" s="179">
        <v>0</v>
      </c>
      <c r="R99" s="80">
        <f t="shared" si="28"/>
        <v>0</v>
      </c>
      <c r="S99" s="179">
        <v>0</v>
      </c>
      <c r="T99" s="80">
        <f t="shared" si="29"/>
        <v>0</v>
      </c>
      <c r="U99" s="179">
        <v>0</v>
      </c>
      <c r="V99" s="80">
        <f t="shared" si="30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31"/>
        <v>0</v>
      </c>
      <c r="E100" s="179">
        <v>0</v>
      </c>
      <c r="F100" s="80">
        <f t="shared" si="22"/>
        <v>0</v>
      </c>
      <c r="G100" s="179">
        <v>0</v>
      </c>
      <c r="H100" s="80">
        <f t="shared" si="23"/>
        <v>0</v>
      </c>
      <c r="I100" s="179">
        <v>0</v>
      </c>
      <c r="J100" s="80">
        <f t="shared" si="24"/>
        <v>0</v>
      </c>
      <c r="K100" s="179">
        <v>0</v>
      </c>
      <c r="L100" s="80">
        <f t="shared" si="25"/>
        <v>0</v>
      </c>
      <c r="M100" s="179">
        <v>0</v>
      </c>
      <c r="N100" s="80">
        <f t="shared" si="26"/>
        <v>0</v>
      </c>
      <c r="O100" s="179">
        <v>0</v>
      </c>
      <c r="P100" s="80">
        <f t="shared" si="27"/>
        <v>0</v>
      </c>
      <c r="Q100" s="179">
        <v>0</v>
      </c>
      <c r="R100" s="80">
        <f t="shared" si="28"/>
        <v>0</v>
      </c>
      <c r="S100" s="179">
        <v>0</v>
      </c>
      <c r="T100" s="80">
        <f t="shared" si="29"/>
        <v>0</v>
      </c>
      <c r="U100" s="179">
        <v>0</v>
      </c>
      <c r="V100" s="80">
        <f t="shared" si="30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31"/>
        <v>0</v>
      </c>
      <c r="E101" s="179"/>
      <c r="F101" s="80">
        <f t="shared" si="22"/>
        <v>0</v>
      </c>
      <c r="G101" s="179"/>
      <c r="H101" s="80">
        <f t="shared" si="23"/>
        <v>0</v>
      </c>
      <c r="I101" s="179">
        <v>0</v>
      </c>
      <c r="J101" s="80">
        <f t="shared" si="24"/>
        <v>0</v>
      </c>
      <c r="K101" s="179">
        <v>0</v>
      </c>
      <c r="L101" s="80">
        <f t="shared" si="25"/>
        <v>0</v>
      </c>
      <c r="M101" s="179">
        <v>0</v>
      </c>
      <c r="N101" s="80">
        <f t="shared" si="26"/>
        <v>0</v>
      </c>
      <c r="O101" s="179">
        <v>0</v>
      </c>
      <c r="P101" s="80">
        <f t="shared" si="27"/>
        <v>0</v>
      </c>
      <c r="Q101" s="179">
        <v>0</v>
      </c>
      <c r="R101" s="80">
        <f t="shared" si="28"/>
        <v>0</v>
      </c>
      <c r="S101" s="179">
        <v>0</v>
      </c>
      <c r="T101" s="80">
        <f t="shared" si="29"/>
        <v>0</v>
      </c>
      <c r="U101" s="179">
        <v>0</v>
      </c>
      <c r="V101" s="80">
        <f t="shared" si="30"/>
        <v>0</v>
      </c>
      <c r="X101" s="200"/>
    </row>
    <row r="102" spans="1:24" ht="12.75" customHeight="1">
      <c r="A102" s="117" t="s">
        <v>433</v>
      </c>
      <c r="B102" s="35"/>
      <c r="C102" s="179">
        <v>4003.5600000000009</v>
      </c>
      <c r="D102" s="80">
        <f t="shared" si="31"/>
        <v>0.01</v>
      </c>
      <c r="E102" s="179">
        <v>0</v>
      </c>
      <c r="F102" s="80">
        <f t="shared" si="22"/>
        <v>0</v>
      </c>
      <c r="G102" s="179">
        <v>0</v>
      </c>
      <c r="H102" s="80">
        <f t="shared" si="23"/>
        <v>0</v>
      </c>
      <c r="I102" s="179">
        <v>0</v>
      </c>
      <c r="J102" s="80">
        <f t="shared" si="24"/>
        <v>0</v>
      </c>
      <c r="K102" s="179">
        <v>0</v>
      </c>
      <c r="L102" s="80">
        <f t="shared" si="25"/>
        <v>0</v>
      </c>
      <c r="M102" s="179">
        <v>0</v>
      </c>
      <c r="N102" s="80">
        <f t="shared" si="26"/>
        <v>0</v>
      </c>
      <c r="O102" s="179">
        <v>0</v>
      </c>
      <c r="P102" s="80">
        <f t="shared" si="27"/>
        <v>0</v>
      </c>
      <c r="Q102" s="179">
        <v>0</v>
      </c>
      <c r="R102" s="80">
        <f t="shared" si="28"/>
        <v>0</v>
      </c>
      <c r="S102" s="179">
        <v>0</v>
      </c>
      <c r="T102" s="80">
        <f t="shared" si="29"/>
        <v>0</v>
      </c>
      <c r="U102" s="179">
        <v>0</v>
      </c>
      <c r="V102" s="80">
        <f t="shared" si="30"/>
        <v>0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31"/>
        <v>0</v>
      </c>
      <c r="E103" s="179">
        <v>0</v>
      </c>
      <c r="F103" s="80">
        <f t="shared" si="22"/>
        <v>0</v>
      </c>
      <c r="G103" s="179">
        <v>0</v>
      </c>
      <c r="H103" s="80">
        <f t="shared" si="23"/>
        <v>0</v>
      </c>
      <c r="I103" s="179">
        <v>0</v>
      </c>
      <c r="J103" s="80">
        <f t="shared" si="24"/>
        <v>0</v>
      </c>
      <c r="K103" s="179">
        <v>0</v>
      </c>
      <c r="L103" s="80">
        <f t="shared" si="25"/>
        <v>0</v>
      </c>
      <c r="M103" s="179">
        <v>0</v>
      </c>
      <c r="N103" s="80">
        <f t="shared" si="26"/>
        <v>0</v>
      </c>
      <c r="O103" s="179">
        <v>0</v>
      </c>
      <c r="P103" s="80">
        <f t="shared" si="27"/>
        <v>0</v>
      </c>
      <c r="Q103" s="179">
        <v>0</v>
      </c>
      <c r="R103" s="80">
        <f t="shared" si="28"/>
        <v>0</v>
      </c>
      <c r="S103" s="179">
        <v>0</v>
      </c>
      <c r="T103" s="80">
        <f t="shared" si="29"/>
        <v>0</v>
      </c>
      <c r="U103" s="179">
        <v>0</v>
      </c>
      <c r="V103" s="80">
        <f t="shared" si="30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31"/>
        <v>0</v>
      </c>
      <c r="E104" s="179">
        <v>0</v>
      </c>
      <c r="F104" s="80">
        <f t="shared" si="22"/>
        <v>0</v>
      </c>
      <c r="G104" s="179">
        <v>0</v>
      </c>
      <c r="H104" s="80">
        <f t="shared" si="23"/>
        <v>0</v>
      </c>
      <c r="I104" s="179">
        <v>0</v>
      </c>
      <c r="J104" s="80">
        <f t="shared" si="24"/>
        <v>0</v>
      </c>
      <c r="K104" s="179">
        <v>0</v>
      </c>
      <c r="L104" s="80">
        <f t="shared" si="25"/>
        <v>0</v>
      </c>
      <c r="M104" s="179">
        <v>0</v>
      </c>
      <c r="N104" s="80">
        <f t="shared" si="26"/>
        <v>0</v>
      </c>
      <c r="O104" s="179">
        <v>0</v>
      </c>
      <c r="P104" s="80">
        <f t="shared" si="27"/>
        <v>0</v>
      </c>
      <c r="Q104" s="179">
        <v>0</v>
      </c>
      <c r="R104" s="80">
        <f t="shared" si="28"/>
        <v>0</v>
      </c>
      <c r="S104" s="179">
        <v>0</v>
      </c>
      <c r="T104" s="80">
        <f t="shared" si="29"/>
        <v>0</v>
      </c>
      <c r="U104" s="179">
        <v>0</v>
      </c>
      <c r="V104" s="80">
        <f t="shared" si="30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77864.776366723978</v>
      </c>
      <c r="D105" s="83">
        <f t="shared" si="31"/>
        <v>0.19448884584400875</v>
      </c>
      <c r="E105" s="82">
        <f>SUM(E52:E104)</f>
        <v>0</v>
      </c>
      <c r="F105" s="83">
        <f t="shared" si="22"/>
        <v>0</v>
      </c>
      <c r="G105" s="82">
        <f>SUM(G52:G104)</f>
        <v>0</v>
      </c>
      <c r="H105" s="83">
        <f t="shared" si="23"/>
        <v>0</v>
      </c>
      <c r="I105" s="82">
        <f>SUM(I52:I104)</f>
        <v>0</v>
      </c>
      <c r="J105" s="83">
        <f t="shared" si="24"/>
        <v>0</v>
      </c>
      <c r="K105" s="82">
        <f>SUM(K52:K104)</f>
        <v>0</v>
      </c>
      <c r="L105" s="83">
        <f t="shared" si="25"/>
        <v>0</v>
      </c>
      <c r="M105" s="82">
        <f>SUM(M52:M104)</f>
        <v>0</v>
      </c>
      <c r="N105" s="83">
        <f t="shared" si="26"/>
        <v>0</v>
      </c>
      <c r="O105" s="82">
        <f>SUM(O52:O104)</f>
        <v>0</v>
      </c>
      <c r="P105" s="83">
        <f t="shared" si="27"/>
        <v>0</v>
      </c>
      <c r="Q105" s="82">
        <f>SUM(Q52:Q104)</f>
        <v>0</v>
      </c>
      <c r="R105" s="83">
        <f t="shared" si="28"/>
        <v>0</v>
      </c>
      <c r="S105" s="82">
        <f>SUM(S52:S104)</f>
        <v>0</v>
      </c>
      <c r="T105" s="83">
        <f t="shared" si="29"/>
        <v>0</v>
      </c>
      <c r="U105" s="82">
        <f>SUM(U52:U104)</f>
        <v>0</v>
      </c>
      <c r="V105" s="83">
        <f t="shared" si="30"/>
        <v>0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39483.088433276032</v>
      </c>
      <c r="D107" s="83">
        <f>IFERROR(C107/C$28,0)</f>
        <v>9.8619949328287895E-2</v>
      </c>
      <c r="E107" s="82">
        <f>E28-E33-E46-E105</f>
        <v>0</v>
      </c>
      <c r="F107" s="83">
        <f>IFERROR(E107/E$28,0)</f>
        <v>0</v>
      </c>
      <c r="G107" s="82">
        <f>G28-G33-G46-G105</f>
        <v>0</v>
      </c>
      <c r="H107" s="83">
        <f>IFERROR(G107/G$28,0)</f>
        <v>0</v>
      </c>
      <c r="I107" s="82">
        <f>I28-I33-I46-I105</f>
        <v>0</v>
      </c>
      <c r="J107" s="83">
        <f>IFERROR(I107/I$28,0)</f>
        <v>0</v>
      </c>
      <c r="K107" s="82">
        <f>K28-K33-K46-K105</f>
        <v>0</v>
      </c>
      <c r="L107" s="83">
        <f>IFERROR(K107/K$28,0)</f>
        <v>0</v>
      </c>
      <c r="M107" s="82">
        <f>M28-M33-M46-M105</f>
        <v>0</v>
      </c>
      <c r="N107" s="83">
        <f>IFERROR(M107/M$28,0)</f>
        <v>0</v>
      </c>
      <c r="O107" s="82">
        <f>O28-O33-O46-O105</f>
        <v>0</v>
      </c>
      <c r="P107" s="83">
        <f>IFERROR(O107/O$28,0)</f>
        <v>0</v>
      </c>
      <c r="Q107" s="82">
        <f>Q28-Q33-Q46-Q105</f>
        <v>0</v>
      </c>
      <c r="R107" s="83">
        <f>IFERROR(Q107/Q$28,0)</f>
        <v>0</v>
      </c>
      <c r="S107" s="82">
        <f>S28-S33-S46-S105</f>
        <v>0</v>
      </c>
      <c r="T107" s="83">
        <f>IFERROR(S107/S$28,0)</f>
        <v>0</v>
      </c>
      <c r="U107" s="82">
        <f>U28-U33-U46-U105</f>
        <v>0</v>
      </c>
      <c r="V107" s="83">
        <f>IFERROR(U107/U$28,0)</f>
        <v>0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32">IFERROR(C111/C$28,0)</f>
        <v>0</v>
      </c>
      <c r="E111" s="79">
        <f>E59</f>
        <v>0</v>
      </c>
      <c r="F111" s="80">
        <f t="shared" ref="F111:F116" si="33">IFERROR(E111/E$28,0)</f>
        <v>0</v>
      </c>
      <c r="G111" s="79">
        <f>G59</f>
        <v>0</v>
      </c>
      <c r="H111" s="80">
        <f t="shared" ref="H111:H116" si="34">IFERROR(G111/G$28,0)</f>
        <v>0</v>
      </c>
      <c r="I111" s="79">
        <f>I59</f>
        <v>0</v>
      </c>
      <c r="J111" s="80">
        <f t="shared" ref="J111:J116" si="35">IFERROR(I111/I$28,0)</f>
        <v>0</v>
      </c>
      <c r="K111" s="79">
        <f>K59</f>
        <v>0</v>
      </c>
      <c r="L111" s="80">
        <f t="shared" ref="L111:L116" si="36">IFERROR(K111/K$28,0)</f>
        <v>0</v>
      </c>
      <c r="M111" s="79">
        <f>M59</f>
        <v>0</v>
      </c>
      <c r="N111" s="80">
        <f t="shared" ref="N111:N116" si="37">IFERROR(M111/M$28,0)</f>
        <v>0</v>
      </c>
      <c r="O111" s="79">
        <f>O59</f>
        <v>0</v>
      </c>
      <c r="P111" s="80">
        <f t="shared" ref="P111:P116" si="38">IFERROR(O111/O$28,0)</f>
        <v>0</v>
      </c>
      <c r="Q111" s="79">
        <f>Q59</f>
        <v>0</v>
      </c>
      <c r="R111" s="80">
        <f t="shared" ref="R111:R116" si="39">IFERROR(Q111/Q$28,0)</f>
        <v>0</v>
      </c>
      <c r="S111" s="79">
        <f>S59</f>
        <v>0</v>
      </c>
      <c r="T111" s="80">
        <f t="shared" ref="T111:T116" si="40">IFERROR(S111/S$28,0)</f>
        <v>0</v>
      </c>
      <c r="U111" s="79">
        <f>U59</f>
        <v>0</v>
      </c>
      <c r="V111" s="80">
        <f t="shared" ref="V111:V116" si="41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32"/>
        <v>0</v>
      </c>
      <c r="E112" s="79">
        <f>E62</f>
        <v>0</v>
      </c>
      <c r="F112" s="80">
        <f t="shared" si="33"/>
        <v>0</v>
      </c>
      <c r="G112" s="79">
        <f>G62</f>
        <v>0</v>
      </c>
      <c r="H112" s="80">
        <f t="shared" si="34"/>
        <v>0</v>
      </c>
      <c r="I112" s="79">
        <f>I62</f>
        <v>0</v>
      </c>
      <c r="J112" s="80">
        <f t="shared" si="35"/>
        <v>0</v>
      </c>
      <c r="K112" s="79">
        <f>K62</f>
        <v>0</v>
      </c>
      <c r="L112" s="80">
        <f t="shared" si="36"/>
        <v>0</v>
      </c>
      <c r="M112" s="79">
        <f>M62</f>
        <v>0</v>
      </c>
      <c r="N112" s="80">
        <f t="shared" si="37"/>
        <v>0</v>
      </c>
      <c r="O112" s="79">
        <f>O62</f>
        <v>0</v>
      </c>
      <c r="P112" s="80">
        <f t="shared" si="38"/>
        <v>0</v>
      </c>
      <c r="Q112" s="79">
        <f>Q62</f>
        <v>0</v>
      </c>
      <c r="R112" s="80">
        <f t="shared" si="39"/>
        <v>0</v>
      </c>
      <c r="S112" s="79">
        <f>S62</f>
        <v>0</v>
      </c>
      <c r="T112" s="80">
        <f t="shared" si="40"/>
        <v>0</v>
      </c>
      <c r="U112" s="79">
        <f>U62</f>
        <v>0</v>
      </c>
      <c r="V112" s="80">
        <f t="shared" si="41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32"/>
        <v>0</v>
      </c>
      <c r="E113" s="111">
        <v>0</v>
      </c>
      <c r="F113" s="80">
        <f t="shared" si="33"/>
        <v>0</v>
      </c>
      <c r="G113" s="111">
        <v>0</v>
      </c>
      <c r="H113" s="80">
        <f t="shared" si="34"/>
        <v>0</v>
      </c>
      <c r="I113" s="111">
        <v>0</v>
      </c>
      <c r="J113" s="80">
        <f t="shared" si="35"/>
        <v>0</v>
      </c>
      <c r="K113" s="111">
        <v>0</v>
      </c>
      <c r="L113" s="80">
        <f t="shared" si="36"/>
        <v>0</v>
      </c>
      <c r="M113" s="111">
        <v>0</v>
      </c>
      <c r="N113" s="80">
        <f t="shared" si="37"/>
        <v>0</v>
      </c>
      <c r="O113" s="111">
        <v>0</v>
      </c>
      <c r="P113" s="80">
        <f t="shared" si="38"/>
        <v>0</v>
      </c>
      <c r="Q113" s="111">
        <v>0</v>
      </c>
      <c r="R113" s="80">
        <f t="shared" si="39"/>
        <v>0</v>
      </c>
      <c r="S113" s="111">
        <v>0</v>
      </c>
      <c r="T113" s="80">
        <f t="shared" si="40"/>
        <v>0</v>
      </c>
      <c r="U113" s="111">
        <v>0</v>
      </c>
      <c r="V113" s="80">
        <f t="shared" si="41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32"/>
        <v>0</v>
      </c>
      <c r="E114" s="111">
        <v>0</v>
      </c>
      <c r="F114" s="80">
        <f t="shared" si="33"/>
        <v>0</v>
      </c>
      <c r="G114" s="111">
        <v>0</v>
      </c>
      <c r="H114" s="80">
        <f t="shared" si="34"/>
        <v>0</v>
      </c>
      <c r="I114" s="111">
        <v>0</v>
      </c>
      <c r="J114" s="80">
        <f t="shared" si="35"/>
        <v>0</v>
      </c>
      <c r="K114" s="111">
        <v>0</v>
      </c>
      <c r="L114" s="80">
        <f t="shared" si="36"/>
        <v>0</v>
      </c>
      <c r="M114" s="111">
        <v>0</v>
      </c>
      <c r="N114" s="80">
        <f t="shared" si="37"/>
        <v>0</v>
      </c>
      <c r="O114" s="111">
        <v>0</v>
      </c>
      <c r="P114" s="80">
        <f t="shared" si="38"/>
        <v>0</v>
      </c>
      <c r="Q114" s="111">
        <v>0</v>
      </c>
      <c r="R114" s="80">
        <f t="shared" si="39"/>
        <v>0</v>
      </c>
      <c r="S114" s="111">
        <v>0</v>
      </c>
      <c r="T114" s="80">
        <f t="shared" si="40"/>
        <v>0</v>
      </c>
      <c r="U114" s="111">
        <v>0</v>
      </c>
      <c r="V114" s="80">
        <f t="shared" si="41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32"/>
        <v>0</v>
      </c>
      <c r="E115" s="112">
        <v>0</v>
      </c>
      <c r="F115" s="80">
        <f t="shared" si="33"/>
        <v>0</v>
      </c>
      <c r="G115" s="112">
        <v>0</v>
      </c>
      <c r="H115" s="80">
        <f t="shared" si="34"/>
        <v>0</v>
      </c>
      <c r="I115" s="112">
        <v>0</v>
      </c>
      <c r="J115" s="80">
        <f t="shared" si="35"/>
        <v>0</v>
      </c>
      <c r="K115" s="112">
        <v>0</v>
      </c>
      <c r="L115" s="80">
        <f t="shared" si="36"/>
        <v>0</v>
      </c>
      <c r="M115" s="112">
        <v>0</v>
      </c>
      <c r="N115" s="80">
        <f t="shared" si="37"/>
        <v>0</v>
      </c>
      <c r="O115" s="112">
        <v>0</v>
      </c>
      <c r="P115" s="80">
        <f t="shared" si="38"/>
        <v>0</v>
      </c>
      <c r="Q115" s="112">
        <v>0</v>
      </c>
      <c r="R115" s="80">
        <f t="shared" si="39"/>
        <v>0</v>
      </c>
      <c r="S115" s="112">
        <v>0</v>
      </c>
      <c r="T115" s="80">
        <f t="shared" si="40"/>
        <v>0</v>
      </c>
      <c r="U115" s="112">
        <v>0</v>
      </c>
      <c r="V115" s="80">
        <f t="shared" si="41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32"/>
        <v>0</v>
      </c>
      <c r="E116" s="85">
        <f>SUM(E111:E115)</f>
        <v>0</v>
      </c>
      <c r="F116" s="83">
        <f t="shared" si="33"/>
        <v>0</v>
      </c>
      <c r="G116" s="85">
        <f>SUM(G111:G115)</f>
        <v>0</v>
      </c>
      <c r="H116" s="83">
        <f t="shared" si="34"/>
        <v>0</v>
      </c>
      <c r="I116" s="85">
        <f>SUM(I111:I115)</f>
        <v>0</v>
      </c>
      <c r="J116" s="83">
        <f t="shared" si="35"/>
        <v>0</v>
      </c>
      <c r="K116" s="85">
        <f>SUM(K111:K115)</f>
        <v>0</v>
      </c>
      <c r="L116" s="83">
        <f t="shared" si="36"/>
        <v>0</v>
      </c>
      <c r="M116" s="85">
        <f>SUM(M111:M115)</f>
        <v>0</v>
      </c>
      <c r="N116" s="83">
        <f t="shared" si="37"/>
        <v>0</v>
      </c>
      <c r="O116" s="85">
        <f>SUM(O111:O115)</f>
        <v>0</v>
      </c>
      <c r="P116" s="83">
        <f t="shared" si="38"/>
        <v>0</v>
      </c>
      <c r="Q116" s="85">
        <f>SUM(Q111:Q115)</f>
        <v>0</v>
      </c>
      <c r="R116" s="83">
        <f t="shared" si="39"/>
        <v>0</v>
      </c>
      <c r="S116" s="85">
        <f>SUM(S111:S115)</f>
        <v>0</v>
      </c>
      <c r="T116" s="83">
        <f t="shared" si="40"/>
        <v>0</v>
      </c>
      <c r="U116" s="85">
        <f>SUM(U111:U115)</f>
        <v>0</v>
      </c>
      <c r="V116" s="83">
        <f t="shared" si="41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59999389629810485"/>
  </sheetPr>
  <dimension ref="A1:X119"/>
  <sheetViews>
    <sheetView topLeftCell="A42" zoomScale="70" zoomScaleNormal="70" workbookViewId="0" xr3:uid="{F1CDC194-CB96-5A2D-8E84-222F42300CFA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38.5703125" style="2" customWidth="1"/>
    <col min="3" max="3" width="14.855468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40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Café Bustelo (Graham Center)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190</v>
      </c>
      <c r="E8" s="109">
        <f>+C8</f>
        <v>190</v>
      </c>
      <c r="G8" s="109">
        <f>+E8</f>
        <v>190</v>
      </c>
      <c r="I8" s="109">
        <f>+G8</f>
        <v>190</v>
      </c>
      <c r="K8" s="109">
        <f>+I8</f>
        <v>190</v>
      </c>
      <c r="M8" s="109">
        <f>+K8</f>
        <v>190</v>
      </c>
      <c r="O8" s="109">
        <f>+M8</f>
        <v>190</v>
      </c>
      <c r="Q8" s="109">
        <f>+O8</f>
        <v>190</v>
      </c>
      <c r="S8" s="109">
        <f>+Q8</f>
        <v>190</v>
      </c>
      <c r="U8" s="109">
        <f>+S8</f>
        <v>190</v>
      </c>
    </row>
    <row r="10" spans="1:22" ht="12.75" customHeight="1">
      <c r="A10" s="2" t="s">
        <v>449</v>
      </c>
      <c r="C10" s="209">
        <f>+C14/C8/C12</f>
        <v>658.8</v>
      </c>
      <c r="D10" s="186"/>
      <c r="E10" s="209">
        <f>+E14/E8/E12</f>
        <v>700.33955857385399</v>
      </c>
      <c r="F10" s="186"/>
      <c r="G10" s="209">
        <f>+G14/G8/G12</f>
        <v>663.10784886145632</v>
      </c>
      <c r="H10" s="186"/>
      <c r="I10" s="209">
        <f>+I14/I8/I12</f>
        <v>677.44360902255642</v>
      </c>
      <c r="J10" s="186"/>
      <c r="K10" s="209">
        <f>+K14/K8/K12</f>
        <v>689.89740595545925</v>
      </c>
      <c r="L10" s="186"/>
      <c r="M10" s="209">
        <f>+M14/M8/M12</f>
        <v>703.69535407456829</v>
      </c>
      <c r="N10" s="186"/>
      <c r="O10" s="209">
        <f>+O14/O8/O12</f>
        <v>707.67563092105263</v>
      </c>
      <c r="P10" s="186"/>
      <c r="Q10" s="209">
        <f>+Q14/Q8/Q12</f>
        <v>721.82914353947376</v>
      </c>
      <c r="R10" s="186"/>
      <c r="S10" s="209">
        <f>+S14/S8/S12</f>
        <v>729.42734505041562</v>
      </c>
      <c r="T10" s="186"/>
      <c r="U10" s="209">
        <f>+U14/U8/U12</f>
        <v>730.44721307085081</v>
      </c>
      <c r="V10" s="186"/>
    </row>
    <row r="12" spans="1:22" ht="12.75" customHeight="1">
      <c r="A12" s="2" t="s">
        <v>450</v>
      </c>
      <c r="C12" s="110">
        <v>6.02</v>
      </c>
      <c r="E12" s="110">
        <v>6.2</v>
      </c>
      <c r="G12" s="110">
        <v>6.31</v>
      </c>
      <c r="I12" s="110">
        <v>6.3</v>
      </c>
      <c r="K12" s="110">
        <v>6.31</v>
      </c>
      <c r="M12" s="110">
        <v>6.31</v>
      </c>
      <c r="O12" s="110">
        <v>6.4</v>
      </c>
      <c r="Q12" s="110">
        <v>6.4</v>
      </c>
      <c r="S12" s="110">
        <v>6.46</v>
      </c>
      <c r="U12" s="110">
        <v>6.58</v>
      </c>
    </row>
    <row r="14" spans="1:22" ht="12.75" customHeight="1">
      <c r="A14" s="2" t="s">
        <v>451</v>
      </c>
      <c r="C14" s="121">
        <v>753535.44</v>
      </c>
      <c r="E14" s="121">
        <v>825000</v>
      </c>
      <c r="G14" s="121">
        <v>795000</v>
      </c>
      <c r="I14" s="121">
        <f>+G14*1.02</f>
        <v>810900</v>
      </c>
      <c r="K14" s="121">
        <f>+I14*1.02</f>
        <v>827118</v>
      </c>
      <c r="M14" s="121">
        <f>+K14*1.02</f>
        <v>843660.36</v>
      </c>
      <c r="O14" s="121">
        <f>+M14*1.02</f>
        <v>860533.56720000005</v>
      </c>
      <c r="Q14" s="121">
        <f>+O14*1.02</f>
        <v>877744.23854400008</v>
      </c>
      <c r="S14" s="121">
        <f>+Q14*1.02</f>
        <v>895299.12331488007</v>
      </c>
      <c r="U14" s="121">
        <f>+S14*1.02</f>
        <v>913205.10578117764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</f>
        <v>660247.75252799992</v>
      </c>
      <c r="D19" s="80">
        <f>IFERROR(C19/C$28,0)</f>
        <v>0.87619999999999998</v>
      </c>
      <c r="E19" s="208">
        <f>+E14-E20</f>
        <v>385522.49999999994</v>
      </c>
      <c r="F19" s="80">
        <f>IFERROR(E19/E$28,0)</f>
        <v>0.46729999999999994</v>
      </c>
      <c r="G19" s="111">
        <f>E19*1.02</f>
        <v>393232.94999999995</v>
      </c>
      <c r="H19" s="80">
        <f>IFERROR(G19/G$28,0)</f>
        <v>0.46729999999999994</v>
      </c>
      <c r="I19" s="111">
        <f>G19*1.02</f>
        <v>401097.60899999994</v>
      </c>
      <c r="J19" s="80">
        <f>IFERROR(I19/I$28,0)</f>
        <v>0.46729999999999994</v>
      </c>
      <c r="K19" s="111">
        <f>I19*1.02</f>
        <v>409119.56117999996</v>
      </c>
      <c r="L19" s="80">
        <f>IFERROR(K19/K$28,0)</f>
        <v>0.46729999999999988</v>
      </c>
      <c r="M19" s="111">
        <f>K19*1.02</f>
        <v>417301.95240359998</v>
      </c>
      <c r="N19" s="80">
        <f>IFERROR(M19/M$28,0)</f>
        <v>0.46729999999999994</v>
      </c>
      <c r="O19" s="111">
        <f>M19*1.02</f>
        <v>425647.99145167199</v>
      </c>
      <c r="P19" s="80">
        <f>IFERROR(O19/O$28,0)</f>
        <v>0.46729999999999994</v>
      </c>
      <c r="Q19" s="111">
        <f>O19*1.02</f>
        <v>434160.95128070546</v>
      </c>
      <c r="R19" s="80">
        <f>IFERROR(Q19/Q$28,0)</f>
        <v>0.46729999999999994</v>
      </c>
      <c r="S19" s="111">
        <f>Q19*1.02</f>
        <v>442844.17030631955</v>
      </c>
      <c r="T19" s="80">
        <f>IFERROR(S19/S$28,0)</f>
        <v>0.46729999999999994</v>
      </c>
      <c r="U19" s="111">
        <f>S19*1.02</f>
        <v>451701.05371244595</v>
      </c>
      <c r="V19" s="80">
        <f>IFERROR(U19/U$28,0)</f>
        <v>0.46729999999999988</v>
      </c>
    </row>
    <row r="20" spans="1:24" ht="12.75" customHeight="1">
      <c r="A20" s="2" t="s">
        <v>357</v>
      </c>
      <c r="B20" s="35"/>
      <c r="C20" s="111">
        <f>+C14*12.38%</f>
        <v>93287.687472000005</v>
      </c>
      <c r="D20" s="80">
        <f>IFERROR(C20/C$28,0)</f>
        <v>0.12380000000000002</v>
      </c>
      <c r="E20" s="111">
        <f>+E14*53.27%</f>
        <v>439477.50000000006</v>
      </c>
      <c r="F20" s="80">
        <f>IFERROR(E20/E$28,0)</f>
        <v>0.53270000000000006</v>
      </c>
      <c r="G20" s="111">
        <f t="shared" ref="G20:U21" si="0">E20*1.02</f>
        <v>448267.05000000005</v>
      </c>
      <c r="H20" s="80">
        <f>IFERROR(G20/G$28,0)</f>
        <v>0.53270000000000006</v>
      </c>
      <c r="I20" s="111">
        <f t="shared" si="0"/>
        <v>457232.39100000006</v>
      </c>
      <c r="J20" s="80">
        <f>IFERROR(I20/I$28,0)</f>
        <v>0.53270000000000006</v>
      </c>
      <c r="K20" s="111">
        <f t="shared" si="0"/>
        <v>466377.03882000007</v>
      </c>
      <c r="L20" s="80">
        <f>IFERROR(K20/K$28,0)</f>
        <v>0.53270000000000006</v>
      </c>
      <c r="M20" s="111">
        <f t="shared" si="0"/>
        <v>475704.57959640009</v>
      </c>
      <c r="N20" s="80">
        <f>IFERROR(M20/M$28,0)</f>
        <v>0.53270000000000006</v>
      </c>
      <c r="O20" s="111">
        <f t="shared" si="0"/>
        <v>485218.67118832812</v>
      </c>
      <c r="P20" s="80">
        <f>IFERROR(O20/O$28,0)</f>
        <v>0.53270000000000006</v>
      </c>
      <c r="Q20" s="111">
        <f t="shared" si="0"/>
        <v>494923.0446120947</v>
      </c>
      <c r="R20" s="80">
        <f>IFERROR(Q20/Q$28,0)</f>
        <v>0.53270000000000006</v>
      </c>
      <c r="S20" s="111">
        <f t="shared" si="0"/>
        <v>504821.50550433662</v>
      </c>
      <c r="T20" s="80">
        <f>IFERROR(S20/S$28,0)</f>
        <v>0.53270000000000006</v>
      </c>
      <c r="U20" s="111">
        <f t="shared" si="0"/>
        <v>514917.93561442336</v>
      </c>
      <c r="V20" s="80">
        <f>IFERROR(U20/U$28,0)</f>
        <v>0.53270000000000006</v>
      </c>
    </row>
    <row r="21" spans="1:24" ht="12.75" customHeight="1">
      <c r="A21" s="2" t="s">
        <v>358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364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365</v>
      </c>
      <c r="B28" s="53"/>
      <c r="C28" s="82">
        <f>SUM(C19:C27)</f>
        <v>753535.44</v>
      </c>
      <c r="D28" s="83">
        <f t="shared" si="1"/>
        <v>1</v>
      </c>
      <c r="E28" s="82">
        <f>SUM(E19:E27)</f>
        <v>825000</v>
      </c>
      <c r="F28" s="83">
        <f t="shared" si="2"/>
        <v>1</v>
      </c>
      <c r="G28" s="82">
        <f>SUM(G19:G27)</f>
        <v>841500</v>
      </c>
      <c r="H28" s="83">
        <f t="shared" si="3"/>
        <v>1</v>
      </c>
      <c r="I28" s="82">
        <f>SUM(I19:I27)</f>
        <v>858330</v>
      </c>
      <c r="J28" s="83">
        <f t="shared" si="4"/>
        <v>1</v>
      </c>
      <c r="K28" s="82">
        <f>SUM(K19:K27)</f>
        <v>875496.60000000009</v>
      </c>
      <c r="L28" s="83">
        <f t="shared" si="5"/>
        <v>1</v>
      </c>
      <c r="M28" s="82">
        <f>SUM(M19:M27)</f>
        <v>893006.53200000012</v>
      </c>
      <c r="N28" s="83">
        <f t="shared" si="6"/>
        <v>1</v>
      </c>
      <c r="O28" s="82">
        <f>SUM(O19:O27)</f>
        <v>910866.66264000011</v>
      </c>
      <c r="P28" s="83">
        <f t="shared" si="7"/>
        <v>1</v>
      </c>
      <c r="Q28" s="82">
        <f>SUM(Q19:Q27)</f>
        <v>929083.99589280016</v>
      </c>
      <c r="R28" s="83">
        <f t="shared" si="8"/>
        <v>1</v>
      </c>
      <c r="S28" s="82">
        <f>SUM(S19:S27)</f>
        <v>947665.67581065616</v>
      </c>
      <c r="T28" s="83">
        <f t="shared" si="9"/>
        <v>1</v>
      </c>
      <c r="U28" s="82">
        <f>SUM(U19:U27)</f>
        <v>966618.98932686937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0.33500000000000002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252434.37239999999</v>
      </c>
      <c r="D31" s="80">
        <f>IFERROR(C31/C$28,0)</f>
        <v>0.33500000000000002</v>
      </c>
      <c r="E31" s="179">
        <f>$C$30*E14</f>
        <v>276375</v>
      </c>
      <c r="F31" s="80">
        <f>IFERROR(E31/E$28,0)</f>
        <v>0.33500000000000002</v>
      </c>
      <c r="G31" s="179">
        <f>$C$30*G14</f>
        <v>266325</v>
      </c>
      <c r="H31" s="80">
        <f>IFERROR(G31/G$28,0)</f>
        <v>0.31648841354723706</v>
      </c>
      <c r="I31" s="179">
        <f>$C$30*I14</f>
        <v>271651.5</v>
      </c>
      <c r="J31" s="80">
        <f>IFERROR(I31/I$28,0)</f>
        <v>0.31648841354723706</v>
      </c>
      <c r="K31" s="179">
        <f>$C$30*K14</f>
        <v>277084.53000000003</v>
      </c>
      <c r="L31" s="80">
        <f>IFERROR(K31/K$28,0)</f>
        <v>0.31648841354723706</v>
      </c>
      <c r="M31" s="179">
        <f>$C$30*M14</f>
        <v>282626.2206</v>
      </c>
      <c r="N31" s="80">
        <f>IFERROR(M31/M$28,0)</f>
        <v>0.31648841354723706</v>
      </c>
      <c r="O31" s="179">
        <f>$C$30*O14</f>
        <v>288278.74501200003</v>
      </c>
      <c r="P31" s="80">
        <f>IFERROR(O31/O$28,0)</f>
        <v>0.31648841354723706</v>
      </c>
      <c r="Q31" s="179">
        <f>$C$30*Q14</f>
        <v>294044.31991224003</v>
      </c>
      <c r="R31" s="80">
        <f>IFERROR(Q31/Q$28,0)</f>
        <v>0.31648841354723706</v>
      </c>
      <c r="S31" s="179">
        <f>$C$30*S14</f>
        <v>299925.20631048485</v>
      </c>
      <c r="T31" s="80">
        <f>IFERROR(S31/S$28,0)</f>
        <v>0.31648841354723706</v>
      </c>
      <c r="U31" s="179">
        <f>$C$30*U14</f>
        <v>305923.71043669456</v>
      </c>
      <c r="V31" s="80">
        <f>IFERROR(U31/U$28,0)</f>
        <v>0.31648841354723706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252434.37239999999</v>
      </c>
      <c r="D33" s="83">
        <f>IFERROR(C33/C$28,0)</f>
        <v>0.33500000000000002</v>
      </c>
      <c r="E33" s="82">
        <f>SUM(E31:E32)</f>
        <v>276375</v>
      </c>
      <c r="F33" s="83">
        <f>IFERROR(E33/E$28,0)</f>
        <v>0.33500000000000002</v>
      </c>
      <c r="G33" s="82">
        <f>SUM(G31:G32)</f>
        <v>266325</v>
      </c>
      <c r="H33" s="83">
        <f>IFERROR(G33/G$28,0)</f>
        <v>0.31648841354723706</v>
      </c>
      <c r="I33" s="82">
        <f>SUM(I31:I32)</f>
        <v>271651.5</v>
      </c>
      <c r="J33" s="83">
        <f>IFERROR(I33/I$28,0)</f>
        <v>0.31648841354723706</v>
      </c>
      <c r="K33" s="82">
        <f>SUM(K31:K32)</f>
        <v>277084.53000000003</v>
      </c>
      <c r="L33" s="83">
        <f>IFERROR(K33/K$28,0)</f>
        <v>0.31648841354723706</v>
      </c>
      <c r="M33" s="82">
        <f>SUM(M31:M32)</f>
        <v>282626.2206</v>
      </c>
      <c r="N33" s="83">
        <f>IFERROR(M33/M$28,0)</f>
        <v>0.31648841354723706</v>
      </c>
      <c r="O33" s="82">
        <f>SUM(O31:O32)</f>
        <v>288278.74501200003</v>
      </c>
      <c r="P33" s="83">
        <f>IFERROR(O33/O$28,0)</f>
        <v>0.31648841354723706</v>
      </c>
      <c r="Q33" s="82">
        <f>SUM(Q31:Q32)</f>
        <v>294044.31991224003</v>
      </c>
      <c r="R33" s="83">
        <f>IFERROR(Q33/Q$28,0)</f>
        <v>0.31648841354723706</v>
      </c>
      <c r="S33" s="82">
        <f>SUM(S31:S32)</f>
        <v>299925.20631048485</v>
      </c>
      <c r="T33" s="83">
        <f>IFERROR(S33/S$28,0)</f>
        <v>0.31648841354723706</v>
      </c>
      <c r="U33" s="82">
        <f>SUM(U31:U32)</f>
        <v>305923.71043669456</v>
      </c>
      <c r="V33" s="83">
        <f>IFERROR(U33/U$28,0)</f>
        <v>0.31648841354723706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>
        <v>0</v>
      </c>
      <c r="D36" s="80">
        <f t="shared" ref="D36:D46" si="11">IFERROR(C36/C$28,0)</f>
        <v>0</v>
      </c>
      <c r="E36" s="179"/>
      <c r="F36" s="80">
        <f t="shared" ref="F36:F46" si="12">IFERROR(E36/E$28,0)</f>
        <v>0</v>
      </c>
      <c r="G36" s="179"/>
      <c r="H36" s="80">
        <f t="shared" ref="H36:H46" si="13">IFERROR(G36/G$28,0)</f>
        <v>0</v>
      </c>
      <c r="I36" s="179"/>
      <c r="J36" s="80">
        <f t="shared" ref="J36:J46" si="14">IFERROR(I36/I$28,0)</f>
        <v>0</v>
      </c>
      <c r="K36" s="179"/>
      <c r="L36" s="80">
        <f t="shared" ref="L36:L46" si="15">IFERROR(K36/K$28,0)</f>
        <v>0</v>
      </c>
      <c r="M36" s="179"/>
      <c r="N36" s="80">
        <f t="shared" ref="N36:N46" si="16">IFERROR(M36/M$28,0)</f>
        <v>0</v>
      </c>
      <c r="O36" s="179"/>
      <c r="P36" s="80">
        <f t="shared" ref="P36:P46" si="17">IFERROR(O36/O$28,0)</f>
        <v>0</v>
      </c>
      <c r="Q36" s="179"/>
      <c r="R36" s="80">
        <f t="shared" ref="R36:R46" si="18">IFERROR(Q36/Q$28,0)</f>
        <v>0</v>
      </c>
      <c r="S36" s="179"/>
      <c r="T36" s="80">
        <f t="shared" ref="T36:T46" si="19">IFERROR(S36/S$28,0)</f>
        <v>0</v>
      </c>
      <c r="U36" s="179"/>
      <c r="V36" s="80">
        <f t="shared" ref="V36:V46" si="20">IFERROR(U36/U$28,0)</f>
        <v>0</v>
      </c>
    </row>
    <row r="37" spans="1:22" ht="12.75" customHeight="1">
      <c r="A37" s="2" t="s">
        <v>372</v>
      </c>
      <c r="B37" s="35"/>
      <c r="C37" s="179">
        <v>176898</v>
      </c>
      <c r="D37" s="80">
        <f t="shared" si="11"/>
        <v>0.23475737252649989</v>
      </c>
      <c r="E37" s="179">
        <f>+C37*1.112</f>
        <v>196710.57600000003</v>
      </c>
      <c r="F37" s="80">
        <f t="shared" si="12"/>
        <v>0.23843706181818186</v>
      </c>
      <c r="G37" s="179">
        <f>+E37*1.035</f>
        <v>203595.44616000002</v>
      </c>
      <c r="H37" s="80">
        <f t="shared" si="13"/>
        <v>0.24194348919786099</v>
      </c>
      <c r="I37" s="179">
        <f>+G37*1.032</f>
        <v>210110.50043712003</v>
      </c>
      <c r="J37" s="80">
        <f t="shared" si="14"/>
        <v>0.24478988318842407</v>
      </c>
      <c r="K37" s="179">
        <f>+I37*1.025</f>
        <v>215363.26294804801</v>
      </c>
      <c r="L37" s="80">
        <f t="shared" si="15"/>
        <v>0.24598983359621041</v>
      </c>
      <c r="M37" s="179">
        <f>+K37*1.025</f>
        <v>220747.34452174918</v>
      </c>
      <c r="N37" s="80">
        <f t="shared" si="16"/>
        <v>0.24719566611383886</v>
      </c>
      <c r="O37" s="179">
        <f>+M37*1.025</f>
        <v>226266.0281347929</v>
      </c>
      <c r="P37" s="80">
        <f t="shared" si="17"/>
        <v>0.24840740957518118</v>
      </c>
      <c r="Q37" s="179">
        <f>+O37*1.025</f>
        <v>231922.67883816271</v>
      </c>
      <c r="R37" s="80">
        <f t="shared" si="18"/>
        <v>0.24962509295545166</v>
      </c>
      <c r="S37" s="179">
        <f>+Q37*1.025</f>
        <v>237720.74580911675</v>
      </c>
      <c r="T37" s="80">
        <f t="shared" si="19"/>
        <v>0.25084874537189994</v>
      </c>
      <c r="U37" s="179">
        <f>+S37*1.025</f>
        <v>243663.76445434464</v>
      </c>
      <c r="V37" s="80">
        <f t="shared" si="20"/>
        <v>0.25207839608450722</v>
      </c>
    </row>
    <row r="38" spans="1:22" ht="12.75" customHeight="1">
      <c r="A38" s="2" t="s">
        <v>373</v>
      </c>
      <c r="B38" s="35"/>
      <c r="C38" s="179">
        <v>10413</v>
      </c>
      <c r="D38" s="80">
        <f t="shared" si="11"/>
        <v>1.3818859004163096E-2</v>
      </c>
      <c r="E38" s="179">
        <f t="shared" ref="E38:E39" si="21">+C38*1.112</f>
        <v>11579.256000000001</v>
      </c>
      <c r="F38" s="80">
        <f t="shared" si="12"/>
        <v>1.403546181818182E-2</v>
      </c>
      <c r="G38" s="179">
        <f>+E38*1.035</f>
        <v>11984.52996</v>
      </c>
      <c r="H38" s="80">
        <f t="shared" si="13"/>
        <v>1.4241865668449198E-2</v>
      </c>
      <c r="I38" s="179">
        <f>+G38*1.032</f>
        <v>12368.034918720001</v>
      </c>
      <c r="J38" s="80">
        <f t="shared" si="14"/>
        <v>1.4409417029254483E-2</v>
      </c>
      <c r="K38" s="179">
        <f>+I38*1.025</f>
        <v>12677.235791687999</v>
      </c>
      <c r="L38" s="80">
        <f t="shared" si="15"/>
        <v>1.4480051426456707E-2</v>
      </c>
      <c r="M38" s="179">
        <f>+K38*1.025</f>
        <v>12994.166686480197</v>
      </c>
      <c r="N38" s="80">
        <f t="shared" si="16"/>
        <v>1.4551032070704042E-2</v>
      </c>
      <c r="O38" s="179">
        <f>+M38*1.025</f>
        <v>13319.020853642201</v>
      </c>
      <c r="P38" s="80">
        <f t="shared" si="17"/>
        <v>1.4622360659285924E-2</v>
      </c>
      <c r="Q38" s="179">
        <f>+O38*1.025</f>
        <v>13651.996374983255</v>
      </c>
      <c r="R38" s="80">
        <f t="shared" si="18"/>
        <v>1.4694038897811833E-2</v>
      </c>
      <c r="S38" s="179">
        <f>+Q38*1.025</f>
        <v>13993.296284357835</v>
      </c>
      <c r="T38" s="80">
        <f t="shared" si="19"/>
        <v>1.4766068500252087E-2</v>
      </c>
      <c r="U38" s="179">
        <f>+S38*1.025</f>
        <v>14343.12869146678</v>
      </c>
      <c r="V38" s="80">
        <f t="shared" si="20"/>
        <v>1.4838451188978809E-2</v>
      </c>
    </row>
    <row r="39" spans="1:22" ht="12.75" customHeight="1">
      <c r="A39" s="2" t="s">
        <v>374</v>
      </c>
      <c r="B39" s="35"/>
      <c r="C39" s="179">
        <v>0</v>
      </c>
      <c r="D39" s="80">
        <f t="shared" si="11"/>
        <v>0</v>
      </c>
      <c r="E39" s="179">
        <f t="shared" si="21"/>
        <v>0</v>
      </c>
      <c r="F39" s="80">
        <f t="shared" si="12"/>
        <v>0</v>
      </c>
      <c r="G39" s="179">
        <f>+E39*1.035</f>
        <v>0</v>
      </c>
      <c r="H39" s="80">
        <f t="shared" si="13"/>
        <v>0</v>
      </c>
      <c r="I39" s="179">
        <f>+G39*1.032</f>
        <v>0</v>
      </c>
      <c r="J39" s="80">
        <f t="shared" si="14"/>
        <v>0</v>
      </c>
      <c r="K39" s="179">
        <f>+I39*1.025</f>
        <v>0</v>
      </c>
      <c r="L39" s="80">
        <f t="shared" si="15"/>
        <v>0</v>
      </c>
      <c r="M39" s="179">
        <f>+K39*1.025</f>
        <v>0</v>
      </c>
      <c r="N39" s="80">
        <f t="shared" si="16"/>
        <v>0</v>
      </c>
      <c r="O39" s="179">
        <f>+M39*1.025</f>
        <v>0</v>
      </c>
      <c r="P39" s="80">
        <f t="shared" si="17"/>
        <v>0</v>
      </c>
      <c r="Q39" s="179">
        <f>+O39*1.025</f>
        <v>0</v>
      </c>
      <c r="R39" s="80">
        <f t="shared" si="18"/>
        <v>0</v>
      </c>
      <c r="S39" s="179">
        <f>+Q39*1.025</f>
        <v>0</v>
      </c>
      <c r="T39" s="80">
        <f t="shared" si="19"/>
        <v>0</v>
      </c>
      <c r="U39" s="179">
        <f>+S39*1.025</f>
        <v>0</v>
      </c>
      <c r="V39" s="80">
        <f t="shared" si="20"/>
        <v>0</v>
      </c>
    </row>
    <row r="40" spans="1:22" ht="12.75" customHeight="1">
      <c r="A40" s="2" t="s">
        <v>375</v>
      </c>
      <c r="B40" s="35"/>
      <c r="C40" s="179">
        <f>C36*0.124</f>
        <v>0</v>
      </c>
      <c r="D40" s="80">
        <f t="shared" si="11"/>
        <v>0</v>
      </c>
      <c r="E40" s="179">
        <f>E36*0.124</f>
        <v>0</v>
      </c>
      <c r="F40" s="80">
        <f t="shared" si="12"/>
        <v>0</v>
      </c>
      <c r="G40" s="179">
        <f>G36*0.124</f>
        <v>0</v>
      </c>
      <c r="H40" s="80">
        <f t="shared" si="13"/>
        <v>0</v>
      </c>
      <c r="I40" s="179">
        <f>I36*0.124</f>
        <v>0</v>
      </c>
      <c r="J40" s="80">
        <f t="shared" si="14"/>
        <v>0</v>
      </c>
      <c r="K40" s="179">
        <f>K36*0.124</f>
        <v>0</v>
      </c>
      <c r="L40" s="80">
        <f t="shared" si="15"/>
        <v>0</v>
      </c>
      <c r="M40" s="179">
        <f>M36*0.124</f>
        <v>0</v>
      </c>
      <c r="N40" s="80">
        <f t="shared" si="16"/>
        <v>0</v>
      </c>
      <c r="O40" s="179">
        <f>O36*0.124</f>
        <v>0</v>
      </c>
      <c r="P40" s="80">
        <f t="shared" si="17"/>
        <v>0</v>
      </c>
      <c r="Q40" s="179">
        <f>Q36*0.124</f>
        <v>0</v>
      </c>
      <c r="R40" s="80">
        <f t="shared" si="18"/>
        <v>0</v>
      </c>
      <c r="S40" s="179">
        <f>S36*0.124</f>
        <v>0</v>
      </c>
      <c r="T40" s="80">
        <f t="shared" si="19"/>
        <v>0</v>
      </c>
      <c r="U40" s="179">
        <f>U36*0.124</f>
        <v>0</v>
      </c>
      <c r="V40" s="80">
        <f t="shared" si="20"/>
        <v>0</v>
      </c>
    </row>
    <row r="41" spans="1:22" ht="12.75" customHeight="1">
      <c r="A41" s="2" t="s">
        <v>376</v>
      </c>
      <c r="B41" s="35"/>
      <c r="C41" s="179">
        <f>C37*0.124</f>
        <v>21935.351999999999</v>
      </c>
      <c r="D41" s="80">
        <f t="shared" si="11"/>
        <v>2.9109914193285985E-2</v>
      </c>
      <c r="E41" s="179">
        <f>E37*0.124</f>
        <v>24392.111424000002</v>
      </c>
      <c r="F41" s="80">
        <f t="shared" si="12"/>
        <v>2.9566195665454549E-2</v>
      </c>
      <c r="G41" s="179">
        <f>G37*0.124</f>
        <v>25245.835323840001</v>
      </c>
      <c r="H41" s="80">
        <f t="shared" si="13"/>
        <v>3.0000992660534759E-2</v>
      </c>
      <c r="I41" s="179">
        <f>I37*0.124</f>
        <v>26053.702054202884</v>
      </c>
      <c r="J41" s="80">
        <f t="shared" si="14"/>
        <v>3.0353945515364585E-2</v>
      </c>
      <c r="K41" s="179">
        <f>K37*0.124</f>
        <v>26705.044605557952</v>
      </c>
      <c r="L41" s="80">
        <f t="shared" si="15"/>
        <v>3.0502739365930089E-2</v>
      </c>
      <c r="M41" s="179">
        <f>M37*0.124</f>
        <v>27372.670720696897</v>
      </c>
      <c r="N41" s="80">
        <f t="shared" si="16"/>
        <v>3.0652262598116015E-2</v>
      </c>
      <c r="O41" s="179">
        <f>O37*0.124</f>
        <v>28056.98748871432</v>
      </c>
      <c r="P41" s="80">
        <f t="shared" si="17"/>
        <v>3.0802518787322469E-2</v>
      </c>
      <c r="Q41" s="179">
        <f>Q37*0.124</f>
        <v>28758.412175932175</v>
      </c>
      <c r="R41" s="80">
        <f t="shared" si="18"/>
        <v>3.0953511526476005E-2</v>
      </c>
      <c r="S41" s="179">
        <f>S37*0.124</f>
        <v>29477.372480330476</v>
      </c>
      <c r="T41" s="80">
        <f t="shared" si="19"/>
        <v>3.1105244426115588E-2</v>
      </c>
      <c r="U41" s="179">
        <f>U37*0.124</f>
        <v>30214.306792338735</v>
      </c>
      <c r="V41" s="80">
        <f t="shared" si="20"/>
        <v>3.1257721114478894E-2</v>
      </c>
    </row>
    <row r="42" spans="1:22" ht="12.75" customHeight="1">
      <c r="A42" s="2" t="s">
        <v>377</v>
      </c>
      <c r="B42" s="35"/>
      <c r="C42" s="179"/>
      <c r="D42" s="80">
        <f t="shared" si="11"/>
        <v>0</v>
      </c>
      <c r="E42" s="179"/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79"/>
      <c r="D43" s="80">
        <f t="shared" si="11"/>
        <v>0</v>
      </c>
      <c r="E43" s="179"/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79"/>
      <c r="D44" s="80">
        <f t="shared" si="11"/>
        <v>0</v>
      </c>
      <c r="E44" s="179"/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82">
        <f>SUM(C36:C39)*0.094</f>
        <v>17607.234</v>
      </c>
      <c r="D45" s="80">
        <f t="shared" si="11"/>
        <v>2.3366165763882323E-2</v>
      </c>
      <c r="E45" s="182">
        <f>SUM(E36:E39)*0.094</f>
        <v>19579.244208000004</v>
      </c>
      <c r="F45" s="80">
        <f t="shared" si="12"/>
        <v>2.3732417221818188E-2</v>
      </c>
      <c r="G45" s="182">
        <f>SUM(G36:G39)*0.094</f>
        <v>20264.517755280001</v>
      </c>
      <c r="H45" s="80">
        <f t="shared" si="13"/>
        <v>2.4081423357433157E-2</v>
      </c>
      <c r="I45" s="182">
        <f>SUM(I36:I39)*0.094</f>
        <v>20912.982323448963</v>
      </c>
      <c r="J45" s="80">
        <f t="shared" si="14"/>
        <v>2.4364734220461783E-2</v>
      </c>
      <c r="K45" s="182">
        <f>SUM(K36:K39)*0.094</f>
        <v>21435.806881535183</v>
      </c>
      <c r="L45" s="80">
        <f t="shared" si="15"/>
        <v>2.4484169192130707E-2</v>
      </c>
      <c r="M45" s="182">
        <f>SUM(M36:M39)*0.094</f>
        <v>21971.702053573561</v>
      </c>
      <c r="N45" s="80">
        <f t="shared" si="16"/>
        <v>2.4604189629347031E-2</v>
      </c>
      <c r="O45" s="182">
        <f>SUM(O36:O39)*0.094</f>
        <v>22520.994604912899</v>
      </c>
      <c r="P45" s="80">
        <f t="shared" si="17"/>
        <v>2.4724798402039908E-2</v>
      </c>
      <c r="Q45" s="182">
        <f>SUM(Q36:Q39)*0.094</f>
        <v>23084.019470035721</v>
      </c>
      <c r="R45" s="80">
        <f t="shared" si="18"/>
        <v>2.4845998394206769E-2</v>
      </c>
      <c r="S45" s="182">
        <f>SUM(S36:S39)*0.094</f>
        <v>23661.119956786613</v>
      </c>
      <c r="T45" s="80">
        <f t="shared" si="19"/>
        <v>2.4967792503982292E-2</v>
      </c>
      <c r="U45" s="182">
        <f>SUM(U36:U39)*0.094</f>
        <v>24252.647955706274</v>
      </c>
      <c r="V45" s="80">
        <f t="shared" si="20"/>
        <v>2.5090183643707686E-2</v>
      </c>
    </row>
    <row r="46" spans="1:22" ht="12.75" customHeight="1">
      <c r="A46" s="1" t="s">
        <v>381</v>
      </c>
      <c r="B46" s="53"/>
      <c r="C46" s="82">
        <f>SUM(C36:C45)</f>
        <v>226853.58600000001</v>
      </c>
      <c r="D46" s="83">
        <f t="shared" si="11"/>
        <v>0.30105231148783129</v>
      </c>
      <c r="E46" s="82">
        <f>SUM(E36:E45)</f>
        <v>252261.18763200002</v>
      </c>
      <c r="F46" s="83">
        <f t="shared" si="12"/>
        <v>0.30577113652363636</v>
      </c>
      <c r="G46" s="82">
        <f>SUM(G36:G45)</f>
        <v>261090.32919911999</v>
      </c>
      <c r="H46" s="83">
        <f t="shared" si="13"/>
        <v>0.31026777088427809</v>
      </c>
      <c r="I46" s="82">
        <f>SUM(I36:I45)</f>
        <v>269445.21973349189</v>
      </c>
      <c r="J46" s="83">
        <f t="shared" si="14"/>
        <v>0.31391797995350496</v>
      </c>
      <c r="K46" s="82">
        <f>SUM(K36:K45)</f>
        <v>276181.35022682912</v>
      </c>
      <c r="L46" s="83">
        <f t="shared" si="15"/>
        <v>0.31545679358072787</v>
      </c>
      <c r="M46" s="82">
        <f>SUM(M36:M45)</f>
        <v>283085.88398249983</v>
      </c>
      <c r="N46" s="83">
        <f t="shared" si="16"/>
        <v>0.31700315041200594</v>
      </c>
      <c r="O46" s="82">
        <f>SUM(O36:O45)</f>
        <v>290163.03108206228</v>
      </c>
      <c r="P46" s="83">
        <f t="shared" si="17"/>
        <v>0.31855708742382943</v>
      </c>
      <c r="Q46" s="82">
        <f>SUM(Q36:Q45)</f>
        <v>297417.1068591139</v>
      </c>
      <c r="R46" s="83">
        <f t="shared" si="18"/>
        <v>0.32011864177394633</v>
      </c>
      <c r="S46" s="82">
        <f>SUM(S36:S45)</f>
        <v>304852.53453059169</v>
      </c>
      <c r="T46" s="83">
        <f t="shared" si="19"/>
        <v>0.32168785080224993</v>
      </c>
      <c r="U46" s="82">
        <f>SUM(U36:U45)</f>
        <v>312473.84789385647</v>
      </c>
      <c r="V46" s="83">
        <f t="shared" si="20"/>
        <v>0.32326475203167265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2">IFERROR(C52/C$28,0)</f>
        <v>0</v>
      </c>
      <c r="E52" s="179">
        <v>0</v>
      </c>
      <c r="F52" s="80">
        <f t="shared" ref="F52:F104" si="23">IFERROR(E52/E$28,0)</f>
        <v>0</v>
      </c>
      <c r="G52" s="179">
        <v>0</v>
      </c>
      <c r="H52" s="80">
        <f t="shared" ref="H52:H104" si="24">IFERROR(G52/G$28,0)</f>
        <v>0</v>
      </c>
      <c r="I52" s="179">
        <v>0</v>
      </c>
      <c r="J52" s="80">
        <f t="shared" ref="J52:J104" si="25">IFERROR(I52/I$28,0)</f>
        <v>0</v>
      </c>
      <c r="K52" s="179">
        <v>0</v>
      </c>
      <c r="L52" s="80">
        <f t="shared" ref="L52:L104" si="26">IFERROR(K52/K$28,0)</f>
        <v>0</v>
      </c>
      <c r="M52" s="179">
        <v>0</v>
      </c>
      <c r="N52" s="80">
        <f t="shared" ref="N52:N104" si="27">IFERROR(M52/M$28,0)</f>
        <v>0</v>
      </c>
      <c r="O52" s="179">
        <v>0</v>
      </c>
      <c r="P52" s="80">
        <f t="shared" ref="P52:P104" si="28">IFERROR(O52/O$28,0)</f>
        <v>0</v>
      </c>
      <c r="Q52" s="179">
        <v>0</v>
      </c>
      <c r="R52" s="80">
        <f t="shared" ref="R52:R104" si="29">IFERROR(Q52/Q$28,0)</f>
        <v>0</v>
      </c>
      <c r="S52" s="179">
        <v>0</v>
      </c>
      <c r="T52" s="80">
        <f t="shared" ref="T52:T104" si="30">IFERROR(S52/S$28,0)</f>
        <v>0</v>
      </c>
      <c r="U52" s="179">
        <v>0</v>
      </c>
      <c r="V52" s="80">
        <f t="shared" ref="V52:V105" si="31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2"/>
        <v>0</v>
      </c>
      <c r="E53" s="179">
        <v>0</v>
      </c>
      <c r="F53" s="80">
        <f t="shared" si="23"/>
        <v>0</v>
      </c>
      <c r="G53" s="179">
        <v>0</v>
      </c>
      <c r="H53" s="80">
        <f t="shared" si="24"/>
        <v>0</v>
      </c>
      <c r="I53" s="179">
        <v>0</v>
      </c>
      <c r="J53" s="80">
        <f t="shared" si="25"/>
        <v>0</v>
      </c>
      <c r="K53" s="179">
        <v>0</v>
      </c>
      <c r="L53" s="80">
        <f t="shared" si="26"/>
        <v>0</v>
      </c>
      <c r="M53" s="179">
        <v>0</v>
      </c>
      <c r="N53" s="80">
        <f t="shared" si="27"/>
        <v>0</v>
      </c>
      <c r="O53" s="179">
        <v>0</v>
      </c>
      <c r="P53" s="80">
        <f t="shared" si="28"/>
        <v>0</v>
      </c>
      <c r="Q53" s="179">
        <v>0</v>
      </c>
      <c r="R53" s="80">
        <f t="shared" si="29"/>
        <v>0</v>
      </c>
      <c r="S53" s="179">
        <v>0</v>
      </c>
      <c r="T53" s="80">
        <f t="shared" si="30"/>
        <v>0</v>
      </c>
      <c r="U53" s="179">
        <v>0</v>
      </c>
      <c r="V53" s="80">
        <f t="shared" si="31"/>
        <v>0</v>
      </c>
      <c r="X53" s="200"/>
    </row>
    <row r="54" spans="1:24" ht="12.75" customHeight="1">
      <c r="A54" s="2" t="s">
        <v>385</v>
      </c>
      <c r="B54" s="35"/>
      <c r="C54" s="179">
        <v>527.47480800000005</v>
      </c>
      <c r="D54" s="80">
        <f t="shared" si="22"/>
        <v>7.000000000000001E-4</v>
      </c>
      <c r="E54" s="179">
        <v>577.5</v>
      </c>
      <c r="F54" s="80">
        <f t="shared" si="23"/>
        <v>6.9999999999999999E-4</v>
      </c>
      <c r="G54" s="179">
        <v>589.04999999999995</v>
      </c>
      <c r="H54" s="80">
        <f t="shared" si="24"/>
        <v>6.9999999999999999E-4</v>
      </c>
      <c r="I54" s="179">
        <v>600.83100000000002</v>
      </c>
      <c r="J54" s="80">
        <f t="shared" si="25"/>
        <v>6.9999999999999999E-4</v>
      </c>
      <c r="K54" s="179">
        <v>612.84762000000001</v>
      </c>
      <c r="L54" s="80">
        <f t="shared" si="26"/>
        <v>6.9999999999999988E-4</v>
      </c>
      <c r="M54" s="179">
        <v>625.10457240000005</v>
      </c>
      <c r="N54" s="80">
        <f t="shared" si="27"/>
        <v>6.9999999999999999E-4</v>
      </c>
      <c r="O54" s="179">
        <v>637.60666384800015</v>
      </c>
      <c r="P54" s="80">
        <f t="shared" si="28"/>
        <v>7.000000000000001E-4</v>
      </c>
      <c r="Q54" s="179">
        <v>650.35879712496001</v>
      </c>
      <c r="R54" s="80">
        <f t="shared" si="29"/>
        <v>6.9999999999999988E-4</v>
      </c>
      <c r="S54" s="179">
        <v>663.36597306745932</v>
      </c>
      <c r="T54" s="80">
        <f t="shared" si="30"/>
        <v>6.9999999999999999E-4</v>
      </c>
      <c r="U54" s="179">
        <v>676.63329252880851</v>
      </c>
      <c r="V54" s="80">
        <f t="shared" si="31"/>
        <v>6.9999999999999999E-4</v>
      </c>
      <c r="X54" s="200"/>
    </row>
    <row r="55" spans="1:24" ht="12.75" customHeight="1">
      <c r="A55" s="2" t="s">
        <v>386</v>
      </c>
      <c r="B55" s="35"/>
      <c r="C55" s="179">
        <v>37676.771999999997</v>
      </c>
      <c r="D55" s="80">
        <f t="shared" si="22"/>
        <v>0.05</v>
      </c>
      <c r="E55" s="179">
        <v>41250</v>
      </c>
      <c r="F55" s="80">
        <f t="shared" si="23"/>
        <v>0.05</v>
      </c>
      <c r="G55" s="179">
        <v>42075</v>
      </c>
      <c r="H55" s="80">
        <f t="shared" si="24"/>
        <v>0.05</v>
      </c>
      <c r="I55" s="179">
        <v>42916.5</v>
      </c>
      <c r="J55" s="80">
        <f t="shared" si="25"/>
        <v>0.05</v>
      </c>
      <c r="K55" s="179">
        <v>43774.830000000009</v>
      </c>
      <c r="L55" s="80">
        <f t="shared" si="26"/>
        <v>0.05</v>
      </c>
      <c r="M55" s="179">
        <v>44650.326600000008</v>
      </c>
      <c r="N55" s="80">
        <f t="shared" si="27"/>
        <v>0.05</v>
      </c>
      <c r="O55" s="179">
        <v>45543.333132000007</v>
      </c>
      <c r="P55" s="80">
        <f t="shared" si="28"/>
        <v>0.05</v>
      </c>
      <c r="Q55" s="179">
        <v>46454.199794640008</v>
      </c>
      <c r="R55" s="80">
        <f t="shared" si="29"/>
        <v>0.05</v>
      </c>
      <c r="S55" s="179">
        <v>47383.283790532812</v>
      </c>
      <c r="T55" s="80">
        <f t="shared" si="30"/>
        <v>0.05</v>
      </c>
      <c r="U55" s="179">
        <v>48330.949466343474</v>
      </c>
      <c r="V55" s="80">
        <f t="shared" si="31"/>
        <v>0.05</v>
      </c>
      <c r="X55" s="200"/>
    </row>
    <row r="56" spans="1:24" ht="12.75" customHeight="1">
      <c r="A56" s="2" t="s">
        <v>387</v>
      </c>
      <c r="B56" s="35"/>
      <c r="C56" s="179">
        <v>384.30307440000007</v>
      </c>
      <c r="D56" s="80">
        <f t="shared" si="22"/>
        <v>5.1000000000000015E-4</v>
      </c>
      <c r="E56" s="179">
        <v>420.75000000000006</v>
      </c>
      <c r="F56" s="80">
        <f t="shared" si="23"/>
        <v>5.1000000000000004E-4</v>
      </c>
      <c r="G56" s="179">
        <v>429.16499999999996</v>
      </c>
      <c r="H56" s="80">
        <f t="shared" si="24"/>
        <v>5.0999999999999993E-4</v>
      </c>
      <c r="I56" s="179">
        <v>437.74830000000009</v>
      </c>
      <c r="J56" s="80">
        <f t="shared" si="25"/>
        <v>5.1000000000000015E-4</v>
      </c>
      <c r="K56" s="179">
        <v>446.50326600000005</v>
      </c>
      <c r="L56" s="80">
        <f t="shared" si="26"/>
        <v>5.1000000000000004E-4</v>
      </c>
      <c r="M56" s="179">
        <v>455.43333132000009</v>
      </c>
      <c r="N56" s="80">
        <f t="shared" si="27"/>
        <v>5.1000000000000004E-4</v>
      </c>
      <c r="O56" s="179">
        <v>464.54199794640016</v>
      </c>
      <c r="P56" s="80">
        <f t="shared" si="28"/>
        <v>5.1000000000000015E-4</v>
      </c>
      <c r="Q56" s="179">
        <v>473.83283790532806</v>
      </c>
      <c r="R56" s="80">
        <f t="shared" si="29"/>
        <v>5.0999999999999993E-4</v>
      </c>
      <c r="S56" s="179">
        <v>483.30949466343469</v>
      </c>
      <c r="T56" s="80">
        <f t="shared" si="30"/>
        <v>5.1000000000000004E-4</v>
      </c>
      <c r="U56" s="179">
        <v>492.97568455670336</v>
      </c>
      <c r="V56" s="80">
        <f t="shared" si="31"/>
        <v>5.0999999999999993E-4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2"/>
        <v>0</v>
      </c>
      <c r="E57" s="179">
        <v>0</v>
      </c>
      <c r="F57" s="80">
        <f t="shared" si="23"/>
        <v>0</v>
      </c>
      <c r="G57" s="179">
        <v>0</v>
      </c>
      <c r="H57" s="80">
        <f t="shared" si="24"/>
        <v>0</v>
      </c>
      <c r="I57" s="179">
        <v>0</v>
      </c>
      <c r="J57" s="80">
        <f t="shared" si="25"/>
        <v>0</v>
      </c>
      <c r="K57" s="179">
        <v>0</v>
      </c>
      <c r="L57" s="80">
        <f t="shared" si="26"/>
        <v>0</v>
      </c>
      <c r="M57" s="179">
        <v>0</v>
      </c>
      <c r="N57" s="80">
        <f t="shared" si="27"/>
        <v>0</v>
      </c>
      <c r="O57" s="179">
        <v>0</v>
      </c>
      <c r="P57" s="80">
        <f t="shared" si="28"/>
        <v>0</v>
      </c>
      <c r="Q57" s="179">
        <v>0</v>
      </c>
      <c r="R57" s="80">
        <f t="shared" si="29"/>
        <v>0</v>
      </c>
      <c r="S57" s="179">
        <v>0</v>
      </c>
      <c r="T57" s="80">
        <f t="shared" si="30"/>
        <v>0</v>
      </c>
      <c r="U57" s="179">
        <v>0</v>
      </c>
      <c r="V57" s="80">
        <f t="shared" si="31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2"/>
        <v>0</v>
      </c>
      <c r="E58" s="179">
        <v>0</v>
      </c>
      <c r="F58" s="80">
        <f t="shared" si="23"/>
        <v>0</v>
      </c>
      <c r="G58" s="179">
        <v>0</v>
      </c>
      <c r="H58" s="80">
        <f t="shared" si="24"/>
        <v>0</v>
      </c>
      <c r="I58" s="179">
        <v>0</v>
      </c>
      <c r="J58" s="80">
        <f t="shared" si="25"/>
        <v>0</v>
      </c>
      <c r="K58" s="179">
        <v>0</v>
      </c>
      <c r="L58" s="80">
        <f t="shared" si="26"/>
        <v>0</v>
      </c>
      <c r="M58" s="179">
        <v>0</v>
      </c>
      <c r="N58" s="80">
        <f t="shared" si="27"/>
        <v>0</v>
      </c>
      <c r="O58" s="179">
        <v>0</v>
      </c>
      <c r="P58" s="80">
        <f t="shared" si="28"/>
        <v>0</v>
      </c>
      <c r="Q58" s="179">
        <v>0</v>
      </c>
      <c r="R58" s="80">
        <f t="shared" si="29"/>
        <v>0</v>
      </c>
      <c r="S58" s="179">
        <v>0</v>
      </c>
      <c r="T58" s="80">
        <f t="shared" si="30"/>
        <v>0</v>
      </c>
      <c r="U58" s="179">
        <v>0</v>
      </c>
      <c r="V58" s="80">
        <f t="shared" si="31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2"/>
        <v>0</v>
      </c>
      <c r="E59" s="179">
        <v>0</v>
      </c>
      <c r="F59" s="80">
        <f t="shared" si="23"/>
        <v>0</v>
      </c>
      <c r="G59" s="179">
        <v>0</v>
      </c>
      <c r="H59" s="80">
        <f t="shared" si="24"/>
        <v>0</v>
      </c>
      <c r="I59" s="179">
        <v>0</v>
      </c>
      <c r="J59" s="80">
        <f t="shared" si="25"/>
        <v>0</v>
      </c>
      <c r="K59" s="179">
        <v>0</v>
      </c>
      <c r="L59" s="80">
        <f t="shared" si="26"/>
        <v>0</v>
      </c>
      <c r="M59" s="179">
        <v>0</v>
      </c>
      <c r="N59" s="80">
        <f t="shared" si="27"/>
        <v>0</v>
      </c>
      <c r="O59" s="179">
        <v>0</v>
      </c>
      <c r="P59" s="80">
        <f t="shared" si="28"/>
        <v>0</v>
      </c>
      <c r="Q59" s="179">
        <v>0</v>
      </c>
      <c r="R59" s="80">
        <f t="shared" si="29"/>
        <v>0</v>
      </c>
      <c r="S59" s="179">
        <v>0</v>
      </c>
      <c r="T59" s="80">
        <f t="shared" si="30"/>
        <v>0</v>
      </c>
      <c r="U59" s="179">
        <v>0</v>
      </c>
      <c r="V59" s="80">
        <f t="shared" si="31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2"/>
        <v>0</v>
      </c>
      <c r="E60" s="179">
        <v>0</v>
      </c>
      <c r="F60" s="80">
        <f t="shared" si="23"/>
        <v>0</v>
      </c>
      <c r="G60" s="179">
        <v>0</v>
      </c>
      <c r="H60" s="80">
        <f t="shared" si="24"/>
        <v>0</v>
      </c>
      <c r="I60" s="179">
        <v>0</v>
      </c>
      <c r="J60" s="80">
        <f t="shared" si="25"/>
        <v>0</v>
      </c>
      <c r="K60" s="179">
        <v>0</v>
      </c>
      <c r="L60" s="80">
        <f t="shared" si="26"/>
        <v>0</v>
      </c>
      <c r="M60" s="179">
        <v>0</v>
      </c>
      <c r="N60" s="80">
        <f t="shared" si="27"/>
        <v>0</v>
      </c>
      <c r="O60" s="179">
        <v>0</v>
      </c>
      <c r="P60" s="80">
        <f t="shared" si="28"/>
        <v>0</v>
      </c>
      <c r="Q60" s="179">
        <v>0</v>
      </c>
      <c r="R60" s="80">
        <f t="shared" si="29"/>
        <v>0</v>
      </c>
      <c r="S60" s="179">
        <v>0</v>
      </c>
      <c r="T60" s="80">
        <f t="shared" si="30"/>
        <v>0</v>
      </c>
      <c r="U60" s="179">
        <v>0</v>
      </c>
      <c r="V60" s="80">
        <f t="shared" si="31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2"/>
        <v>0</v>
      </c>
      <c r="E61" s="179">
        <v>0</v>
      </c>
      <c r="F61" s="80">
        <f t="shared" si="23"/>
        <v>0</v>
      </c>
      <c r="G61" s="179">
        <v>0</v>
      </c>
      <c r="H61" s="80">
        <f t="shared" si="24"/>
        <v>0</v>
      </c>
      <c r="I61" s="179">
        <v>0</v>
      </c>
      <c r="J61" s="80">
        <f t="shared" si="25"/>
        <v>0</v>
      </c>
      <c r="K61" s="179">
        <v>0</v>
      </c>
      <c r="L61" s="80">
        <f t="shared" si="26"/>
        <v>0</v>
      </c>
      <c r="M61" s="179">
        <v>0</v>
      </c>
      <c r="N61" s="80">
        <f t="shared" si="27"/>
        <v>0</v>
      </c>
      <c r="O61" s="179">
        <v>0</v>
      </c>
      <c r="P61" s="80">
        <f t="shared" si="28"/>
        <v>0</v>
      </c>
      <c r="Q61" s="179">
        <v>0</v>
      </c>
      <c r="R61" s="80">
        <f t="shared" si="29"/>
        <v>0</v>
      </c>
      <c r="S61" s="179">
        <v>0</v>
      </c>
      <c r="T61" s="80">
        <f t="shared" si="30"/>
        <v>0</v>
      </c>
      <c r="U61" s="179">
        <v>0</v>
      </c>
      <c r="V61" s="80">
        <f t="shared" si="31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2"/>
        <v>0</v>
      </c>
      <c r="E62" s="179">
        <v>0</v>
      </c>
      <c r="F62" s="80">
        <f t="shared" si="23"/>
        <v>0</v>
      </c>
      <c r="G62" s="179">
        <v>0</v>
      </c>
      <c r="H62" s="80">
        <f t="shared" si="24"/>
        <v>0</v>
      </c>
      <c r="I62" s="179">
        <v>0</v>
      </c>
      <c r="J62" s="80">
        <f t="shared" si="25"/>
        <v>0</v>
      </c>
      <c r="K62" s="179">
        <v>0</v>
      </c>
      <c r="L62" s="80">
        <f t="shared" si="26"/>
        <v>0</v>
      </c>
      <c r="M62" s="179">
        <v>0</v>
      </c>
      <c r="N62" s="80">
        <f t="shared" si="27"/>
        <v>0</v>
      </c>
      <c r="O62" s="179">
        <v>0</v>
      </c>
      <c r="P62" s="80">
        <f t="shared" si="28"/>
        <v>0</v>
      </c>
      <c r="Q62" s="179">
        <v>0</v>
      </c>
      <c r="R62" s="80">
        <f t="shared" si="29"/>
        <v>0</v>
      </c>
      <c r="S62" s="179">
        <v>0</v>
      </c>
      <c r="T62" s="80">
        <f t="shared" si="30"/>
        <v>0</v>
      </c>
      <c r="U62" s="179">
        <v>0</v>
      </c>
      <c r="V62" s="80">
        <f t="shared" si="31"/>
        <v>0</v>
      </c>
      <c r="X62" s="200"/>
    </row>
    <row r="63" spans="1:24" ht="12.75" customHeight="1">
      <c r="A63" s="2" t="s">
        <v>394</v>
      </c>
      <c r="B63" s="35"/>
      <c r="C63" s="179">
        <v>10340.341509416323</v>
      </c>
      <c r="D63" s="80">
        <f t="shared" si="22"/>
        <v>1.3722435549171149E-2</v>
      </c>
      <c r="E63" s="179">
        <v>6399.7893744086205</v>
      </c>
      <c r="F63" s="80">
        <f t="shared" si="23"/>
        <v>7.7573204538286308E-3</v>
      </c>
      <c r="G63" s="179">
        <v>7491.491971536997</v>
      </c>
      <c r="H63" s="80">
        <f t="shared" si="24"/>
        <v>8.9025454207213271E-3</v>
      </c>
      <c r="I63" s="179">
        <v>7574.470546597373</v>
      </c>
      <c r="J63" s="80">
        <f t="shared" si="25"/>
        <v>8.8246601500557749E-3</v>
      </c>
      <c r="K63" s="179">
        <v>7636.9854457514848</v>
      </c>
      <c r="L63" s="80">
        <f t="shared" si="26"/>
        <v>8.723032671687685E-3</v>
      </c>
      <c r="M63" s="179">
        <v>7773.3511593907433</v>
      </c>
      <c r="N63" s="80">
        <f t="shared" si="27"/>
        <v>8.7046968648497435E-3</v>
      </c>
      <c r="O63" s="179">
        <v>7912.5890990604548</v>
      </c>
      <c r="P63" s="80">
        <f t="shared" si="28"/>
        <v>8.6868796758101698E-3</v>
      </c>
      <c r="Q63" s="179">
        <v>8054.4819756967181</v>
      </c>
      <c r="R63" s="80">
        <f t="shared" si="29"/>
        <v>8.669272112428102E-3</v>
      </c>
      <c r="S63" s="179">
        <v>8198.8144402750422</v>
      </c>
      <c r="T63" s="80">
        <f t="shared" si="30"/>
        <v>8.6515895315735451E-3</v>
      </c>
      <c r="U63" s="179">
        <v>8664.9212128934341</v>
      </c>
      <c r="V63" s="80">
        <f t="shared" si="31"/>
        <v>8.9641537240308933E-3</v>
      </c>
      <c r="X63" s="200"/>
    </row>
    <row r="64" spans="1:24" ht="12.75" customHeight="1">
      <c r="A64" s="2" t="s">
        <v>395</v>
      </c>
      <c r="B64" s="35"/>
      <c r="C64" s="179">
        <v>3616.9701119999995</v>
      </c>
      <c r="D64" s="80">
        <f t="shared" si="22"/>
        <v>4.7999999999999996E-3</v>
      </c>
      <c r="E64" s="179">
        <v>3959.9999999999995</v>
      </c>
      <c r="F64" s="80">
        <f t="shared" si="23"/>
        <v>4.7999999999999996E-3</v>
      </c>
      <c r="G64" s="179">
        <v>4039.1999999999994</v>
      </c>
      <c r="H64" s="80">
        <f t="shared" si="24"/>
        <v>4.7999999999999996E-3</v>
      </c>
      <c r="I64" s="179">
        <v>4119.9840000000004</v>
      </c>
      <c r="J64" s="80">
        <f t="shared" si="25"/>
        <v>4.8000000000000004E-3</v>
      </c>
      <c r="K64" s="179">
        <v>4202.383679999999</v>
      </c>
      <c r="L64" s="80">
        <f t="shared" si="26"/>
        <v>4.7999999999999987E-3</v>
      </c>
      <c r="M64" s="179">
        <v>4286.4313536</v>
      </c>
      <c r="N64" s="80">
        <f t="shared" si="27"/>
        <v>4.7999999999999996E-3</v>
      </c>
      <c r="O64" s="179">
        <v>4372.1599806720005</v>
      </c>
      <c r="P64" s="80">
        <f t="shared" si="28"/>
        <v>4.7999999999999996E-3</v>
      </c>
      <c r="Q64" s="179">
        <v>4459.6031802854395</v>
      </c>
      <c r="R64" s="80">
        <f t="shared" si="29"/>
        <v>4.7999999999999987E-3</v>
      </c>
      <c r="S64" s="179">
        <v>4548.7952438911498</v>
      </c>
      <c r="T64" s="80">
        <f t="shared" si="30"/>
        <v>4.8000000000000004E-3</v>
      </c>
      <c r="U64" s="179">
        <v>4639.7711487689721</v>
      </c>
      <c r="V64" s="80">
        <f t="shared" si="31"/>
        <v>4.7999999999999987E-3</v>
      </c>
      <c r="X64" s="200"/>
    </row>
    <row r="65" spans="1:24" ht="12.75" customHeight="1">
      <c r="A65" s="2" t="s">
        <v>396</v>
      </c>
      <c r="B65" s="35"/>
      <c r="C65" s="179">
        <v>376.76772</v>
      </c>
      <c r="D65" s="80">
        <f t="shared" si="22"/>
        <v>5.0000000000000001E-4</v>
      </c>
      <c r="E65" s="179">
        <v>412.5</v>
      </c>
      <c r="F65" s="80">
        <f t="shared" si="23"/>
        <v>5.0000000000000001E-4</v>
      </c>
      <c r="G65" s="179">
        <v>420.75</v>
      </c>
      <c r="H65" s="80">
        <f t="shared" si="24"/>
        <v>5.0000000000000001E-4</v>
      </c>
      <c r="I65" s="179">
        <v>429.16500000000008</v>
      </c>
      <c r="J65" s="80">
        <f t="shared" si="25"/>
        <v>5.0000000000000012E-4</v>
      </c>
      <c r="K65" s="179">
        <v>437.74830000000003</v>
      </c>
      <c r="L65" s="80">
        <f t="shared" si="26"/>
        <v>5.0000000000000001E-4</v>
      </c>
      <c r="M65" s="179">
        <v>446.50326600000011</v>
      </c>
      <c r="N65" s="80">
        <f t="shared" si="27"/>
        <v>5.0000000000000001E-4</v>
      </c>
      <c r="O65" s="179">
        <v>455.43333132000009</v>
      </c>
      <c r="P65" s="80">
        <f t="shared" si="28"/>
        <v>5.0000000000000001E-4</v>
      </c>
      <c r="Q65" s="179">
        <v>464.54199794640004</v>
      </c>
      <c r="R65" s="80">
        <f t="shared" si="29"/>
        <v>5.0000000000000001E-4</v>
      </c>
      <c r="S65" s="179">
        <v>473.83283790532812</v>
      </c>
      <c r="T65" s="80">
        <f t="shared" si="30"/>
        <v>5.0000000000000001E-4</v>
      </c>
      <c r="U65" s="179">
        <v>483.30949466343463</v>
      </c>
      <c r="V65" s="80">
        <f t="shared" si="31"/>
        <v>4.999999999999999E-4</v>
      </c>
      <c r="X65" s="200"/>
    </row>
    <row r="66" spans="1:24" ht="12.75" customHeight="1">
      <c r="A66" s="2" t="s">
        <v>397</v>
      </c>
      <c r="B66" s="35"/>
      <c r="C66" s="179">
        <v>2109.8992320000002</v>
      </c>
      <c r="D66" s="80">
        <f t="shared" si="22"/>
        <v>2.8000000000000004E-3</v>
      </c>
      <c r="E66" s="179">
        <v>2310</v>
      </c>
      <c r="F66" s="80">
        <f t="shared" si="23"/>
        <v>2.8E-3</v>
      </c>
      <c r="G66" s="179">
        <v>2356.1999999999998</v>
      </c>
      <c r="H66" s="80">
        <f t="shared" si="24"/>
        <v>2.8E-3</v>
      </c>
      <c r="I66" s="179">
        <v>2403.3240000000001</v>
      </c>
      <c r="J66" s="80">
        <f t="shared" si="25"/>
        <v>2.8E-3</v>
      </c>
      <c r="K66" s="179">
        <v>2451.39048</v>
      </c>
      <c r="L66" s="80">
        <f t="shared" si="26"/>
        <v>2.7999999999999995E-3</v>
      </c>
      <c r="M66" s="179">
        <v>2500.4182896000002</v>
      </c>
      <c r="N66" s="80">
        <f t="shared" si="27"/>
        <v>2.8E-3</v>
      </c>
      <c r="O66" s="179">
        <v>2550.4266553920006</v>
      </c>
      <c r="P66" s="80">
        <f t="shared" si="28"/>
        <v>2.8000000000000004E-3</v>
      </c>
      <c r="Q66" s="179">
        <v>2601.43518849984</v>
      </c>
      <c r="R66" s="80">
        <f t="shared" si="29"/>
        <v>2.7999999999999995E-3</v>
      </c>
      <c r="S66" s="179">
        <v>2653.4638922698373</v>
      </c>
      <c r="T66" s="80">
        <f t="shared" si="30"/>
        <v>2.8E-3</v>
      </c>
      <c r="U66" s="179">
        <v>2706.533170115234</v>
      </c>
      <c r="V66" s="80">
        <f t="shared" si="31"/>
        <v>2.8E-3</v>
      </c>
      <c r="X66" s="200"/>
    </row>
    <row r="67" spans="1:24" ht="12.75" customHeight="1">
      <c r="A67" s="2" t="s">
        <v>398</v>
      </c>
      <c r="B67" s="35"/>
      <c r="C67" s="179">
        <v>11303.0316</v>
      </c>
      <c r="D67" s="80">
        <f t="shared" si="22"/>
        <v>1.5000000000000001E-2</v>
      </c>
      <c r="E67" s="179">
        <v>12375</v>
      </c>
      <c r="F67" s="80">
        <f t="shared" si="23"/>
        <v>1.4999999999999999E-2</v>
      </c>
      <c r="G67" s="179">
        <v>12622.499999999998</v>
      </c>
      <c r="H67" s="80">
        <f t="shared" si="24"/>
        <v>1.4999999999999998E-2</v>
      </c>
      <c r="I67" s="179">
        <v>12874.95</v>
      </c>
      <c r="J67" s="80">
        <f t="shared" si="25"/>
        <v>1.5000000000000001E-2</v>
      </c>
      <c r="K67" s="179">
        <v>13132.449000000001</v>
      </c>
      <c r="L67" s="80">
        <f t="shared" si="26"/>
        <v>1.4999999999999999E-2</v>
      </c>
      <c r="M67" s="179">
        <v>13395.097980000002</v>
      </c>
      <c r="N67" s="80">
        <f t="shared" si="27"/>
        <v>1.5000000000000001E-2</v>
      </c>
      <c r="O67" s="179">
        <v>13662.999939600002</v>
      </c>
      <c r="P67" s="80">
        <f t="shared" si="28"/>
        <v>1.5000000000000001E-2</v>
      </c>
      <c r="Q67" s="179">
        <v>13936.259938392001</v>
      </c>
      <c r="R67" s="80">
        <f t="shared" si="29"/>
        <v>1.4999999999999998E-2</v>
      </c>
      <c r="S67" s="179">
        <v>14214.985137159843</v>
      </c>
      <c r="T67" s="80">
        <f t="shared" si="30"/>
        <v>1.5000000000000001E-2</v>
      </c>
      <c r="U67" s="179">
        <v>14499.284839903039</v>
      </c>
      <c r="V67" s="80">
        <f t="shared" si="31"/>
        <v>1.4999999999999998E-2</v>
      </c>
      <c r="X67" s="200"/>
    </row>
    <row r="68" spans="1:24" ht="12.75" customHeight="1">
      <c r="A68" s="2" t="s">
        <v>399</v>
      </c>
      <c r="B68" s="35"/>
      <c r="C68" s="179">
        <v>1281.010248</v>
      </c>
      <c r="D68" s="80">
        <f t="shared" si="22"/>
        <v>1.7000000000000001E-3</v>
      </c>
      <c r="E68" s="179">
        <v>1402.5</v>
      </c>
      <c r="F68" s="80">
        <f t="shared" si="23"/>
        <v>1.6999999999999999E-3</v>
      </c>
      <c r="G68" s="179">
        <v>1430.55</v>
      </c>
      <c r="H68" s="80">
        <f t="shared" si="24"/>
        <v>1.6999999999999999E-3</v>
      </c>
      <c r="I68" s="179">
        <v>1459.1610000000003</v>
      </c>
      <c r="J68" s="80">
        <f t="shared" si="25"/>
        <v>1.7000000000000003E-3</v>
      </c>
      <c r="K68" s="179">
        <v>1488.34422</v>
      </c>
      <c r="L68" s="80">
        <f t="shared" si="26"/>
        <v>1.6999999999999997E-3</v>
      </c>
      <c r="M68" s="179">
        <v>1518.1111044000002</v>
      </c>
      <c r="N68" s="80">
        <f t="shared" si="27"/>
        <v>1.6999999999999999E-3</v>
      </c>
      <c r="O68" s="179">
        <v>1548.4733264880003</v>
      </c>
      <c r="P68" s="80">
        <f t="shared" si="28"/>
        <v>1.7000000000000001E-3</v>
      </c>
      <c r="Q68" s="179">
        <v>1579.4427930177601</v>
      </c>
      <c r="R68" s="80">
        <f t="shared" si="29"/>
        <v>1.6999999999999999E-3</v>
      </c>
      <c r="S68" s="179">
        <v>1611.0316488781154</v>
      </c>
      <c r="T68" s="80">
        <f t="shared" si="30"/>
        <v>1.6999999999999999E-3</v>
      </c>
      <c r="U68" s="179">
        <v>1643.2522818556777</v>
      </c>
      <c r="V68" s="80">
        <f t="shared" si="31"/>
        <v>1.6999999999999997E-3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2"/>
        <v>0</v>
      </c>
      <c r="E69" s="179">
        <v>0</v>
      </c>
      <c r="F69" s="80">
        <f t="shared" si="23"/>
        <v>0</v>
      </c>
      <c r="G69" s="179">
        <v>0</v>
      </c>
      <c r="H69" s="80">
        <f t="shared" si="24"/>
        <v>0</v>
      </c>
      <c r="I69" s="179">
        <v>0</v>
      </c>
      <c r="J69" s="80">
        <f t="shared" si="25"/>
        <v>0</v>
      </c>
      <c r="K69" s="179">
        <v>0</v>
      </c>
      <c r="L69" s="80">
        <f t="shared" si="26"/>
        <v>0</v>
      </c>
      <c r="M69" s="179">
        <v>0</v>
      </c>
      <c r="N69" s="80">
        <f t="shared" si="27"/>
        <v>0</v>
      </c>
      <c r="O69" s="179">
        <v>0</v>
      </c>
      <c r="P69" s="80">
        <f t="shared" si="28"/>
        <v>0</v>
      </c>
      <c r="Q69" s="179">
        <v>0</v>
      </c>
      <c r="R69" s="80">
        <f t="shared" si="29"/>
        <v>0</v>
      </c>
      <c r="S69" s="179">
        <v>0</v>
      </c>
      <c r="T69" s="80">
        <f t="shared" si="30"/>
        <v>0</v>
      </c>
      <c r="U69" s="179">
        <v>0</v>
      </c>
      <c r="V69" s="80">
        <f t="shared" si="31"/>
        <v>0</v>
      </c>
      <c r="X69" s="200"/>
    </row>
    <row r="70" spans="1:24" ht="12.75" customHeight="1">
      <c r="A70" s="2" t="s">
        <v>401</v>
      </c>
      <c r="B70" s="35"/>
      <c r="C70" s="179">
        <v>75.353544000000014</v>
      </c>
      <c r="D70" s="80">
        <f t="shared" si="22"/>
        <v>1.0000000000000003E-4</v>
      </c>
      <c r="E70" s="179">
        <v>82.5</v>
      </c>
      <c r="F70" s="80">
        <f t="shared" si="23"/>
        <v>1E-4</v>
      </c>
      <c r="G70" s="179">
        <v>84.149999999999991</v>
      </c>
      <c r="H70" s="80">
        <f t="shared" si="24"/>
        <v>9.9999999999999991E-5</v>
      </c>
      <c r="I70" s="179">
        <v>85.833000000000013</v>
      </c>
      <c r="J70" s="80">
        <f t="shared" si="25"/>
        <v>1.0000000000000002E-4</v>
      </c>
      <c r="K70" s="179">
        <v>87.549660000000003</v>
      </c>
      <c r="L70" s="80">
        <f t="shared" si="26"/>
        <v>9.9999999999999991E-5</v>
      </c>
      <c r="M70" s="179">
        <v>89.300653200000013</v>
      </c>
      <c r="N70" s="80">
        <f t="shared" si="27"/>
        <v>1E-4</v>
      </c>
      <c r="O70" s="179">
        <v>91.08666626400003</v>
      </c>
      <c r="P70" s="80">
        <f t="shared" si="28"/>
        <v>1.0000000000000002E-4</v>
      </c>
      <c r="Q70" s="179">
        <v>92.908399589280009</v>
      </c>
      <c r="R70" s="80">
        <f t="shared" si="29"/>
        <v>9.9999999999999991E-5</v>
      </c>
      <c r="S70" s="179">
        <v>94.76656758106563</v>
      </c>
      <c r="T70" s="80">
        <f t="shared" si="30"/>
        <v>1.0000000000000002E-4</v>
      </c>
      <c r="U70" s="179">
        <v>96.661898932686938</v>
      </c>
      <c r="V70" s="80">
        <f t="shared" si="31"/>
        <v>1E-4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2"/>
        <v>0</v>
      </c>
      <c r="E71" s="179">
        <v>0</v>
      </c>
      <c r="F71" s="80">
        <f t="shared" si="23"/>
        <v>0</v>
      </c>
      <c r="G71" s="179">
        <v>0</v>
      </c>
      <c r="H71" s="80">
        <f t="shared" si="24"/>
        <v>0</v>
      </c>
      <c r="I71" s="179">
        <v>0</v>
      </c>
      <c r="J71" s="80">
        <f t="shared" si="25"/>
        <v>0</v>
      </c>
      <c r="K71" s="179">
        <v>0</v>
      </c>
      <c r="L71" s="80">
        <f t="shared" si="26"/>
        <v>0</v>
      </c>
      <c r="M71" s="179">
        <v>0</v>
      </c>
      <c r="N71" s="80">
        <f t="shared" si="27"/>
        <v>0</v>
      </c>
      <c r="O71" s="179">
        <v>0</v>
      </c>
      <c r="P71" s="80">
        <f t="shared" si="28"/>
        <v>0</v>
      </c>
      <c r="Q71" s="179">
        <v>0</v>
      </c>
      <c r="R71" s="80">
        <f t="shared" si="29"/>
        <v>0</v>
      </c>
      <c r="S71" s="179">
        <v>0</v>
      </c>
      <c r="T71" s="80">
        <f t="shared" si="30"/>
        <v>0</v>
      </c>
      <c r="U71" s="179">
        <v>0</v>
      </c>
      <c r="V71" s="80">
        <f t="shared" si="31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2"/>
        <v>0</v>
      </c>
      <c r="E72" s="179">
        <v>0</v>
      </c>
      <c r="F72" s="80">
        <f t="shared" si="23"/>
        <v>0</v>
      </c>
      <c r="G72" s="179">
        <v>0</v>
      </c>
      <c r="H72" s="80">
        <f t="shared" si="24"/>
        <v>0</v>
      </c>
      <c r="I72" s="179">
        <v>0</v>
      </c>
      <c r="J72" s="80">
        <f t="shared" si="25"/>
        <v>0</v>
      </c>
      <c r="K72" s="179">
        <v>0</v>
      </c>
      <c r="L72" s="80">
        <f t="shared" si="26"/>
        <v>0</v>
      </c>
      <c r="M72" s="179">
        <v>0</v>
      </c>
      <c r="N72" s="80">
        <f t="shared" si="27"/>
        <v>0</v>
      </c>
      <c r="O72" s="179">
        <v>0</v>
      </c>
      <c r="P72" s="80">
        <f t="shared" si="28"/>
        <v>0</v>
      </c>
      <c r="Q72" s="179">
        <v>0</v>
      </c>
      <c r="R72" s="80">
        <f t="shared" si="29"/>
        <v>0</v>
      </c>
      <c r="S72" s="179">
        <v>0</v>
      </c>
      <c r="T72" s="80">
        <f t="shared" si="30"/>
        <v>0</v>
      </c>
      <c r="U72" s="179">
        <v>0</v>
      </c>
      <c r="V72" s="80">
        <f t="shared" si="31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2"/>
        <v>0</v>
      </c>
      <c r="E73" s="179">
        <v>0</v>
      </c>
      <c r="F73" s="80">
        <f t="shared" si="23"/>
        <v>0</v>
      </c>
      <c r="G73" s="179">
        <v>0</v>
      </c>
      <c r="H73" s="80">
        <f t="shared" si="24"/>
        <v>0</v>
      </c>
      <c r="I73" s="179">
        <v>0</v>
      </c>
      <c r="J73" s="80">
        <f t="shared" si="25"/>
        <v>0</v>
      </c>
      <c r="K73" s="179">
        <v>0</v>
      </c>
      <c r="L73" s="80">
        <f t="shared" si="26"/>
        <v>0</v>
      </c>
      <c r="M73" s="179">
        <v>0</v>
      </c>
      <c r="N73" s="80">
        <f t="shared" si="27"/>
        <v>0</v>
      </c>
      <c r="O73" s="179">
        <v>0</v>
      </c>
      <c r="P73" s="80">
        <f t="shared" si="28"/>
        <v>0</v>
      </c>
      <c r="Q73" s="179">
        <v>0</v>
      </c>
      <c r="R73" s="80">
        <f t="shared" si="29"/>
        <v>0</v>
      </c>
      <c r="S73" s="179">
        <v>0</v>
      </c>
      <c r="T73" s="80">
        <f t="shared" si="30"/>
        <v>0</v>
      </c>
      <c r="U73" s="179">
        <v>0</v>
      </c>
      <c r="V73" s="80">
        <f t="shared" si="31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2"/>
        <v>0</v>
      </c>
      <c r="E74" s="179">
        <v>0</v>
      </c>
      <c r="F74" s="80">
        <f t="shared" si="23"/>
        <v>0</v>
      </c>
      <c r="G74" s="179">
        <v>0</v>
      </c>
      <c r="H74" s="80">
        <f t="shared" si="24"/>
        <v>0</v>
      </c>
      <c r="I74" s="179">
        <v>0</v>
      </c>
      <c r="J74" s="80">
        <f t="shared" si="25"/>
        <v>0</v>
      </c>
      <c r="K74" s="179">
        <v>0</v>
      </c>
      <c r="L74" s="80">
        <f t="shared" si="26"/>
        <v>0</v>
      </c>
      <c r="M74" s="179">
        <v>0</v>
      </c>
      <c r="N74" s="80">
        <f t="shared" si="27"/>
        <v>0</v>
      </c>
      <c r="O74" s="179">
        <v>0</v>
      </c>
      <c r="P74" s="80">
        <f t="shared" si="28"/>
        <v>0</v>
      </c>
      <c r="Q74" s="179">
        <v>0</v>
      </c>
      <c r="R74" s="80">
        <f t="shared" si="29"/>
        <v>0</v>
      </c>
      <c r="S74" s="179">
        <v>0</v>
      </c>
      <c r="T74" s="80">
        <f t="shared" si="30"/>
        <v>0</v>
      </c>
      <c r="U74" s="179">
        <v>0</v>
      </c>
      <c r="V74" s="80">
        <f t="shared" si="31"/>
        <v>0</v>
      </c>
      <c r="X74" s="200"/>
    </row>
    <row r="75" spans="1:24" ht="12.75" customHeight="1">
      <c r="A75" s="2" t="s">
        <v>406</v>
      </c>
      <c r="B75" s="35"/>
      <c r="C75" s="179">
        <v>3767.6772000000001</v>
      </c>
      <c r="D75" s="80">
        <f t="shared" si="22"/>
        <v>5.0000000000000001E-3</v>
      </c>
      <c r="E75" s="179">
        <v>4125</v>
      </c>
      <c r="F75" s="80">
        <f t="shared" si="23"/>
        <v>5.0000000000000001E-3</v>
      </c>
      <c r="G75" s="179">
        <v>4207.5</v>
      </c>
      <c r="H75" s="80">
        <f t="shared" si="24"/>
        <v>5.0000000000000001E-3</v>
      </c>
      <c r="I75" s="179">
        <v>4291.6500000000005</v>
      </c>
      <c r="J75" s="80">
        <f t="shared" si="25"/>
        <v>5.000000000000001E-3</v>
      </c>
      <c r="K75" s="179">
        <v>4377.4830000000002</v>
      </c>
      <c r="L75" s="80">
        <f t="shared" si="26"/>
        <v>4.9999999999999992E-3</v>
      </c>
      <c r="M75" s="179">
        <v>4465.0326600000008</v>
      </c>
      <c r="N75" s="80">
        <f t="shared" si="27"/>
        <v>5.0000000000000001E-3</v>
      </c>
      <c r="O75" s="179">
        <v>4554.3333132000016</v>
      </c>
      <c r="P75" s="80">
        <f t="shared" si="28"/>
        <v>5.000000000000001E-3</v>
      </c>
      <c r="Q75" s="179">
        <v>4645.4199794640008</v>
      </c>
      <c r="R75" s="80">
        <f t="shared" si="29"/>
        <v>5.0000000000000001E-3</v>
      </c>
      <c r="S75" s="179">
        <v>4738.3283790532814</v>
      </c>
      <c r="T75" s="80">
        <f t="shared" si="30"/>
        <v>5.000000000000001E-3</v>
      </c>
      <c r="U75" s="179">
        <v>4833.0949466343463</v>
      </c>
      <c r="V75" s="80">
        <f t="shared" si="31"/>
        <v>4.9999999999999992E-3</v>
      </c>
      <c r="X75" s="200"/>
    </row>
    <row r="76" spans="1:24" ht="12.75" customHeight="1">
      <c r="A76" s="2" t="s">
        <v>407</v>
      </c>
      <c r="B76" s="35"/>
      <c r="C76" s="179">
        <v>301.41417600000005</v>
      </c>
      <c r="D76" s="80">
        <f t="shared" si="22"/>
        <v>4.0000000000000013E-4</v>
      </c>
      <c r="E76" s="179">
        <v>330</v>
      </c>
      <c r="F76" s="80">
        <f t="shared" si="23"/>
        <v>4.0000000000000002E-4</v>
      </c>
      <c r="G76" s="179">
        <v>336.59999999999997</v>
      </c>
      <c r="H76" s="80">
        <f t="shared" si="24"/>
        <v>3.9999999999999996E-4</v>
      </c>
      <c r="I76" s="179">
        <v>343.33200000000005</v>
      </c>
      <c r="J76" s="80">
        <f t="shared" si="25"/>
        <v>4.0000000000000007E-4</v>
      </c>
      <c r="K76" s="179">
        <v>350.19864000000001</v>
      </c>
      <c r="L76" s="80">
        <f t="shared" si="26"/>
        <v>3.9999999999999996E-4</v>
      </c>
      <c r="M76" s="179">
        <v>357.20261280000005</v>
      </c>
      <c r="N76" s="80">
        <f t="shared" si="27"/>
        <v>4.0000000000000002E-4</v>
      </c>
      <c r="O76" s="179">
        <v>364.34666505600012</v>
      </c>
      <c r="P76" s="80">
        <f t="shared" si="28"/>
        <v>4.0000000000000007E-4</v>
      </c>
      <c r="Q76" s="179">
        <v>371.63359835712004</v>
      </c>
      <c r="R76" s="80">
        <f t="shared" si="29"/>
        <v>3.9999999999999996E-4</v>
      </c>
      <c r="S76" s="179">
        <v>379.06627032426252</v>
      </c>
      <c r="T76" s="80">
        <f t="shared" si="30"/>
        <v>4.0000000000000007E-4</v>
      </c>
      <c r="U76" s="179">
        <v>386.64759573074775</v>
      </c>
      <c r="V76" s="80">
        <f t="shared" si="31"/>
        <v>4.0000000000000002E-4</v>
      </c>
      <c r="X76" s="200"/>
    </row>
    <row r="77" spans="1:24" ht="12.75" customHeight="1">
      <c r="A77" s="2" t="s">
        <v>408</v>
      </c>
      <c r="B77" s="35"/>
      <c r="C77" s="179">
        <v>979.59607199999994</v>
      </c>
      <c r="D77" s="80">
        <f t="shared" si="22"/>
        <v>1.2999999999999999E-3</v>
      </c>
      <c r="E77" s="179">
        <v>1072.5</v>
      </c>
      <c r="F77" s="80">
        <f t="shared" si="23"/>
        <v>1.2999999999999999E-3</v>
      </c>
      <c r="G77" s="179">
        <v>1093.9499999999998</v>
      </c>
      <c r="H77" s="80">
        <f t="shared" si="24"/>
        <v>1.2999999999999997E-3</v>
      </c>
      <c r="I77" s="179">
        <v>1115.8290000000002</v>
      </c>
      <c r="J77" s="80">
        <f t="shared" si="25"/>
        <v>1.3000000000000002E-3</v>
      </c>
      <c r="K77" s="179">
        <v>1138.1455799999999</v>
      </c>
      <c r="L77" s="80">
        <f t="shared" si="26"/>
        <v>1.2999999999999997E-3</v>
      </c>
      <c r="M77" s="179">
        <v>1160.9084916000002</v>
      </c>
      <c r="N77" s="80">
        <f t="shared" si="27"/>
        <v>1.2999999999999999E-3</v>
      </c>
      <c r="O77" s="179">
        <v>1184.1266614320002</v>
      </c>
      <c r="P77" s="80">
        <f t="shared" si="28"/>
        <v>1.3000000000000002E-3</v>
      </c>
      <c r="Q77" s="179">
        <v>1207.8091946606401</v>
      </c>
      <c r="R77" s="80">
        <f t="shared" si="29"/>
        <v>1.2999999999999999E-3</v>
      </c>
      <c r="S77" s="179">
        <v>1231.965378553853</v>
      </c>
      <c r="T77" s="80">
        <f t="shared" si="30"/>
        <v>1.2999999999999999E-3</v>
      </c>
      <c r="U77" s="179">
        <v>1256.6046861249301</v>
      </c>
      <c r="V77" s="80">
        <f t="shared" si="31"/>
        <v>1.2999999999999999E-3</v>
      </c>
      <c r="X77" s="200"/>
    </row>
    <row r="78" spans="1:24" ht="12.75" customHeight="1">
      <c r="A78" s="2" t="s">
        <v>409</v>
      </c>
      <c r="B78" s="35"/>
      <c r="C78" s="179">
        <v>16577.77968</v>
      </c>
      <c r="D78" s="80">
        <f t="shared" si="22"/>
        <v>2.2000000000000002E-2</v>
      </c>
      <c r="E78" s="179">
        <v>18150</v>
      </c>
      <c r="F78" s="80">
        <f t="shared" si="23"/>
        <v>2.1999999999999999E-2</v>
      </c>
      <c r="G78" s="179">
        <v>18512.999999999996</v>
      </c>
      <c r="H78" s="80">
        <f t="shared" si="24"/>
        <v>2.1999999999999995E-2</v>
      </c>
      <c r="I78" s="179">
        <v>18883.259999999998</v>
      </c>
      <c r="J78" s="80">
        <f t="shared" si="25"/>
        <v>2.1999999999999999E-2</v>
      </c>
      <c r="K78" s="179">
        <v>19260.925199999998</v>
      </c>
      <c r="L78" s="80">
        <f t="shared" si="26"/>
        <v>2.1999999999999995E-2</v>
      </c>
      <c r="M78" s="179">
        <v>19646.143704000002</v>
      </c>
      <c r="N78" s="80">
        <f t="shared" si="27"/>
        <v>2.1999999999999999E-2</v>
      </c>
      <c r="O78" s="179">
        <v>20039.066578080005</v>
      </c>
      <c r="P78" s="80">
        <f t="shared" si="28"/>
        <v>2.2000000000000002E-2</v>
      </c>
      <c r="Q78" s="179">
        <v>20439.847909641598</v>
      </c>
      <c r="R78" s="80">
        <f t="shared" si="29"/>
        <v>2.1999999999999995E-2</v>
      </c>
      <c r="S78" s="179">
        <v>20848.644867834435</v>
      </c>
      <c r="T78" s="80">
        <f t="shared" si="30"/>
        <v>2.1999999999999999E-2</v>
      </c>
      <c r="U78" s="179">
        <v>21265.617765191124</v>
      </c>
      <c r="V78" s="80">
        <f t="shared" si="31"/>
        <v>2.1999999999999999E-2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2"/>
        <v>0</v>
      </c>
      <c r="E79" s="179">
        <v>0</v>
      </c>
      <c r="F79" s="80">
        <f t="shared" si="23"/>
        <v>0</v>
      </c>
      <c r="G79" s="179">
        <v>0</v>
      </c>
      <c r="H79" s="80">
        <f t="shared" si="24"/>
        <v>0</v>
      </c>
      <c r="I79" s="179">
        <v>0</v>
      </c>
      <c r="J79" s="80">
        <f t="shared" si="25"/>
        <v>0</v>
      </c>
      <c r="K79" s="179">
        <v>0</v>
      </c>
      <c r="L79" s="80">
        <f t="shared" si="26"/>
        <v>0</v>
      </c>
      <c r="M79" s="179">
        <v>0</v>
      </c>
      <c r="N79" s="80">
        <f t="shared" si="27"/>
        <v>0</v>
      </c>
      <c r="O79" s="179">
        <v>0</v>
      </c>
      <c r="P79" s="80">
        <f t="shared" si="28"/>
        <v>0</v>
      </c>
      <c r="Q79" s="179">
        <v>0</v>
      </c>
      <c r="R79" s="80">
        <f t="shared" si="29"/>
        <v>0</v>
      </c>
      <c r="S79" s="179">
        <v>0</v>
      </c>
      <c r="T79" s="80">
        <f t="shared" si="30"/>
        <v>0</v>
      </c>
      <c r="U79" s="179">
        <v>0</v>
      </c>
      <c r="V79" s="80">
        <f t="shared" si="31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2"/>
        <v>0</v>
      </c>
      <c r="E80" s="179">
        <v>0</v>
      </c>
      <c r="F80" s="80">
        <f t="shared" si="23"/>
        <v>0</v>
      </c>
      <c r="G80" s="179">
        <v>0</v>
      </c>
      <c r="H80" s="80">
        <f t="shared" si="24"/>
        <v>0</v>
      </c>
      <c r="I80" s="179">
        <v>0</v>
      </c>
      <c r="J80" s="80">
        <f t="shared" si="25"/>
        <v>0</v>
      </c>
      <c r="K80" s="179">
        <v>0</v>
      </c>
      <c r="L80" s="80">
        <f t="shared" si="26"/>
        <v>0</v>
      </c>
      <c r="M80" s="179">
        <v>0</v>
      </c>
      <c r="N80" s="80">
        <f t="shared" si="27"/>
        <v>0</v>
      </c>
      <c r="O80" s="179">
        <v>0</v>
      </c>
      <c r="P80" s="80">
        <f t="shared" si="28"/>
        <v>0</v>
      </c>
      <c r="Q80" s="179">
        <v>0</v>
      </c>
      <c r="R80" s="80">
        <f t="shared" si="29"/>
        <v>0</v>
      </c>
      <c r="S80" s="179">
        <v>0</v>
      </c>
      <c r="T80" s="80">
        <f t="shared" si="30"/>
        <v>0</v>
      </c>
      <c r="U80" s="179">
        <v>0</v>
      </c>
      <c r="V80" s="80">
        <f t="shared" si="31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2"/>
        <v>0</v>
      </c>
      <c r="E81" s="179">
        <v>0</v>
      </c>
      <c r="F81" s="80">
        <f t="shared" si="23"/>
        <v>0</v>
      </c>
      <c r="G81" s="179">
        <v>0</v>
      </c>
      <c r="H81" s="80">
        <f t="shared" si="24"/>
        <v>0</v>
      </c>
      <c r="I81" s="179">
        <v>0</v>
      </c>
      <c r="J81" s="80">
        <f t="shared" si="25"/>
        <v>0</v>
      </c>
      <c r="K81" s="179">
        <v>0</v>
      </c>
      <c r="L81" s="80">
        <f t="shared" si="26"/>
        <v>0</v>
      </c>
      <c r="M81" s="179">
        <v>0</v>
      </c>
      <c r="N81" s="80">
        <f t="shared" si="27"/>
        <v>0</v>
      </c>
      <c r="O81" s="179">
        <v>0</v>
      </c>
      <c r="P81" s="80">
        <f t="shared" si="28"/>
        <v>0</v>
      </c>
      <c r="Q81" s="179">
        <v>0</v>
      </c>
      <c r="R81" s="80">
        <f t="shared" si="29"/>
        <v>0</v>
      </c>
      <c r="S81" s="179">
        <v>0</v>
      </c>
      <c r="T81" s="80">
        <f t="shared" si="30"/>
        <v>0</v>
      </c>
      <c r="U81" s="179">
        <v>0</v>
      </c>
      <c r="V81" s="80">
        <f t="shared" si="31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2"/>
        <v>0</v>
      </c>
      <c r="E82" s="179">
        <v>0</v>
      </c>
      <c r="F82" s="80">
        <f t="shared" si="23"/>
        <v>0</v>
      </c>
      <c r="G82" s="179">
        <v>0</v>
      </c>
      <c r="H82" s="80">
        <f t="shared" si="24"/>
        <v>0</v>
      </c>
      <c r="I82" s="179">
        <v>0</v>
      </c>
      <c r="J82" s="80">
        <f t="shared" si="25"/>
        <v>0</v>
      </c>
      <c r="K82" s="179">
        <v>0</v>
      </c>
      <c r="L82" s="80">
        <f t="shared" si="26"/>
        <v>0</v>
      </c>
      <c r="M82" s="179">
        <v>0</v>
      </c>
      <c r="N82" s="80">
        <f t="shared" si="27"/>
        <v>0</v>
      </c>
      <c r="O82" s="179">
        <v>0</v>
      </c>
      <c r="P82" s="80">
        <f t="shared" si="28"/>
        <v>0</v>
      </c>
      <c r="Q82" s="179">
        <v>0</v>
      </c>
      <c r="R82" s="80">
        <f t="shared" si="29"/>
        <v>0</v>
      </c>
      <c r="S82" s="179">
        <v>0</v>
      </c>
      <c r="T82" s="80">
        <f t="shared" si="30"/>
        <v>0</v>
      </c>
      <c r="U82" s="179">
        <v>0</v>
      </c>
      <c r="V82" s="80">
        <f t="shared" si="31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2"/>
        <v>0</v>
      </c>
      <c r="E83" s="179">
        <v>0</v>
      </c>
      <c r="F83" s="80">
        <f t="shared" si="23"/>
        <v>0</v>
      </c>
      <c r="G83" s="179">
        <v>0</v>
      </c>
      <c r="H83" s="80">
        <f t="shared" si="24"/>
        <v>0</v>
      </c>
      <c r="I83" s="179">
        <v>0</v>
      </c>
      <c r="J83" s="80">
        <f t="shared" si="25"/>
        <v>0</v>
      </c>
      <c r="K83" s="179">
        <v>0</v>
      </c>
      <c r="L83" s="80">
        <f t="shared" si="26"/>
        <v>0</v>
      </c>
      <c r="M83" s="179">
        <v>0</v>
      </c>
      <c r="N83" s="80">
        <f t="shared" si="27"/>
        <v>0</v>
      </c>
      <c r="O83" s="179">
        <v>0</v>
      </c>
      <c r="P83" s="80">
        <f t="shared" si="28"/>
        <v>0</v>
      </c>
      <c r="Q83" s="179">
        <v>0</v>
      </c>
      <c r="R83" s="80">
        <f t="shared" si="29"/>
        <v>0</v>
      </c>
      <c r="S83" s="179">
        <v>0</v>
      </c>
      <c r="T83" s="80">
        <f t="shared" si="30"/>
        <v>0</v>
      </c>
      <c r="U83" s="179">
        <v>0</v>
      </c>
      <c r="V83" s="80">
        <f t="shared" si="31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2"/>
        <v>0</v>
      </c>
      <c r="E84" s="179">
        <v>0</v>
      </c>
      <c r="F84" s="80">
        <f t="shared" si="23"/>
        <v>0</v>
      </c>
      <c r="G84" s="179">
        <v>0</v>
      </c>
      <c r="H84" s="80">
        <f t="shared" si="24"/>
        <v>0</v>
      </c>
      <c r="I84" s="179">
        <v>0</v>
      </c>
      <c r="J84" s="80">
        <f t="shared" si="25"/>
        <v>0</v>
      </c>
      <c r="K84" s="179">
        <v>0</v>
      </c>
      <c r="L84" s="80">
        <f t="shared" si="26"/>
        <v>0</v>
      </c>
      <c r="M84" s="179">
        <v>0</v>
      </c>
      <c r="N84" s="80">
        <f t="shared" si="27"/>
        <v>0</v>
      </c>
      <c r="O84" s="179">
        <v>0</v>
      </c>
      <c r="P84" s="80">
        <f t="shared" si="28"/>
        <v>0</v>
      </c>
      <c r="Q84" s="179">
        <v>0</v>
      </c>
      <c r="R84" s="80">
        <f t="shared" si="29"/>
        <v>0</v>
      </c>
      <c r="S84" s="179">
        <v>0</v>
      </c>
      <c r="T84" s="80">
        <f t="shared" si="30"/>
        <v>0</v>
      </c>
      <c r="U84" s="179">
        <v>0</v>
      </c>
      <c r="V84" s="80">
        <f t="shared" si="31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2"/>
        <v>0</v>
      </c>
      <c r="E85" s="179">
        <v>0</v>
      </c>
      <c r="F85" s="80">
        <f t="shared" si="23"/>
        <v>0</v>
      </c>
      <c r="G85" s="179">
        <v>0</v>
      </c>
      <c r="H85" s="80">
        <f t="shared" si="24"/>
        <v>0</v>
      </c>
      <c r="I85" s="179">
        <v>0</v>
      </c>
      <c r="J85" s="80">
        <f t="shared" si="25"/>
        <v>0</v>
      </c>
      <c r="K85" s="179">
        <v>0</v>
      </c>
      <c r="L85" s="80">
        <f t="shared" si="26"/>
        <v>0</v>
      </c>
      <c r="M85" s="179">
        <v>0</v>
      </c>
      <c r="N85" s="80">
        <f t="shared" si="27"/>
        <v>0</v>
      </c>
      <c r="O85" s="179">
        <v>0</v>
      </c>
      <c r="P85" s="80">
        <f t="shared" si="28"/>
        <v>0</v>
      </c>
      <c r="Q85" s="179">
        <v>0</v>
      </c>
      <c r="R85" s="80">
        <f t="shared" si="29"/>
        <v>0</v>
      </c>
      <c r="S85" s="179">
        <v>0</v>
      </c>
      <c r="T85" s="80">
        <f t="shared" si="30"/>
        <v>0</v>
      </c>
      <c r="U85" s="179">
        <v>0</v>
      </c>
      <c r="V85" s="80">
        <f t="shared" si="31"/>
        <v>0</v>
      </c>
      <c r="X85" s="200"/>
    </row>
    <row r="86" spans="1:24" ht="12.75" customHeight="1">
      <c r="A86" s="2" t="s">
        <v>417</v>
      </c>
      <c r="B86" s="35"/>
      <c r="C86" s="179">
        <v>3014.14176</v>
      </c>
      <c r="D86" s="80">
        <f t="shared" si="22"/>
        <v>4.0000000000000001E-3</v>
      </c>
      <c r="E86" s="179">
        <v>3300</v>
      </c>
      <c r="F86" s="80">
        <f t="shared" si="23"/>
        <v>4.0000000000000001E-3</v>
      </c>
      <c r="G86" s="179">
        <v>3366</v>
      </c>
      <c r="H86" s="80">
        <f t="shared" si="24"/>
        <v>4.0000000000000001E-3</v>
      </c>
      <c r="I86" s="179">
        <v>3433.3200000000006</v>
      </c>
      <c r="J86" s="80">
        <f t="shared" si="25"/>
        <v>4.000000000000001E-3</v>
      </c>
      <c r="K86" s="179">
        <v>3501.9864000000002</v>
      </c>
      <c r="L86" s="80">
        <f t="shared" si="26"/>
        <v>4.0000000000000001E-3</v>
      </c>
      <c r="M86" s="179">
        <v>3572.0261280000009</v>
      </c>
      <c r="N86" s="80">
        <f t="shared" si="27"/>
        <v>4.0000000000000001E-3</v>
      </c>
      <c r="O86" s="179">
        <v>3643.4666505600007</v>
      </c>
      <c r="P86" s="80">
        <f t="shared" si="28"/>
        <v>4.0000000000000001E-3</v>
      </c>
      <c r="Q86" s="179">
        <v>3716.3359835712004</v>
      </c>
      <c r="R86" s="80">
        <f t="shared" si="29"/>
        <v>4.0000000000000001E-3</v>
      </c>
      <c r="S86" s="179">
        <v>3790.662703242625</v>
      </c>
      <c r="T86" s="80">
        <f t="shared" si="30"/>
        <v>4.0000000000000001E-3</v>
      </c>
      <c r="U86" s="179">
        <v>3866.4759573074771</v>
      </c>
      <c r="V86" s="80">
        <f t="shared" si="31"/>
        <v>3.9999999999999992E-3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2"/>
        <v>0</v>
      </c>
      <c r="E87" s="179">
        <v>0</v>
      </c>
      <c r="F87" s="80">
        <f t="shared" si="23"/>
        <v>0</v>
      </c>
      <c r="G87" s="179">
        <v>0</v>
      </c>
      <c r="H87" s="80">
        <f t="shared" si="24"/>
        <v>0</v>
      </c>
      <c r="I87" s="179">
        <v>0</v>
      </c>
      <c r="J87" s="80">
        <f t="shared" si="25"/>
        <v>0</v>
      </c>
      <c r="K87" s="179">
        <v>0</v>
      </c>
      <c r="L87" s="80">
        <f t="shared" si="26"/>
        <v>0</v>
      </c>
      <c r="M87" s="179">
        <v>0</v>
      </c>
      <c r="N87" s="80">
        <f t="shared" si="27"/>
        <v>0</v>
      </c>
      <c r="O87" s="179">
        <v>0</v>
      </c>
      <c r="P87" s="80">
        <f t="shared" si="28"/>
        <v>0</v>
      </c>
      <c r="Q87" s="179">
        <v>0</v>
      </c>
      <c r="R87" s="80">
        <f t="shared" si="29"/>
        <v>0</v>
      </c>
      <c r="S87" s="179">
        <v>0</v>
      </c>
      <c r="T87" s="80">
        <f t="shared" si="30"/>
        <v>0</v>
      </c>
      <c r="U87" s="179">
        <v>0</v>
      </c>
      <c r="V87" s="80">
        <f t="shared" si="31"/>
        <v>0</v>
      </c>
      <c r="X87" s="200"/>
    </row>
    <row r="88" spans="1:24" ht="12.75" customHeight="1">
      <c r="A88" s="2" t="s">
        <v>419</v>
      </c>
      <c r="B88" s="35"/>
      <c r="C88" s="179">
        <v>3843.0307440000006</v>
      </c>
      <c r="D88" s="80">
        <f t="shared" si="22"/>
        <v>5.1000000000000012E-3</v>
      </c>
      <c r="E88" s="179">
        <v>4207.5</v>
      </c>
      <c r="F88" s="80">
        <f t="shared" si="23"/>
        <v>5.1000000000000004E-3</v>
      </c>
      <c r="G88" s="179">
        <v>4291.6500000000005</v>
      </c>
      <c r="H88" s="80">
        <f t="shared" si="24"/>
        <v>5.1000000000000004E-3</v>
      </c>
      <c r="I88" s="179">
        <v>4377.4830000000011</v>
      </c>
      <c r="J88" s="80">
        <f t="shared" si="25"/>
        <v>5.1000000000000012E-3</v>
      </c>
      <c r="K88" s="179">
        <v>4465.0326600000008</v>
      </c>
      <c r="L88" s="80">
        <f t="shared" si="26"/>
        <v>5.1000000000000004E-3</v>
      </c>
      <c r="M88" s="179">
        <v>4554.3333132000016</v>
      </c>
      <c r="N88" s="80">
        <f t="shared" si="27"/>
        <v>5.1000000000000012E-3</v>
      </c>
      <c r="O88" s="179">
        <v>4645.4199794640017</v>
      </c>
      <c r="P88" s="80">
        <f t="shared" si="28"/>
        <v>5.1000000000000012E-3</v>
      </c>
      <c r="Q88" s="179">
        <v>4738.3283790532805</v>
      </c>
      <c r="R88" s="80">
        <f t="shared" si="29"/>
        <v>5.0999999999999995E-3</v>
      </c>
      <c r="S88" s="179">
        <v>4833.0949466343473</v>
      </c>
      <c r="T88" s="80">
        <f t="shared" si="30"/>
        <v>5.1000000000000012E-3</v>
      </c>
      <c r="U88" s="179">
        <v>4929.7568455670344</v>
      </c>
      <c r="V88" s="80">
        <f t="shared" si="31"/>
        <v>5.1000000000000004E-3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2"/>
        <v>0</v>
      </c>
      <c r="E89" s="179">
        <v>0</v>
      </c>
      <c r="F89" s="80">
        <f t="shared" si="23"/>
        <v>0</v>
      </c>
      <c r="G89" s="179">
        <v>0</v>
      </c>
      <c r="H89" s="80">
        <f t="shared" si="24"/>
        <v>0</v>
      </c>
      <c r="I89" s="179">
        <v>0</v>
      </c>
      <c r="J89" s="80">
        <f t="shared" si="25"/>
        <v>0</v>
      </c>
      <c r="K89" s="179">
        <v>0</v>
      </c>
      <c r="L89" s="80">
        <f t="shared" si="26"/>
        <v>0</v>
      </c>
      <c r="M89" s="179">
        <v>0</v>
      </c>
      <c r="N89" s="80">
        <f t="shared" si="27"/>
        <v>0</v>
      </c>
      <c r="O89" s="179">
        <v>0</v>
      </c>
      <c r="P89" s="80">
        <f t="shared" si="28"/>
        <v>0</v>
      </c>
      <c r="Q89" s="179">
        <v>0</v>
      </c>
      <c r="R89" s="80">
        <f t="shared" si="29"/>
        <v>0</v>
      </c>
      <c r="S89" s="179">
        <v>0</v>
      </c>
      <c r="T89" s="80">
        <f t="shared" si="30"/>
        <v>0</v>
      </c>
      <c r="U89" s="179">
        <v>0</v>
      </c>
      <c r="V89" s="80">
        <f t="shared" si="31"/>
        <v>0</v>
      </c>
      <c r="X89" s="200"/>
    </row>
    <row r="90" spans="1:24" ht="12.75" customHeight="1">
      <c r="A90" s="2" t="s">
        <v>421</v>
      </c>
      <c r="B90" s="35"/>
      <c r="C90" s="179">
        <v>150.70708800000003</v>
      </c>
      <c r="D90" s="80">
        <f t="shared" si="22"/>
        <v>2.0000000000000006E-4</v>
      </c>
      <c r="E90" s="179">
        <v>165</v>
      </c>
      <c r="F90" s="80">
        <f t="shared" si="23"/>
        <v>2.0000000000000001E-4</v>
      </c>
      <c r="G90" s="179">
        <v>168.29999999999998</v>
      </c>
      <c r="H90" s="80">
        <f t="shared" si="24"/>
        <v>1.9999999999999998E-4</v>
      </c>
      <c r="I90" s="179">
        <v>171.66600000000003</v>
      </c>
      <c r="J90" s="80">
        <f t="shared" si="25"/>
        <v>2.0000000000000004E-4</v>
      </c>
      <c r="K90" s="179">
        <v>175.09932000000001</v>
      </c>
      <c r="L90" s="80">
        <f t="shared" si="26"/>
        <v>1.9999999999999998E-4</v>
      </c>
      <c r="M90" s="179">
        <v>178.60130640000003</v>
      </c>
      <c r="N90" s="80">
        <f t="shared" si="27"/>
        <v>2.0000000000000001E-4</v>
      </c>
      <c r="O90" s="179">
        <v>182.17333252800006</v>
      </c>
      <c r="P90" s="80">
        <f t="shared" si="28"/>
        <v>2.0000000000000004E-4</v>
      </c>
      <c r="Q90" s="179">
        <v>185.81679917856002</v>
      </c>
      <c r="R90" s="80">
        <f t="shared" si="29"/>
        <v>1.9999999999999998E-4</v>
      </c>
      <c r="S90" s="179">
        <v>189.53313516213126</v>
      </c>
      <c r="T90" s="80">
        <f t="shared" si="30"/>
        <v>2.0000000000000004E-4</v>
      </c>
      <c r="U90" s="179">
        <v>193.32379786537388</v>
      </c>
      <c r="V90" s="80">
        <f t="shared" si="31"/>
        <v>2.0000000000000001E-4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22"/>
        <v>0</v>
      </c>
      <c r="E91" s="179">
        <v>0</v>
      </c>
      <c r="F91" s="80">
        <f t="shared" si="23"/>
        <v>0</v>
      </c>
      <c r="G91" s="179">
        <v>0</v>
      </c>
      <c r="H91" s="80">
        <f t="shared" si="24"/>
        <v>0</v>
      </c>
      <c r="I91" s="179">
        <v>0</v>
      </c>
      <c r="J91" s="80">
        <f t="shared" si="25"/>
        <v>0</v>
      </c>
      <c r="K91" s="179">
        <v>0</v>
      </c>
      <c r="L91" s="80">
        <f t="shared" si="26"/>
        <v>0</v>
      </c>
      <c r="M91" s="179">
        <v>0</v>
      </c>
      <c r="N91" s="80">
        <f t="shared" si="27"/>
        <v>0</v>
      </c>
      <c r="O91" s="179">
        <v>0</v>
      </c>
      <c r="P91" s="80">
        <f t="shared" si="28"/>
        <v>0</v>
      </c>
      <c r="Q91" s="179">
        <v>0</v>
      </c>
      <c r="R91" s="80">
        <f t="shared" si="29"/>
        <v>0</v>
      </c>
      <c r="S91" s="179">
        <v>0</v>
      </c>
      <c r="T91" s="80">
        <f t="shared" si="30"/>
        <v>0</v>
      </c>
      <c r="U91" s="179">
        <v>0</v>
      </c>
      <c r="V91" s="80">
        <f t="shared" si="31"/>
        <v>0</v>
      </c>
      <c r="X91" s="200"/>
    </row>
    <row r="92" spans="1:24" ht="12.75" customHeight="1">
      <c r="A92" s="2" t="s">
        <v>423</v>
      </c>
      <c r="B92" s="35"/>
      <c r="C92" s="179">
        <v>3918.3842879999997</v>
      </c>
      <c r="D92" s="80">
        <f t="shared" si="22"/>
        <v>5.1999999999999998E-3</v>
      </c>
      <c r="E92" s="179">
        <v>4290</v>
      </c>
      <c r="F92" s="80">
        <f t="shared" si="23"/>
        <v>5.1999999999999998E-3</v>
      </c>
      <c r="G92" s="179">
        <v>4375.7999999999993</v>
      </c>
      <c r="H92" s="80">
        <f t="shared" si="24"/>
        <v>5.1999999999999989E-3</v>
      </c>
      <c r="I92" s="179">
        <v>4463.3160000000007</v>
      </c>
      <c r="J92" s="80">
        <f t="shared" si="25"/>
        <v>5.2000000000000006E-3</v>
      </c>
      <c r="K92" s="179">
        <v>4552.5823199999995</v>
      </c>
      <c r="L92" s="80">
        <f t="shared" si="26"/>
        <v>5.1999999999999989E-3</v>
      </c>
      <c r="M92" s="179">
        <v>4643.6339664000006</v>
      </c>
      <c r="N92" s="80">
        <f t="shared" si="27"/>
        <v>5.1999999999999998E-3</v>
      </c>
      <c r="O92" s="179">
        <v>4736.5066457280009</v>
      </c>
      <c r="P92" s="80">
        <f t="shared" si="28"/>
        <v>5.2000000000000006E-3</v>
      </c>
      <c r="Q92" s="179">
        <v>4831.2367786425602</v>
      </c>
      <c r="R92" s="80">
        <f t="shared" si="29"/>
        <v>5.1999999999999998E-3</v>
      </c>
      <c r="S92" s="179">
        <v>4927.8615142154122</v>
      </c>
      <c r="T92" s="80">
        <f t="shared" si="30"/>
        <v>5.1999999999999998E-3</v>
      </c>
      <c r="U92" s="179">
        <v>5026.4187444997206</v>
      </c>
      <c r="V92" s="80">
        <f t="shared" si="31"/>
        <v>5.1999999999999998E-3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2"/>
        <v>0</v>
      </c>
      <c r="E93" s="179">
        <v>0</v>
      </c>
      <c r="F93" s="80">
        <f t="shared" si="23"/>
        <v>0</v>
      </c>
      <c r="G93" s="179">
        <v>0</v>
      </c>
      <c r="H93" s="80">
        <f t="shared" si="24"/>
        <v>0</v>
      </c>
      <c r="I93" s="179">
        <v>0</v>
      </c>
      <c r="J93" s="80">
        <f t="shared" si="25"/>
        <v>0</v>
      </c>
      <c r="K93" s="179">
        <v>0</v>
      </c>
      <c r="L93" s="80">
        <f t="shared" si="26"/>
        <v>0</v>
      </c>
      <c r="M93" s="179">
        <v>0</v>
      </c>
      <c r="N93" s="80">
        <f t="shared" si="27"/>
        <v>0</v>
      </c>
      <c r="O93" s="179">
        <v>0</v>
      </c>
      <c r="P93" s="80">
        <f t="shared" si="28"/>
        <v>0</v>
      </c>
      <c r="Q93" s="179">
        <v>0</v>
      </c>
      <c r="R93" s="80">
        <f t="shared" si="29"/>
        <v>0</v>
      </c>
      <c r="S93" s="179">
        <v>0</v>
      </c>
      <c r="T93" s="80">
        <f t="shared" si="30"/>
        <v>0</v>
      </c>
      <c r="U93" s="179">
        <v>0</v>
      </c>
      <c r="V93" s="80">
        <f t="shared" si="31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2"/>
        <v>0</v>
      </c>
      <c r="E94" s="179">
        <v>0</v>
      </c>
      <c r="F94" s="80">
        <f t="shared" si="23"/>
        <v>0</v>
      </c>
      <c r="G94" s="179">
        <v>0</v>
      </c>
      <c r="H94" s="80">
        <f t="shared" si="24"/>
        <v>0</v>
      </c>
      <c r="I94" s="179">
        <v>0</v>
      </c>
      <c r="J94" s="80">
        <f t="shared" si="25"/>
        <v>0</v>
      </c>
      <c r="K94" s="179">
        <v>0</v>
      </c>
      <c r="L94" s="80">
        <f t="shared" si="26"/>
        <v>0</v>
      </c>
      <c r="M94" s="179">
        <v>0</v>
      </c>
      <c r="N94" s="80">
        <f t="shared" si="27"/>
        <v>0</v>
      </c>
      <c r="O94" s="179">
        <v>0</v>
      </c>
      <c r="P94" s="80">
        <f t="shared" si="28"/>
        <v>0</v>
      </c>
      <c r="Q94" s="179">
        <v>0</v>
      </c>
      <c r="R94" s="80">
        <f t="shared" si="29"/>
        <v>0</v>
      </c>
      <c r="S94" s="179">
        <v>0</v>
      </c>
      <c r="T94" s="80">
        <f t="shared" si="30"/>
        <v>0</v>
      </c>
      <c r="U94" s="179">
        <v>0</v>
      </c>
      <c r="V94" s="80">
        <f t="shared" si="31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2"/>
        <v>0</v>
      </c>
      <c r="E95" s="179">
        <v>0</v>
      </c>
      <c r="F95" s="80">
        <f t="shared" si="23"/>
        <v>0</v>
      </c>
      <c r="G95" s="179">
        <v>0</v>
      </c>
      <c r="H95" s="80">
        <f t="shared" si="24"/>
        <v>0</v>
      </c>
      <c r="I95" s="179">
        <v>0</v>
      </c>
      <c r="J95" s="80">
        <f t="shared" si="25"/>
        <v>0</v>
      </c>
      <c r="K95" s="179">
        <v>0</v>
      </c>
      <c r="L95" s="80">
        <f t="shared" si="26"/>
        <v>0</v>
      </c>
      <c r="M95" s="179">
        <v>0</v>
      </c>
      <c r="N95" s="80">
        <f t="shared" si="27"/>
        <v>0</v>
      </c>
      <c r="O95" s="179">
        <v>0</v>
      </c>
      <c r="P95" s="80">
        <f t="shared" si="28"/>
        <v>0</v>
      </c>
      <c r="Q95" s="179">
        <v>0</v>
      </c>
      <c r="R95" s="80">
        <f t="shared" si="29"/>
        <v>0</v>
      </c>
      <c r="S95" s="179">
        <v>0</v>
      </c>
      <c r="T95" s="80">
        <f t="shared" si="30"/>
        <v>0</v>
      </c>
      <c r="U95" s="179">
        <v>0</v>
      </c>
      <c r="V95" s="80">
        <f t="shared" si="31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2"/>
        <v>0</v>
      </c>
      <c r="E96" s="179">
        <v>0</v>
      </c>
      <c r="F96" s="80">
        <f t="shared" si="23"/>
        <v>0</v>
      </c>
      <c r="G96" s="179">
        <v>0</v>
      </c>
      <c r="H96" s="80">
        <f t="shared" si="24"/>
        <v>0</v>
      </c>
      <c r="I96" s="179">
        <v>0</v>
      </c>
      <c r="J96" s="80">
        <f t="shared" si="25"/>
        <v>0</v>
      </c>
      <c r="K96" s="179">
        <v>0</v>
      </c>
      <c r="L96" s="80">
        <f t="shared" si="26"/>
        <v>0</v>
      </c>
      <c r="M96" s="179">
        <v>0</v>
      </c>
      <c r="N96" s="80">
        <f t="shared" si="27"/>
        <v>0</v>
      </c>
      <c r="O96" s="179">
        <v>0</v>
      </c>
      <c r="P96" s="80">
        <f t="shared" si="28"/>
        <v>0</v>
      </c>
      <c r="Q96" s="179">
        <v>0</v>
      </c>
      <c r="R96" s="80">
        <f t="shared" si="29"/>
        <v>0</v>
      </c>
      <c r="S96" s="179">
        <v>0</v>
      </c>
      <c r="T96" s="80">
        <f t="shared" si="30"/>
        <v>0</v>
      </c>
      <c r="U96" s="179">
        <v>0</v>
      </c>
      <c r="V96" s="80">
        <f t="shared" si="31"/>
        <v>0</v>
      </c>
      <c r="X96" s="200"/>
    </row>
    <row r="97" spans="1:24" ht="12.75" customHeight="1">
      <c r="A97" s="2" t="s">
        <v>428</v>
      </c>
      <c r="B97" s="35"/>
      <c r="C97" s="179">
        <v>8297.8773000000001</v>
      </c>
      <c r="D97" s="80">
        <f t="shared" si="22"/>
        <v>1.101192705680837E-2</v>
      </c>
      <c r="E97" s="179">
        <v>9227.2395576000017</v>
      </c>
      <c r="F97" s="80">
        <f t="shared" si="23"/>
        <v>1.1184532797090911E-2</v>
      </c>
      <c r="G97" s="179">
        <v>9550.1929421160003</v>
      </c>
      <c r="H97" s="80">
        <f t="shared" si="24"/>
        <v>1.134901122057754E-2</v>
      </c>
      <c r="I97" s="179">
        <v>9855.7991162637136</v>
      </c>
      <c r="J97" s="80">
        <f t="shared" si="25"/>
        <v>1.148252899964316E-2</v>
      </c>
      <c r="K97" s="179">
        <v>10102.194094170305</v>
      </c>
      <c r="L97" s="80">
        <f t="shared" si="26"/>
        <v>1.1538815906504154E-2</v>
      </c>
      <c r="M97" s="179">
        <v>10354.748946524562</v>
      </c>
      <c r="N97" s="80">
        <f t="shared" si="27"/>
        <v>1.1595378729575251E-2</v>
      </c>
      <c r="O97" s="179">
        <v>10613.617670187674</v>
      </c>
      <c r="P97" s="80">
        <f t="shared" si="28"/>
        <v>1.1652218821386891E-2</v>
      </c>
      <c r="Q97" s="179">
        <v>10878.958111942366</v>
      </c>
      <c r="R97" s="80">
        <f t="shared" si="29"/>
        <v>1.1709337541099572E-2</v>
      </c>
      <c r="S97" s="179">
        <v>11150.932064740924</v>
      </c>
      <c r="T97" s="80">
        <f t="shared" si="30"/>
        <v>1.1766736254536335E-2</v>
      </c>
      <c r="U97" s="179">
        <v>11429.705366359445</v>
      </c>
      <c r="V97" s="80">
        <f t="shared" si="31"/>
        <v>1.182441633421543E-2</v>
      </c>
      <c r="X97" s="200"/>
    </row>
    <row r="98" spans="1:24" ht="12.75" customHeight="1">
      <c r="A98" s="117" t="s">
        <v>431</v>
      </c>
      <c r="B98" s="35"/>
      <c r="C98" s="179">
        <v>904.24252799999988</v>
      </c>
      <c r="D98" s="80">
        <f t="shared" si="22"/>
        <v>1.1999999999999999E-3</v>
      </c>
      <c r="E98" s="179">
        <v>989.99999999999989</v>
      </c>
      <c r="F98" s="80">
        <f t="shared" si="23"/>
        <v>1.1999999999999999E-3</v>
      </c>
      <c r="G98" s="179">
        <v>1009.7999999999998</v>
      </c>
      <c r="H98" s="80">
        <f t="shared" si="24"/>
        <v>1.1999999999999999E-3</v>
      </c>
      <c r="I98" s="179">
        <v>1029.9960000000001</v>
      </c>
      <c r="J98" s="80">
        <f t="shared" si="25"/>
        <v>1.2000000000000001E-3</v>
      </c>
      <c r="K98" s="179">
        <v>1050.5959199999998</v>
      </c>
      <c r="L98" s="80">
        <f t="shared" si="26"/>
        <v>1.1999999999999997E-3</v>
      </c>
      <c r="M98" s="179">
        <v>1071.6078384</v>
      </c>
      <c r="N98" s="80">
        <f t="shared" si="27"/>
        <v>1.1999999999999999E-3</v>
      </c>
      <c r="O98" s="179">
        <v>1093.0399951680001</v>
      </c>
      <c r="P98" s="80">
        <f t="shared" si="28"/>
        <v>1.1999999999999999E-3</v>
      </c>
      <c r="Q98" s="179">
        <v>1114.9007950713599</v>
      </c>
      <c r="R98" s="80">
        <f t="shared" si="29"/>
        <v>1.1999999999999997E-3</v>
      </c>
      <c r="S98" s="179">
        <v>1137.1988109727874</v>
      </c>
      <c r="T98" s="80">
        <f t="shared" si="30"/>
        <v>1.2000000000000001E-3</v>
      </c>
      <c r="U98" s="179">
        <v>1159.942787192243</v>
      </c>
      <c r="V98" s="80">
        <f t="shared" si="31"/>
        <v>1.1999999999999997E-3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2"/>
        <v>0</v>
      </c>
      <c r="E99" s="179">
        <v>0</v>
      </c>
      <c r="F99" s="80">
        <f t="shared" si="23"/>
        <v>0</v>
      </c>
      <c r="G99" s="179">
        <v>0</v>
      </c>
      <c r="H99" s="80">
        <f t="shared" si="24"/>
        <v>0</v>
      </c>
      <c r="I99" s="179">
        <v>0</v>
      </c>
      <c r="J99" s="80">
        <f t="shared" si="25"/>
        <v>0</v>
      </c>
      <c r="K99" s="179">
        <v>0</v>
      </c>
      <c r="L99" s="80">
        <f t="shared" si="26"/>
        <v>0</v>
      </c>
      <c r="M99" s="179">
        <v>0</v>
      </c>
      <c r="N99" s="80">
        <f t="shared" si="27"/>
        <v>0</v>
      </c>
      <c r="O99" s="179">
        <v>0</v>
      </c>
      <c r="P99" s="80">
        <f t="shared" si="28"/>
        <v>0</v>
      </c>
      <c r="Q99" s="179">
        <v>0</v>
      </c>
      <c r="R99" s="80">
        <f t="shared" si="29"/>
        <v>0</v>
      </c>
      <c r="S99" s="179">
        <v>0</v>
      </c>
      <c r="T99" s="80">
        <f t="shared" si="30"/>
        <v>0</v>
      </c>
      <c r="U99" s="179">
        <v>0</v>
      </c>
      <c r="V99" s="80">
        <f t="shared" si="31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2"/>
        <v>0</v>
      </c>
      <c r="E100" s="179">
        <v>0</v>
      </c>
      <c r="F100" s="80">
        <f t="shared" si="23"/>
        <v>0</v>
      </c>
      <c r="G100" s="179">
        <v>0</v>
      </c>
      <c r="H100" s="80">
        <f t="shared" si="24"/>
        <v>0</v>
      </c>
      <c r="I100" s="179">
        <v>0</v>
      </c>
      <c r="J100" s="80">
        <f t="shared" si="25"/>
        <v>0</v>
      </c>
      <c r="K100" s="179">
        <v>0</v>
      </c>
      <c r="L100" s="80">
        <f t="shared" si="26"/>
        <v>0</v>
      </c>
      <c r="M100" s="179">
        <v>0</v>
      </c>
      <c r="N100" s="80">
        <f t="shared" si="27"/>
        <v>0</v>
      </c>
      <c r="O100" s="179">
        <v>0</v>
      </c>
      <c r="P100" s="80">
        <f t="shared" si="28"/>
        <v>0</v>
      </c>
      <c r="Q100" s="179">
        <v>0</v>
      </c>
      <c r="R100" s="80">
        <f t="shared" si="29"/>
        <v>0</v>
      </c>
      <c r="S100" s="179">
        <v>0</v>
      </c>
      <c r="T100" s="80">
        <f t="shared" si="30"/>
        <v>0</v>
      </c>
      <c r="U100" s="179">
        <v>0</v>
      </c>
      <c r="V100" s="80">
        <f t="shared" si="31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2"/>
        <v>0</v>
      </c>
      <c r="E101" s="179"/>
      <c r="F101" s="80">
        <f t="shared" si="23"/>
        <v>0</v>
      </c>
      <c r="G101" s="179"/>
      <c r="H101" s="80">
        <f t="shared" si="24"/>
        <v>0</v>
      </c>
      <c r="I101" s="179">
        <v>0</v>
      </c>
      <c r="J101" s="80">
        <f t="shared" si="25"/>
        <v>0</v>
      </c>
      <c r="K101" s="179">
        <v>0</v>
      </c>
      <c r="L101" s="80">
        <f t="shared" si="26"/>
        <v>0</v>
      </c>
      <c r="M101" s="179">
        <v>0</v>
      </c>
      <c r="N101" s="80">
        <f t="shared" si="27"/>
        <v>0</v>
      </c>
      <c r="O101" s="179">
        <v>0</v>
      </c>
      <c r="P101" s="80">
        <f t="shared" si="28"/>
        <v>0</v>
      </c>
      <c r="Q101" s="179">
        <v>0</v>
      </c>
      <c r="R101" s="80">
        <f t="shared" si="29"/>
        <v>0</v>
      </c>
      <c r="S101" s="179">
        <v>0</v>
      </c>
      <c r="T101" s="80">
        <f t="shared" si="30"/>
        <v>0</v>
      </c>
      <c r="U101" s="179">
        <v>0</v>
      </c>
      <c r="V101" s="80">
        <f t="shared" si="31"/>
        <v>0</v>
      </c>
      <c r="X101" s="200"/>
    </row>
    <row r="102" spans="1:24" ht="12.75" customHeight="1">
      <c r="A102" s="117" t="s">
        <v>433</v>
      </c>
      <c r="B102" s="35"/>
      <c r="C102" s="179">
        <v>7535.3544000000002</v>
      </c>
      <c r="D102" s="80">
        <f t="shared" si="22"/>
        <v>0.01</v>
      </c>
      <c r="E102" s="179">
        <v>8250</v>
      </c>
      <c r="F102" s="80">
        <f t="shared" si="23"/>
        <v>0.01</v>
      </c>
      <c r="G102" s="179">
        <v>8415</v>
      </c>
      <c r="H102" s="80">
        <f t="shared" si="24"/>
        <v>0.01</v>
      </c>
      <c r="I102" s="179">
        <v>8583.3000000000011</v>
      </c>
      <c r="J102" s="80">
        <f t="shared" si="25"/>
        <v>1.0000000000000002E-2</v>
      </c>
      <c r="K102" s="179">
        <v>8754.9660000000003</v>
      </c>
      <c r="L102" s="80">
        <f t="shared" si="26"/>
        <v>9.9999999999999985E-3</v>
      </c>
      <c r="M102" s="179">
        <v>8930.0653200000015</v>
      </c>
      <c r="N102" s="80">
        <f t="shared" si="27"/>
        <v>0.01</v>
      </c>
      <c r="O102" s="179">
        <v>9108.6666264000032</v>
      </c>
      <c r="P102" s="80">
        <f t="shared" si="28"/>
        <v>1.0000000000000002E-2</v>
      </c>
      <c r="Q102" s="179">
        <v>9290.8399589280016</v>
      </c>
      <c r="R102" s="80">
        <f t="shared" si="29"/>
        <v>0.01</v>
      </c>
      <c r="S102" s="179">
        <v>9476.6567581065628</v>
      </c>
      <c r="T102" s="80">
        <f t="shared" si="30"/>
        <v>1.0000000000000002E-2</v>
      </c>
      <c r="U102" s="179">
        <v>9666.1898932686927</v>
      </c>
      <c r="V102" s="80">
        <f t="shared" si="31"/>
        <v>9.9999999999999985E-3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2"/>
        <v>0</v>
      </c>
      <c r="E103" s="179">
        <v>0</v>
      </c>
      <c r="F103" s="80">
        <f t="shared" si="23"/>
        <v>0</v>
      </c>
      <c r="G103" s="179">
        <v>0</v>
      </c>
      <c r="H103" s="80">
        <f t="shared" si="24"/>
        <v>0</v>
      </c>
      <c r="I103" s="179">
        <v>0</v>
      </c>
      <c r="J103" s="80">
        <f t="shared" si="25"/>
        <v>0</v>
      </c>
      <c r="K103" s="179">
        <v>0</v>
      </c>
      <c r="L103" s="80">
        <f t="shared" si="26"/>
        <v>0</v>
      </c>
      <c r="M103" s="179">
        <v>0</v>
      </c>
      <c r="N103" s="80">
        <f t="shared" si="27"/>
        <v>0</v>
      </c>
      <c r="O103" s="179">
        <v>0</v>
      </c>
      <c r="P103" s="80">
        <f t="shared" si="28"/>
        <v>0</v>
      </c>
      <c r="Q103" s="179">
        <v>0</v>
      </c>
      <c r="R103" s="80">
        <f t="shared" si="29"/>
        <v>0</v>
      </c>
      <c r="S103" s="179">
        <v>0</v>
      </c>
      <c r="T103" s="80">
        <f t="shared" si="30"/>
        <v>0</v>
      </c>
      <c r="U103" s="179">
        <v>0</v>
      </c>
      <c r="V103" s="80">
        <f t="shared" si="31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2"/>
        <v>0</v>
      </c>
      <c r="E104" s="179">
        <v>0</v>
      </c>
      <c r="F104" s="80">
        <f t="shared" si="23"/>
        <v>0</v>
      </c>
      <c r="G104" s="179">
        <v>0</v>
      </c>
      <c r="H104" s="80">
        <f t="shared" si="24"/>
        <v>0</v>
      </c>
      <c r="I104" s="179">
        <v>0</v>
      </c>
      <c r="J104" s="80">
        <f t="shared" si="25"/>
        <v>0</v>
      </c>
      <c r="K104" s="179">
        <v>0</v>
      </c>
      <c r="L104" s="80">
        <f t="shared" si="26"/>
        <v>0</v>
      </c>
      <c r="M104" s="179">
        <v>0</v>
      </c>
      <c r="N104" s="80">
        <f t="shared" si="27"/>
        <v>0</v>
      </c>
      <c r="O104" s="179">
        <v>0</v>
      </c>
      <c r="P104" s="80">
        <f t="shared" si="28"/>
        <v>0</v>
      </c>
      <c r="Q104" s="179">
        <v>0</v>
      </c>
      <c r="R104" s="80">
        <f t="shared" si="29"/>
        <v>0</v>
      </c>
      <c r="S104" s="179">
        <v>0</v>
      </c>
      <c r="T104" s="80">
        <f t="shared" si="30"/>
        <v>0</v>
      </c>
      <c r="U104" s="179">
        <v>0</v>
      </c>
      <c r="V104" s="80">
        <f t="shared" si="31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116982.12908381635</v>
      </c>
      <c r="D105" s="83">
        <f t="shared" ref="D105" si="32">IFERROR(C105/C$28,0)</f>
        <v>0.15524436260597957</v>
      </c>
      <c r="E105" s="82">
        <f>SUM(E52:E104)</f>
        <v>123297.77893200862</v>
      </c>
      <c r="F105" s="83">
        <f t="shared" ref="F105" si="33">IFERROR(E105/E$28,0)</f>
        <v>0.14945185325091953</v>
      </c>
      <c r="G105" s="82">
        <f>SUM(G52:G104)</f>
        <v>126865.849913653</v>
      </c>
      <c r="H105" s="83">
        <f t="shared" ref="H105" si="34">IFERROR(G105/G$28,0)</f>
        <v>0.15076155664129887</v>
      </c>
      <c r="I105" s="82">
        <f>SUM(I52:I104)</f>
        <v>129450.9179628611</v>
      </c>
      <c r="J105" s="83">
        <f t="shared" ref="J105" si="35">IFERROR(I105/I$28,0)</f>
        <v>0.15081718914969897</v>
      </c>
      <c r="K105" s="82">
        <f>SUM(K52:K104)</f>
        <v>132000.24080592179</v>
      </c>
      <c r="L105" s="83">
        <f t="shared" ref="L105" si="36">IFERROR(K105/K$28,0)</f>
        <v>0.15077184857819181</v>
      </c>
      <c r="M105" s="82">
        <f>SUM(M52:M104)</f>
        <v>134674.38259723529</v>
      </c>
      <c r="N105" s="83">
        <f t="shared" ref="N105" si="37">IFERROR(M105/M$28,0)</f>
        <v>0.15081007559442497</v>
      </c>
      <c r="O105" s="82">
        <f>SUM(O52:O104)</f>
        <v>137403.41491039455</v>
      </c>
      <c r="P105" s="83">
        <f t="shared" ref="P105" si="38">IFERROR(O105/O$28,0)</f>
        <v>0.15084909849719708</v>
      </c>
      <c r="Q105" s="82">
        <f>SUM(Q52:Q104)</f>
        <v>140188.19239160843</v>
      </c>
      <c r="R105" s="83">
        <f t="shared" ref="R105" si="39">IFERROR(Q105/Q$28,0)</f>
        <v>0.15088860965352768</v>
      </c>
      <c r="S105" s="82">
        <f>SUM(S52:S104)</f>
        <v>143029.59385506474</v>
      </c>
      <c r="T105" s="83">
        <f t="shared" ref="T105" si="40">IFERROR(S105/S$28,0)</f>
        <v>0.15092832578610993</v>
      </c>
      <c r="U105" s="82">
        <f>SUM(U52:U104)</f>
        <v>146248.07087630261</v>
      </c>
      <c r="V105" s="83">
        <f t="shared" si="31"/>
        <v>0.15129857005824632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157265.35251618357</v>
      </c>
      <c r="D107" s="83">
        <f>IFERROR(C107/C$28,0)</f>
        <v>0.20870332590618906</v>
      </c>
      <c r="E107" s="82">
        <f>E28-E33-E46-E105</f>
        <v>173066.03343599138</v>
      </c>
      <c r="F107" s="83">
        <f>IFERROR(E107/E$28,0)</f>
        <v>0.20977701022544409</v>
      </c>
      <c r="G107" s="82">
        <f>G28-G33-G46-G105</f>
        <v>187218.82088722702</v>
      </c>
      <c r="H107" s="83">
        <f>IFERROR(G107/G$28,0)</f>
        <v>0.22248225892718601</v>
      </c>
      <c r="I107" s="82">
        <f>I28-I33-I46-I105</f>
        <v>187782.36230364701</v>
      </c>
      <c r="J107" s="83">
        <f>IFERROR(I107/I$28,0)</f>
        <v>0.21877641734955905</v>
      </c>
      <c r="K107" s="82">
        <f>K28-K33-K46-K105</f>
        <v>190230.47896724916</v>
      </c>
      <c r="L107" s="83">
        <f>IFERROR(K107/K$28,0)</f>
        <v>0.21728294429384323</v>
      </c>
      <c r="M107" s="82">
        <f>M28-M33-M46-M105</f>
        <v>192620.044820265</v>
      </c>
      <c r="N107" s="83">
        <f>IFERROR(M107/M$28,0)</f>
        <v>0.21569836044633206</v>
      </c>
      <c r="O107" s="82">
        <f>O28-O33-O46-O105</f>
        <v>195021.47163554319</v>
      </c>
      <c r="P107" s="83">
        <f>IFERROR(O107/O$28,0)</f>
        <v>0.21410540053173635</v>
      </c>
      <c r="Q107" s="82">
        <f>Q28-Q33-Q46-Q105</f>
        <v>197434.37672983779</v>
      </c>
      <c r="R107" s="83">
        <f>IFERROR(Q107/Q$28,0)</f>
        <v>0.21250433502528895</v>
      </c>
      <c r="S107" s="82">
        <f>S28-S33-S46-S105</f>
        <v>199858.34111451483</v>
      </c>
      <c r="T107" s="83">
        <f>IFERROR(S107/S$28,0)</f>
        <v>0.21089540986440303</v>
      </c>
      <c r="U107" s="82">
        <f>U28-U33-U46-U105</f>
        <v>201973.36012001574</v>
      </c>
      <c r="V107" s="83">
        <f>IFERROR(U107/U$28,0)</f>
        <v>0.20894826436284394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1">IFERROR(C111/C$28,0)</f>
        <v>0</v>
      </c>
      <c r="E111" s="79">
        <f>E59</f>
        <v>0</v>
      </c>
      <c r="F111" s="80">
        <f t="shared" ref="F111:F116" si="42">IFERROR(E111/E$28,0)</f>
        <v>0</v>
      </c>
      <c r="G111" s="79">
        <f>G59</f>
        <v>0</v>
      </c>
      <c r="H111" s="80">
        <f t="shared" ref="H111:H116" si="43">IFERROR(G111/G$28,0)</f>
        <v>0</v>
      </c>
      <c r="I111" s="79">
        <f>I59</f>
        <v>0</v>
      </c>
      <c r="J111" s="80">
        <f t="shared" ref="J111:J116" si="44">IFERROR(I111/I$28,0)</f>
        <v>0</v>
      </c>
      <c r="K111" s="79">
        <f>K59</f>
        <v>0</v>
      </c>
      <c r="L111" s="80">
        <f t="shared" ref="L111:L116" si="45">IFERROR(K111/K$28,0)</f>
        <v>0</v>
      </c>
      <c r="M111" s="79">
        <f>M59</f>
        <v>0</v>
      </c>
      <c r="N111" s="80">
        <f t="shared" ref="N111:N116" si="46">IFERROR(M111/M$28,0)</f>
        <v>0</v>
      </c>
      <c r="O111" s="79">
        <f>O59</f>
        <v>0</v>
      </c>
      <c r="P111" s="80">
        <f t="shared" ref="P111:P116" si="47">IFERROR(O111/O$28,0)</f>
        <v>0</v>
      </c>
      <c r="Q111" s="79">
        <f>Q59</f>
        <v>0</v>
      </c>
      <c r="R111" s="80">
        <f t="shared" ref="R111:R116" si="48">IFERROR(Q111/Q$28,0)</f>
        <v>0</v>
      </c>
      <c r="S111" s="79">
        <f>S59</f>
        <v>0</v>
      </c>
      <c r="T111" s="80">
        <f t="shared" ref="T111:T116" si="49">IFERROR(S111/S$28,0)</f>
        <v>0</v>
      </c>
      <c r="U111" s="79">
        <f>U59</f>
        <v>0</v>
      </c>
      <c r="V111" s="80">
        <f t="shared" ref="V111:V116" si="50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1"/>
        <v>0</v>
      </c>
      <c r="E112" s="79">
        <f>E62</f>
        <v>0</v>
      </c>
      <c r="F112" s="80">
        <f t="shared" si="42"/>
        <v>0</v>
      </c>
      <c r="G112" s="79">
        <f>G62</f>
        <v>0</v>
      </c>
      <c r="H112" s="80">
        <f t="shared" si="43"/>
        <v>0</v>
      </c>
      <c r="I112" s="79">
        <f>I62</f>
        <v>0</v>
      </c>
      <c r="J112" s="80">
        <f t="shared" si="44"/>
        <v>0</v>
      </c>
      <c r="K112" s="79">
        <f>K62</f>
        <v>0</v>
      </c>
      <c r="L112" s="80">
        <f t="shared" si="45"/>
        <v>0</v>
      </c>
      <c r="M112" s="79">
        <f>M62</f>
        <v>0</v>
      </c>
      <c r="N112" s="80">
        <f t="shared" si="46"/>
        <v>0</v>
      </c>
      <c r="O112" s="79">
        <f>O62</f>
        <v>0</v>
      </c>
      <c r="P112" s="80">
        <f t="shared" si="47"/>
        <v>0</v>
      </c>
      <c r="Q112" s="79">
        <f>Q62</f>
        <v>0</v>
      </c>
      <c r="R112" s="80">
        <f t="shared" si="48"/>
        <v>0</v>
      </c>
      <c r="S112" s="79">
        <f>S62</f>
        <v>0</v>
      </c>
      <c r="T112" s="80">
        <f t="shared" si="49"/>
        <v>0</v>
      </c>
      <c r="U112" s="79">
        <f>U62</f>
        <v>0</v>
      </c>
      <c r="V112" s="80">
        <f t="shared" si="50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1"/>
        <v>0</v>
      </c>
      <c r="E113" s="111">
        <v>0</v>
      </c>
      <c r="F113" s="80">
        <f t="shared" si="42"/>
        <v>0</v>
      </c>
      <c r="G113" s="111">
        <v>0</v>
      </c>
      <c r="H113" s="80">
        <f t="shared" si="43"/>
        <v>0</v>
      </c>
      <c r="I113" s="111">
        <v>0</v>
      </c>
      <c r="J113" s="80">
        <f t="shared" si="44"/>
        <v>0</v>
      </c>
      <c r="K113" s="111">
        <v>0</v>
      </c>
      <c r="L113" s="80">
        <f t="shared" si="45"/>
        <v>0</v>
      </c>
      <c r="M113" s="111">
        <v>0</v>
      </c>
      <c r="N113" s="80">
        <f t="shared" si="46"/>
        <v>0</v>
      </c>
      <c r="O113" s="111">
        <v>0</v>
      </c>
      <c r="P113" s="80">
        <f t="shared" si="47"/>
        <v>0</v>
      </c>
      <c r="Q113" s="111">
        <v>0</v>
      </c>
      <c r="R113" s="80">
        <f t="shared" si="48"/>
        <v>0</v>
      </c>
      <c r="S113" s="111">
        <v>0</v>
      </c>
      <c r="T113" s="80">
        <f t="shared" si="49"/>
        <v>0</v>
      </c>
      <c r="U113" s="111">
        <v>0</v>
      </c>
      <c r="V113" s="80">
        <f t="shared" si="50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1"/>
        <v>0</v>
      </c>
      <c r="E114" s="111">
        <v>0</v>
      </c>
      <c r="F114" s="80">
        <f t="shared" si="42"/>
        <v>0</v>
      </c>
      <c r="G114" s="111">
        <v>0</v>
      </c>
      <c r="H114" s="80">
        <f t="shared" si="43"/>
        <v>0</v>
      </c>
      <c r="I114" s="111">
        <v>0</v>
      </c>
      <c r="J114" s="80">
        <f t="shared" si="44"/>
        <v>0</v>
      </c>
      <c r="K114" s="111">
        <v>0</v>
      </c>
      <c r="L114" s="80">
        <f t="shared" si="45"/>
        <v>0</v>
      </c>
      <c r="M114" s="111">
        <v>0</v>
      </c>
      <c r="N114" s="80">
        <f t="shared" si="46"/>
        <v>0</v>
      </c>
      <c r="O114" s="111">
        <v>0</v>
      </c>
      <c r="P114" s="80">
        <f t="shared" si="47"/>
        <v>0</v>
      </c>
      <c r="Q114" s="111">
        <v>0</v>
      </c>
      <c r="R114" s="80">
        <f t="shared" si="48"/>
        <v>0</v>
      </c>
      <c r="S114" s="111">
        <v>0</v>
      </c>
      <c r="T114" s="80">
        <f t="shared" si="49"/>
        <v>0</v>
      </c>
      <c r="U114" s="111">
        <v>0</v>
      </c>
      <c r="V114" s="80">
        <f t="shared" si="50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1"/>
        <v>0</v>
      </c>
      <c r="E115" s="112">
        <v>0</v>
      </c>
      <c r="F115" s="80">
        <f t="shared" si="42"/>
        <v>0</v>
      </c>
      <c r="G115" s="112">
        <v>0</v>
      </c>
      <c r="H115" s="80">
        <f t="shared" si="43"/>
        <v>0</v>
      </c>
      <c r="I115" s="112">
        <v>0</v>
      </c>
      <c r="J115" s="80">
        <f t="shared" si="44"/>
        <v>0</v>
      </c>
      <c r="K115" s="112">
        <v>0</v>
      </c>
      <c r="L115" s="80">
        <f t="shared" si="45"/>
        <v>0</v>
      </c>
      <c r="M115" s="112">
        <v>0</v>
      </c>
      <c r="N115" s="80">
        <f t="shared" si="46"/>
        <v>0</v>
      </c>
      <c r="O115" s="112">
        <v>0</v>
      </c>
      <c r="P115" s="80">
        <f t="shared" si="47"/>
        <v>0</v>
      </c>
      <c r="Q115" s="112">
        <v>0</v>
      </c>
      <c r="R115" s="80">
        <f t="shared" si="48"/>
        <v>0</v>
      </c>
      <c r="S115" s="112">
        <v>0</v>
      </c>
      <c r="T115" s="80">
        <f t="shared" si="49"/>
        <v>0</v>
      </c>
      <c r="U115" s="112">
        <v>0</v>
      </c>
      <c r="V115" s="80">
        <f t="shared" si="50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1"/>
        <v>0</v>
      </c>
      <c r="E116" s="85">
        <f>SUM(E111:E115)</f>
        <v>0</v>
      </c>
      <c r="F116" s="83">
        <f t="shared" si="42"/>
        <v>0</v>
      </c>
      <c r="G116" s="85">
        <f>SUM(G111:G115)</f>
        <v>0</v>
      </c>
      <c r="H116" s="83">
        <f t="shared" si="43"/>
        <v>0</v>
      </c>
      <c r="I116" s="85">
        <f>SUM(I111:I115)</f>
        <v>0</v>
      </c>
      <c r="J116" s="83">
        <f t="shared" si="44"/>
        <v>0</v>
      </c>
      <c r="K116" s="85">
        <f>SUM(K111:K115)</f>
        <v>0</v>
      </c>
      <c r="L116" s="83">
        <f t="shared" si="45"/>
        <v>0</v>
      </c>
      <c r="M116" s="85">
        <f>SUM(M111:M115)</f>
        <v>0</v>
      </c>
      <c r="N116" s="83">
        <f t="shared" si="46"/>
        <v>0</v>
      </c>
      <c r="O116" s="85">
        <f>SUM(O111:O115)</f>
        <v>0</v>
      </c>
      <c r="P116" s="83">
        <f t="shared" si="47"/>
        <v>0</v>
      </c>
      <c r="Q116" s="85">
        <f>SUM(Q111:Q115)</f>
        <v>0</v>
      </c>
      <c r="R116" s="83">
        <f t="shared" si="48"/>
        <v>0</v>
      </c>
      <c r="S116" s="85">
        <f>SUM(S111:S115)</f>
        <v>0</v>
      </c>
      <c r="T116" s="83">
        <f t="shared" si="49"/>
        <v>0</v>
      </c>
      <c r="U116" s="85">
        <f>SUM(U111:U115)</f>
        <v>0</v>
      </c>
      <c r="V116" s="83">
        <f t="shared" si="50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458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7" tint="0.59999389629810485"/>
  </sheetPr>
  <dimension ref="A1:X119"/>
  <sheetViews>
    <sheetView topLeftCell="A39" zoomScale="70" zoomScaleNormal="70" workbookViewId="0" xr3:uid="{CF366857-BBDD-5199-9BC9-FF52903B0715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40.5703125" style="2" customWidth="1"/>
    <col min="3" max="3" width="14.42578125" style="2" customWidth="1"/>
    <col min="4" max="4" width="8.7109375" style="2" customWidth="1"/>
    <col min="5" max="5" width="15" style="2" customWidth="1"/>
    <col min="6" max="6" width="8.7109375" style="2" customWidth="1"/>
    <col min="7" max="7" width="14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41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Chili's (Graham Center)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236</v>
      </c>
      <c r="E8" s="109">
        <f>+C8</f>
        <v>236</v>
      </c>
      <c r="G8" s="109">
        <f>+E8</f>
        <v>236</v>
      </c>
      <c r="I8" s="109">
        <f>+G8</f>
        <v>236</v>
      </c>
      <c r="K8" s="109">
        <f>+I8</f>
        <v>236</v>
      </c>
      <c r="M8" s="109">
        <f>+K8</f>
        <v>236</v>
      </c>
      <c r="O8" s="109">
        <f>+M8</f>
        <v>236</v>
      </c>
      <c r="Q8" s="109">
        <f>+O8</f>
        <v>236</v>
      </c>
      <c r="S8" s="109">
        <f>+Q8</f>
        <v>236</v>
      </c>
      <c r="U8" s="109">
        <f>+S8</f>
        <v>236</v>
      </c>
    </row>
    <row r="10" spans="1:22" ht="12.75" customHeight="1">
      <c r="A10" s="2" t="s">
        <v>449</v>
      </c>
      <c r="C10" s="109">
        <f>+C14/C8/C12</f>
        <v>435.63559322033905</v>
      </c>
      <c r="E10" s="109">
        <f>+E14/E8/E12</f>
        <v>355.39743608788007</v>
      </c>
      <c r="G10" s="109">
        <f>+G14/G8/G12</f>
        <v>362.18795452521596</v>
      </c>
      <c r="I10" s="109">
        <f>+I14/I8/I12</f>
        <v>370.07983942908118</v>
      </c>
      <c r="K10" s="109">
        <f>+K14/K8/K12</f>
        <v>375.83304566649406</v>
      </c>
      <c r="M10" s="109">
        <f>+M14/M8/M12</f>
        <v>382.68126768430545</v>
      </c>
      <c r="O10" s="109">
        <f>+O14/O8/O12</f>
        <v>389.65545893348678</v>
      </c>
      <c r="Q10" s="109">
        <f>+Q14/Q8/Q12</f>
        <v>396.4135457993645</v>
      </c>
      <c r="S10" s="109">
        <f>+S14/S8/S12</f>
        <v>403.641051001807</v>
      </c>
      <c r="U10" s="109">
        <f>+U14/U8/U12</f>
        <v>411.00156428478107</v>
      </c>
    </row>
    <row r="12" spans="1:22" ht="12.75" customHeight="1">
      <c r="A12" s="2" t="s">
        <v>450</v>
      </c>
      <c r="C12" s="110">
        <v>11.41</v>
      </c>
      <c r="E12" s="110">
        <v>11.41</v>
      </c>
      <c r="G12" s="110">
        <v>11.42</v>
      </c>
      <c r="I12" s="110">
        <v>11.4</v>
      </c>
      <c r="K12" s="110">
        <v>11.45</v>
      </c>
      <c r="M12" s="110">
        <v>11.47</v>
      </c>
      <c r="O12" s="110">
        <v>11.49</v>
      </c>
      <c r="Q12" s="110">
        <v>11.52</v>
      </c>
      <c r="S12" s="110">
        <v>11.54</v>
      </c>
      <c r="U12" s="110">
        <v>11.56</v>
      </c>
    </row>
    <row r="14" spans="1:22" ht="12.75" customHeight="1">
      <c r="A14" s="2" t="s">
        <v>451</v>
      </c>
      <c r="C14" s="121">
        <v>1173062.1000000001</v>
      </c>
      <c r="E14" s="121">
        <v>957000</v>
      </c>
      <c r="G14" s="206">
        <f>+E14*1.02</f>
        <v>976140</v>
      </c>
      <c r="I14" s="206">
        <f>+G14*1.02</f>
        <v>995662.8</v>
      </c>
      <c r="K14" s="206">
        <f>+I14*1.02</f>
        <v>1015576.0560000001</v>
      </c>
      <c r="M14" s="206">
        <f>+K14*1.02</f>
        <v>1035887.5771200001</v>
      </c>
      <c r="O14" s="206">
        <f>+M14*1.02</f>
        <v>1056605.3286624001</v>
      </c>
      <c r="Q14" s="206">
        <f>+O14*1.02</f>
        <v>1077737.4352356482</v>
      </c>
      <c r="S14" s="206">
        <f>+Q14*1.02</f>
        <v>1099292.1839403613</v>
      </c>
      <c r="U14" s="206">
        <f>+S14*1.02</f>
        <v>1121278.0276191684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</f>
        <v>1027837.01202</v>
      </c>
      <c r="D19" s="80">
        <f>IFERROR(C19/C$28,0)</f>
        <v>0.87619999999999998</v>
      </c>
      <c r="E19" s="208">
        <f>+E14-E20</f>
        <v>447206.09999999992</v>
      </c>
      <c r="F19" s="80">
        <f>IFERROR(E19/E$28,0)</f>
        <v>0.46729999999999994</v>
      </c>
      <c r="G19" s="111">
        <f>E19*1.02</f>
        <v>456150.22199999995</v>
      </c>
      <c r="H19" s="80">
        <f>IFERROR(G19/G$28,0)</f>
        <v>0.46729999999999994</v>
      </c>
      <c r="I19" s="111">
        <f>G19*1.02</f>
        <v>465273.22643999994</v>
      </c>
      <c r="J19" s="80">
        <f>IFERROR(I19/I$28,0)</f>
        <v>0.46729999999999994</v>
      </c>
      <c r="K19" s="111">
        <f>I19*1.02</f>
        <v>474578.69096879993</v>
      </c>
      <c r="L19" s="80">
        <f>IFERROR(K19/K$28,0)</f>
        <v>0.46729999999999988</v>
      </c>
      <c r="M19" s="111">
        <f>K19*1.02</f>
        <v>484070.26478817593</v>
      </c>
      <c r="N19" s="80">
        <f>IFERROR(M19/M$28,0)</f>
        <v>0.46729999999999988</v>
      </c>
      <c r="O19" s="111">
        <f>M19*1.02</f>
        <v>493751.67008393945</v>
      </c>
      <c r="P19" s="80">
        <f>IFERROR(O19/O$28,0)</f>
        <v>0.46729999999999988</v>
      </c>
      <c r="Q19" s="111">
        <f>O19*1.02</f>
        <v>503626.70348561823</v>
      </c>
      <c r="R19" s="80">
        <f>IFERROR(Q19/Q$28,0)</f>
        <v>0.46729999999999983</v>
      </c>
      <c r="S19" s="111">
        <f>Q19*1.02</f>
        <v>513699.23755533062</v>
      </c>
      <c r="T19" s="80">
        <f>IFERROR(S19/S$28,0)</f>
        <v>0.46729999999999983</v>
      </c>
      <c r="U19" s="111">
        <f>S19*1.02</f>
        <v>523973.22230643727</v>
      </c>
      <c r="V19" s="80">
        <f>IFERROR(U19/U$28,0)</f>
        <v>0.46729999999999988</v>
      </c>
    </row>
    <row r="20" spans="1:24" ht="12.75" customHeight="1">
      <c r="A20" s="2" t="s">
        <v>357</v>
      </c>
      <c r="B20" s="35"/>
      <c r="C20" s="111">
        <f>+C14*12.38%</f>
        <v>145225.08798000001</v>
      </c>
      <c r="D20" s="80">
        <f>IFERROR(C20/C$28,0)</f>
        <v>0.12379999999999999</v>
      </c>
      <c r="E20" s="111">
        <f>+E14*53.27%</f>
        <v>509793.90000000008</v>
      </c>
      <c r="F20" s="80">
        <f>IFERROR(E20/E$28,0)</f>
        <v>0.53270000000000006</v>
      </c>
      <c r="G20" s="111">
        <f t="shared" ref="G20:U21" si="0">E20*1.02</f>
        <v>519989.77800000011</v>
      </c>
      <c r="H20" s="80">
        <f>IFERROR(G20/G$28,0)</f>
        <v>0.53270000000000006</v>
      </c>
      <c r="I20" s="111">
        <f t="shared" si="0"/>
        <v>530389.57356000016</v>
      </c>
      <c r="J20" s="80">
        <f>IFERROR(I20/I$28,0)</f>
        <v>0.53270000000000017</v>
      </c>
      <c r="K20" s="111">
        <f t="shared" si="0"/>
        <v>540997.36503120023</v>
      </c>
      <c r="L20" s="80">
        <f>IFERROR(K20/K$28,0)</f>
        <v>0.53270000000000017</v>
      </c>
      <c r="M20" s="111">
        <f t="shared" si="0"/>
        <v>551817.31233182421</v>
      </c>
      <c r="N20" s="80">
        <f>IFERROR(M20/M$28,0)</f>
        <v>0.53270000000000017</v>
      </c>
      <c r="O20" s="111">
        <f t="shared" si="0"/>
        <v>562853.65857846069</v>
      </c>
      <c r="P20" s="80">
        <f>IFERROR(O20/O$28,0)</f>
        <v>0.53270000000000017</v>
      </c>
      <c r="Q20" s="111">
        <f t="shared" si="0"/>
        <v>574110.73175002995</v>
      </c>
      <c r="R20" s="80">
        <f>IFERROR(Q20/Q$28,0)</f>
        <v>0.53270000000000017</v>
      </c>
      <c r="S20" s="111">
        <f t="shared" si="0"/>
        <v>585592.94638503052</v>
      </c>
      <c r="T20" s="80">
        <f>IFERROR(S20/S$28,0)</f>
        <v>0.53270000000000006</v>
      </c>
      <c r="U20" s="111">
        <f t="shared" si="0"/>
        <v>597304.80531273119</v>
      </c>
      <c r="V20" s="80">
        <f>IFERROR(U20/U$28,0)</f>
        <v>0.53270000000000017</v>
      </c>
    </row>
    <row r="21" spans="1:24" ht="12.75" customHeight="1">
      <c r="A21" s="2" t="s">
        <v>358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364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365</v>
      </c>
      <c r="B28" s="53"/>
      <c r="C28" s="82">
        <f>SUM(C19:C27)</f>
        <v>1173062.1000000001</v>
      </c>
      <c r="D28" s="83">
        <f t="shared" si="1"/>
        <v>1</v>
      </c>
      <c r="E28" s="82">
        <f>SUM(E19:E27)</f>
        <v>957000</v>
      </c>
      <c r="F28" s="83">
        <f t="shared" si="2"/>
        <v>1</v>
      </c>
      <c r="G28" s="82">
        <f>SUM(G19:G27)</f>
        <v>976140</v>
      </c>
      <c r="H28" s="83">
        <f t="shared" si="3"/>
        <v>1</v>
      </c>
      <c r="I28" s="82">
        <f>SUM(I19:I27)</f>
        <v>995662.8</v>
      </c>
      <c r="J28" s="83">
        <f t="shared" si="4"/>
        <v>1</v>
      </c>
      <c r="K28" s="82">
        <f>SUM(K19:K27)</f>
        <v>1015576.0560000001</v>
      </c>
      <c r="L28" s="83">
        <f t="shared" si="5"/>
        <v>1</v>
      </c>
      <c r="M28" s="82">
        <f>SUM(M19:M27)</f>
        <v>1035887.5771200001</v>
      </c>
      <c r="N28" s="83">
        <f t="shared" si="6"/>
        <v>1</v>
      </c>
      <c r="O28" s="82">
        <f>SUM(O19:O27)</f>
        <v>1056605.3286624001</v>
      </c>
      <c r="P28" s="83">
        <f t="shared" si="7"/>
        <v>1</v>
      </c>
      <c r="Q28" s="82">
        <f>SUM(Q19:Q27)</f>
        <v>1077737.4352356482</v>
      </c>
      <c r="R28" s="83">
        <f t="shared" si="8"/>
        <v>1</v>
      </c>
      <c r="S28" s="82">
        <f>SUM(S19:S27)</f>
        <v>1099292.1839403613</v>
      </c>
      <c r="T28" s="83">
        <f t="shared" si="9"/>
        <v>1</v>
      </c>
      <c r="U28" s="82">
        <f>SUM(U19:U27)</f>
        <v>1121278.0276191684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0.315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369514.56150000001</v>
      </c>
      <c r="D31" s="80">
        <f>IFERROR(C31/C$28,0)</f>
        <v>0.315</v>
      </c>
      <c r="E31" s="179">
        <f>$C$30*E14</f>
        <v>301455</v>
      </c>
      <c r="F31" s="80">
        <f>IFERROR(E31/E$28,0)</f>
        <v>0.315</v>
      </c>
      <c r="G31" s="179">
        <f>$C$30*G14</f>
        <v>307484.09999999998</v>
      </c>
      <c r="H31" s="80">
        <f>IFERROR(G31/G$28,0)</f>
        <v>0.315</v>
      </c>
      <c r="I31" s="179">
        <f>$C$30*I14</f>
        <v>313633.78200000001</v>
      </c>
      <c r="J31" s="80">
        <f>IFERROR(I31/I$28,0)</f>
        <v>0.315</v>
      </c>
      <c r="K31" s="179">
        <f>$C$30*K14</f>
        <v>319906.45764000004</v>
      </c>
      <c r="L31" s="80">
        <f>IFERROR(K31/K$28,0)</f>
        <v>0.315</v>
      </c>
      <c r="M31" s="179">
        <f>$C$30*M14</f>
        <v>326304.58679280005</v>
      </c>
      <c r="N31" s="80">
        <f>IFERROR(M31/M$28,0)</f>
        <v>0.315</v>
      </c>
      <c r="O31" s="179">
        <f>$C$30*O14</f>
        <v>332830.67852865602</v>
      </c>
      <c r="P31" s="80">
        <f>IFERROR(O31/O$28,0)</f>
        <v>0.315</v>
      </c>
      <c r="Q31" s="179">
        <f>$C$30*Q14</f>
        <v>339487.29209922918</v>
      </c>
      <c r="R31" s="80">
        <f>IFERROR(Q31/Q$28,0)</f>
        <v>0.315</v>
      </c>
      <c r="S31" s="179">
        <f>$C$30*S14</f>
        <v>346277.03794121381</v>
      </c>
      <c r="T31" s="80">
        <f>IFERROR(S31/S$28,0)</f>
        <v>0.315</v>
      </c>
      <c r="U31" s="179">
        <f>$C$30*U14</f>
        <v>353202.57870003802</v>
      </c>
      <c r="V31" s="80">
        <f>IFERROR(U31/U$28,0)</f>
        <v>0.315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369514.56150000001</v>
      </c>
      <c r="D33" s="83">
        <f>IFERROR(C33/C$28,0)</f>
        <v>0.315</v>
      </c>
      <c r="E33" s="82">
        <f>SUM(E31:E32)</f>
        <v>301455</v>
      </c>
      <c r="F33" s="83">
        <f>IFERROR(E33/E$28,0)</f>
        <v>0.315</v>
      </c>
      <c r="G33" s="82">
        <f>SUM(G31:G32)</f>
        <v>307484.09999999998</v>
      </c>
      <c r="H33" s="83">
        <f>IFERROR(G33/G$28,0)</f>
        <v>0.315</v>
      </c>
      <c r="I33" s="82">
        <f>SUM(I31:I32)</f>
        <v>313633.78200000001</v>
      </c>
      <c r="J33" s="83">
        <f>IFERROR(I33/I$28,0)</f>
        <v>0.315</v>
      </c>
      <c r="K33" s="82">
        <f>SUM(K31:K32)</f>
        <v>319906.45764000004</v>
      </c>
      <c r="L33" s="83">
        <f>IFERROR(K33/K$28,0)</f>
        <v>0.315</v>
      </c>
      <c r="M33" s="82">
        <f>SUM(M31:M32)</f>
        <v>326304.58679280005</v>
      </c>
      <c r="N33" s="83">
        <f>IFERROR(M33/M$28,0)</f>
        <v>0.315</v>
      </c>
      <c r="O33" s="82">
        <f>SUM(O31:O32)</f>
        <v>332830.67852865602</v>
      </c>
      <c r="P33" s="83">
        <f>IFERROR(O33/O$28,0)</f>
        <v>0.315</v>
      </c>
      <c r="Q33" s="82">
        <f>SUM(Q31:Q32)</f>
        <v>339487.29209922918</v>
      </c>
      <c r="R33" s="83">
        <f>IFERROR(Q33/Q$28,0)</f>
        <v>0.315</v>
      </c>
      <c r="S33" s="82">
        <f>SUM(S31:S32)</f>
        <v>346277.03794121381</v>
      </c>
      <c r="T33" s="83">
        <f>IFERROR(S33/S$28,0)</f>
        <v>0.315</v>
      </c>
      <c r="U33" s="82">
        <f>SUM(U31:U32)</f>
        <v>353202.57870003802</v>
      </c>
      <c r="V33" s="83">
        <f>IFERROR(U33/U$28,0)</f>
        <v>0.315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>
        <v>47148</v>
      </c>
      <c r="D36" s="80">
        <f t="shared" ref="D36:D46" si="11">IFERROR(C36/C$28,0)</f>
        <v>4.0192245576768697E-2</v>
      </c>
      <c r="E36" s="179">
        <f>+C36*1.02</f>
        <v>48090.96</v>
      </c>
      <c r="F36" s="80">
        <f t="shared" ref="F36:F46" si="12">IFERROR(E36/E$28,0)</f>
        <v>5.0251786833855797E-2</v>
      </c>
      <c r="G36" s="179">
        <f>+E36*1.02</f>
        <v>49052.779199999997</v>
      </c>
      <c r="H36" s="80">
        <f t="shared" ref="H36:H46" si="13">IFERROR(G36/G$28,0)</f>
        <v>5.0251786833855797E-2</v>
      </c>
      <c r="I36" s="179">
        <f>+G36*1.02</f>
        <v>50033.834783999999</v>
      </c>
      <c r="J36" s="80">
        <f t="shared" ref="J36:J46" si="14">IFERROR(I36/I$28,0)</f>
        <v>5.0251786833855797E-2</v>
      </c>
      <c r="K36" s="179">
        <f>+I36*1.02</f>
        <v>51034.511479679997</v>
      </c>
      <c r="L36" s="80">
        <f t="shared" ref="L36:L46" si="15">IFERROR(K36/K$28,0)</f>
        <v>5.025178683385579E-2</v>
      </c>
      <c r="M36" s="179">
        <f>+K36*1.02</f>
        <v>52055.201709273599</v>
      </c>
      <c r="N36" s="80">
        <f t="shared" ref="N36:N46" si="16">IFERROR(M36/M$28,0)</f>
        <v>5.025178683385579E-2</v>
      </c>
      <c r="O36" s="179">
        <f>+M36*1.02</f>
        <v>53096.305743459074</v>
      </c>
      <c r="P36" s="80">
        <f t="shared" ref="P36:P46" si="17">IFERROR(O36/O$28,0)</f>
        <v>5.0251786833855797E-2</v>
      </c>
      <c r="Q36" s="179">
        <f>+O36*1.02</f>
        <v>54158.231858328254</v>
      </c>
      <c r="R36" s="80">
        <f t="shared" ref="R36:R46" si="18">IFERROR(Q36/Q$28,0)</f>
        <v>5.025178683385579E-2</v>
      </c>
      <c r="S36" s="179">
        <f>+Q36*1.02</f>
        <v>55241.396495494817</v>
      </c>
      <c r="T36" s="80">
        <f t="shared" ref="T36:T46" si="19">IFERROR(S36/S$28,0)</f>
        <v>5.0251786833855783E-2</v>
      </c>
      <c r="U36" s="179">
        <f>+S36*1.02</f>
        <v>56346.224425404711</v>
      </c>
      <c r="V36" s="80">
        <f t="shared" ref="V36:V46" si="20">IFERROR(U36/U$28,0)</f>
        <v>5.0251786833855783E-2</v>
      </c>
    </row>
    <row r="37" spans="1:22" ht="12.75" customHeight="1">
      <c r="A37" s="2" t="s">
        <v>372</v>
      </c>
      <c r="B37" s="35"/>
      <c r="C37" s="179">
        <v>213240</v>
      </c>
      <c r="D37" s="80">
        <f t="shared" si="11"/>
        <v>0.18178065764804777</v>
      </c>
      <c r="E37" s="179">
        <f>+C37*1.112</f>
        <v>237122.88000000003</v>
      </c>
      <c r="F37" s="80">
        <f t="shared" si="12"/>
        <v>0.24777730407523516</v>
      </c>
      <c r="G37" s="179">
        <f>+E37*1.035</f>
        <v>245422.1808</v>
      </c>
      <c r="H37" s="80">
        <f t="shared" si="13"/>
        <v>0.25142108795869444</v>
      </c>
      <c r="I37" s="179">
        <f>+G37*1.032</f>
        <v>253275.69058560001</v>
      </c>
      <c r="J37" s="80">
        <f t="shared" si="14"/>
        <v>0.25437898311114965</v>
      </c>
      <c r="K37" s="179">
        <f>+I37*1.025</f>
        <v>259607.58285024</v>
      </c>
      <c r="L37" s="80">
        <f t="shared" si="15"/>
        <v>0.25562593891071411</v>
      </c>
      <c r="M37" s="179">
        <f>+K37*1.025</f>
        <v>266097.77242149599</v>
      </c>
      <c r="N37" s="80">
        <f t="shared" si="16"/>
        <v>0.25687900723870777</v>
      </c>
      <c r="O37" s="179">
        <f>+M37*1.025</f>
        <v>272750.21673203335</v>
      </c>
      <c r="P37" s="80">
        <f t="shared" si="17"/>
        <v>0.25813821805850534</v>
      </c>
      <c r="Q37" s="179">
        <f>+O37*1.025</f>
        <v>279568.97215033416</v>
      </c>
      <c r="R37" s="80">
        <f t="shared" si="18"/>
        <v>0.25940360148036073</v>
      </c>
      <c r="S37" s="179">
        <f>+Q37*1.025</f>
        <v>286558.19645409251</v>
      </c>
      <c r="T37" s="80">
        <f t="shared" si="19"/>
        <v>0.26067518776212717</v>
      </c>
      <c r="U37" s="179">
        <f>+S37*1.025</f>
        <v>293722.15136544482</v>
      </c>
      <c r="V37" s="80">
        <f t="shared" si="20"/>
        <v>0.26195300730998078</v>
      </c>
    </row>
    <row r="38" spans="1:22" ht="12.75" customHeight="1">
      <c r="A38" s="2" t="s">
        <v>373</v>
      </c>
      <c r="B38" s="35"/>
      <c r="C38" s="179">
        <v>24501</v>
      </c>
      <c r="D38" s="80">
        <f t="shared" si="11"/>
        <v>2.0886362282099131E-2</v>
      </c>
      <c r="E38" s="179">
        <f t="shared" ref="E38:E39" si="21">+C38*1.112</f>
        <v>27245.112000000001</v>
      </c>
      <c r="F38" s="80">
        <f t="shared" si="12"/>
        <v>2.8469291536050156E-2</v>
      </c>
      <c r="G38" s="179">
        <f>+E38*1.035</f>
        <v>28198.690919999997</v>
      </c>
      <c r="H38" s="80">
        <f t="shared" si="13"/>
        <v>2.8887957588050892E-2</v>
      </c>
      <c r="I38" s="179">
        <f>+G38*1.032</f>
        <v>29101.049029439997</v>
      </c>
      <c r="J38" s="80">
        <f t="shared" si="14"/>
        <v>2.9227815912616195E-2</v>
      </c>
      <c r="K38" s="179">
        <f>+I38*1.025</f>
        <v>29828.575255175994</v>
      </c>
      <c r="L38" s="80">
        <f t="shared" si="15"/>
        <v>2.9371089520030976E-2</v>
      </c>
      <c r="M38" s="179">
        <f>+K38*1.025</f>
        <v>30574.28963655539</v>
      </c>
      <c r="N38" s="80">
        <f t="shared" si="16"/>
        <v>2.9515065449050731E-2</v>
      </c>
      <c r="O38" s="179">
        <f>+M38*1.025</f>
        <v>31338.646877469273</v>
      </c>
      <c r="P38" s="80">
        <f t="shared" si="17"/>
        <v>2.965974714242843E-2</v>
      </c>
      <c r="Q38" s="179">
        <f>+O38*1.025</f>
        <v>32122.113049406002</v>
      </c>
      <c r="R38" s="80">
        <f t="shared" si="18"/>
        <v>2.9805138059793269E-2</v>
      </c>
      <c r="S38" s="179">
        <f>+Q38*1.025</f>
        <v>32925.165875641149</v>
      </c>
      <c r="T38" s="80">
        <f t="shared" si="19"/>
        <v>2.9951241677733428E-2</v>
      </c>
      <c r="U38" s="179">
        <f>+S38*1.025</f>
        <v>33748.295022532177</v>
      </c>
      <c r="V38" s="80">
        <f t="shared" si="20"/>
        <v>3.0098061489879181E-2</v>
      </c>
    </row>
    <row r="39" spans="1:22" ht="12.75" customHeight="1">
      <c r="A39" s="2" t="s">
        <v>374</v>
      </c>
      <c r="B39" s="35"/>
      <c r="C39" s="179">
        <v>144101</v>
      </c>
      <c r="D39" s="80">
        <f t="shared" si="11"/>
        <v>0.1228417489577065</v>
      </c>
      <c r="E39" s="179">
        <f t="shared" si="21"/>
        <v>160240.31200000001</v>
      </c>
      <c r="F39" s="80">
        <f t="shared" si="12"/>
        <v>0.16744024242424244</v>
      </c>
      <c r="G39" s="179">
        <f>+E39*1.035</f>
        <v>165848.72292</v>
      </c>
      <c r="H39" s="80">
        <f t="shared" si="13"/>
        <v>0.16990259893048129</v>
      </c>
      <c r="I39" s="179">
        <f>+G39*1.032</f>
        <v>171155.88205344</v>
      </c>
      <c r="J39" s="80">
        <f t="shared" si="14"/>
        <v>0.17190145303554577</v>
      </c>
      <c r="K39" s="179">
        <f>+I39*1.025</f>
        <v>175434.77910477598</v>
      </c>
      <c r="L39" s="80">
        <f t="shared" si="15"/>
        <v>0.17274410721709252</v>
      </c>
      <c r="M39" s="179">
        <f>+K39*1.025</f>
        <v>179820.64858239537</v>
      </c>
      <c r="N39" s="80">
        <f t="shared" si="16"/>
        <v>0.17359089205639197</v>
      </c>
      <c r="O39" s="179">
        <f>+M39*1.025</f>
        <v>184316.16479695524</v>
      </c>
      <c r="P39" s="80">
        <f t="shared" si="17"/>
        <v>0.17444182780176645</v>
      </c>
      <c r="Q39" s="179">
        <f>+O39*1.025</f>
        <v>188924.0689168791</v>
      </c>
      <c r="R39" s="80">
        <f t="shared" si="18"/>
        <v>0.17529693480079467</v>
      </c>
      <c r="S39" s="179">
        <f>+Q39*1.025</f>
        <v>193647.17063980107</v>
      </c>
      <c r="T39" s="80">
        <f t="shared" si="19"/>
        <v>0.17615623350079856</v>
      </c>
      <c r="U39" s="179">
        <f>+S39*1.025</f>
        <v>198488.34990579609</v>
      </c>
      <c r="V39" s="80">
        <f t="shared" si="20"/>
        <v>0.17701974444933188</v>
      </c>
    </row>
    <row r="40" spans="1:22" ht="12.75" customHeight="1">
      <c r="A40" s="2" t="s">
        <v>375</v>
      </c>
      <c r="B40" s="35"/>
      <c r="C40" s="179">
        <f>C36*0.124</f>
        <v>5846.3519999999999</v>
      </c>
      <c r="D40" s="80">
        <f t="shared" si="11"/>
        <v>4.9838384515193184E-3</v>
      </c>
      <c r="E40" s="179">
        <f>E36*0.124</f>
        <v>5963.2790399999994</v>
      </c>
      <c r="F40" s="80">
        <f t="shared" si="12"/>
        <v>6.2312215673981184E-3</v>
      </c>
      <c r="G40" s="179">
        <f>G36*0.124</f>
        <v>6082.5446207999994</v>
      </c>
      <c r="H40" s="80">
        <f t="shared" si="13"/>
        <v>6.2312215673981184E-3</v>
      </c>
      <c r="I40" s="179">
        <f>I36*0.124</f>
        <v>6204.1955132160001</v>
      </c>
      <c r="J40" s="80">
        <f t="shared" si="14"/>
        <v>6.2312215673981193E-3</v>
      </c>
      <c r="K40" s="179">
        <f>K36*0.124</f>
        <v>6328.2794234803196</v>
      </c>
      <c r="L40" s="80">
        <f t="shared" si="15"/>
        <v>6.2312215673981184E-3</v>
      </c>
      <c r="M40" s="179">
        <f>M36*0.124</f>
        <v>6454.8450119499266</v>
      </c>
      <c r="N40" s="80">
        <f t="shared" si="16"/>
        <v>6.2312215673981184E-3</v>
      </c>
      <c r="O40" s="179">
        <f>O36*0.124</f>
        <v>6583.941912188925</v>
      </c>
      <c r="P40" s="80">
        <f t="shared" si="17"/>
        <v>6.2312215673981184E-3</v>
      </c>
      <c r="Q40" s="179">
        <f>Q36*0.124</f>
        <v>6715.6207504327031</v>
      </c>
      <c r="R40" s="80">
        <f t="shared" si="18"/>
        <v>6.2312215673981175E-3</v>
      </c>
      <c r="S40" s="179">
        <f>S36*0.124</f>
        <v>6849.9331654413572</v>
      </c>
      <c r="T40" s="80">
        <f t="shared" si="19"/>
        <v>6.2312215673981175E-3</v>
      </c>
      <c r="U40" s="179">
        <f>U36*0.124</f>
        <v>6986.9318287501837</v>
      </c>
      <c r="V40" s="80">
        <f t="shared" si="20"/>
        <v>6.2312215673981175E-3</v>
      </c>
    </row>
    <row r="41" spans="1:22" ht="12.75" customHeight="1">
      <c r="A41" s="2" t="s">
        <v>376</v>
      </c>
      <c r="B41" s="35"/>
      <c r="C41" s="179">
        <f>C37*0.124</f>
        <v>26441.759999999998</v>
      </c>
      <c r="D41" s="80">
        <f t="shared" si="11"/>
        <v>2.2540801548357924E-2</v>
      </c>
      <c r="E41" s="179">
        <f>E37*0.124</f>
        <v>29403.237120000005</v>
      </c>
      <c r="F41" s="80">
        <f t="shared" si="12"/>
        <v>3.072438570532916E-2</v>
      </c>
      <c r="G41" s="179">
        <f>G37*0.124</f>
        <v>30432.3504192</v>
      </c>
      <c r="H41" s="80">
        <f t="shared" si="13"/>
        <v>3.1176214906878112E-2</v>
      </c>
      <c r="I41" s="179">
        <f>I37*0.124</f>
        <v>31406.185632614401</v>
      </c>
      <c r="J41" s="80">
        <f t="shared" si="14"/>
        <v>3.1542993905782558E-2</v>
      </c>
      <c r="K41" s="179">
        <f>K37*0.124</f>
        <v>32191.34027342976</v>
      </c>
      <c r="L41" s="80">
        <f t="shared" si="15"/>
        <v>3.1697616424928549E-2</v>
      </c>
      <c r="M41" s="179">
        <f>M37*0.124</f>
        <v>32996.123780265501</v>
      </c>
      <c r="N41" s="80">
        <f t="shared" si="16"/>
        <v>3.1852996897599767E-2</v>
      </c>
      <c r="O41" s="179">
        <f>O37*0.124</f>
        <v>33821.026874772135</v>
      </c>
      <c r="P41" s="80">
        <f t="shared" si="17"/>
        <v>3.2009139039254661E-2</v>
      </c>
      <c r="Q41" s="179">
        <f>Q37*0.124</f>
        <v>34666.552546641433</v>
      </c>
      <c r="R41" s="80">
        <f t="shared" si="18"/>
        <v>3.2166046583564728E-2</v>
      </c>
      <c r="S41" s="179">
        <f>S37*0.124</f>
        <v>35533.216360307473</v>
      </c>
      <c r="T41" s="80">
        <f t="shared" si="19"/>
        <v>3.2323723282503769E-2</v>
      </c>
      <c r="U41" s="179">
        <f>U37*0.124</f>
        <v>36421.546769315159</v>
      </c>
      <c r="V41" s="80">
        <f t="shared" si="20"/>
        <v>3.2482172906437616E-2</v>
      </c>
    </row>
    <row r="42" spans="1:22" ht="12.75" customHeight="1">
      <c r="A42" s="2" t="s">
        <v>377</v>
      </c>
      <c r="B42" s="35"/>
      <c r="C42" s="179"/>
      <c r="D42" s="80">
        <f t="shared" si="11"/>
        <v>0</v>
      </c>
      <c r="E42" s="179"/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79"/>
      <c r="D43" s="80">
        <f t="shared" si="11"/>
        <v>0</v>
      </c>
      <c r="E43" s="179"/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79"/>
      <c r="D44" s="80">
        <f t="shared" si="11"/>
        <v>0</v>
      </c>
      <c r="E44" s="179"/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82">
        <f>SUM(C36:C39)*0.094</f>
        <v>40325.06</v>
      </c>
      <c r="D45" s="80">
        <f t="shared" si="11"/>
        <v>3.4375895359674474E-2</v>
      </c>
      <c r="E45" s="182">
        <f>SUM(E36:E39)*0.094</f>
        <v>44433.73081600001</v>
      </c>
      <c r="F45" s="80">
        <f t="shared" si="12"/>
        <v>4.643023073772206E-2</v>
      </c>
      <c r="G45" s="182">
        <f>SUM(G36:G39)*0.094</f>
        <v>45921.103140960004</v>
      </c>
      <c r="H45" s="80">
        <f t="shared" si="13"/>
        <v>4.7043562543241754E-2</v>
      </c>
      <c r="I45" s="182">
        <f>SUM(I36:I39)*0.094</f>
        <v>47335.246906533117</v>
      </c>
      <c r="J45" s="80">
        <f t="shared" si="14"/>
        <v>4.7541443655957735E-2</v>
      </c>
      <c r="K45" s="182">
        <f>SUM(K36:K39)*0.094</f>
        <v>48495.112176847964</v>
      </c>
      <c r="L45" s="80">
        <f t="shared" si="15"/>
        <v>4.7751334713279178E-2</v>
      </c>
      <c r="M45" s="182">
        <f>SUM(M36:M39)*0.094</f>
        <v>49683.503760873718</v>
      </c>
      <c r="N45" s="80">
        <f t="shared" si="16"/>
        <v>4.7962254648332599E-2</v>
      </c>
      <c r="O45" s="182">
        <f>SUM(O36:O39)*0.094</f>
        <v>50901.125410092187</v>
      </c>
      <c r="P45" s="80">
        <f t="shared" si="17"/>
        <v>4.8174208504636259E-2</v>
      </c>
      <c r="Q45" s="182">
        <f>SUM(Q36:Q39)*0.094</f>
        <v>52148.698281645062</v>
      </c>
      <c r="R45" s="80">
        <f t="shared" si="18"/>
        <v>4.8387201350431619E-2</v>
      </c>
      <c r="S45" s="182">
        <f>SUM(S36:S39)*0.094</f>
        <v>53426.961369712786</v>
      </c>
      <c r="T45" s="80">
        <f t="shared" si="19"/>
        <v>4.8601238278804415E-2</v>
      </c>
      <c r="U45" s="182">
        <f>SUM(U36:U39)*0.094</f>
        <v>54736.671947602714</v>
      </c>
      <c r="V45" s="80">
        <f t="shared" si="20"/>
        <v>4.8816324407806477E-2</v>
      </c>
    </row>
    <row r="46" spans="1:22" ht="12.75" customHeight="1">
      <c r="A46" s="1" t="s">
        <v>381</v>
      </c>
      <c r="B46" s="53"/>
      <c r="C46" s="82">
        <f>SUM(C36:C45)</f>
        <v>501603.17200000002</v>
      </c>
      <c r="D46" s="83">
        <f t="shared" si="11"/>
        <v>0.42760154982417381</v>
      </c>
      <c r="E46" s="82">
        <f>SUM(E36:E45)</f>
        <v>552499.51097600011</v>
      </c>
      <c r="F46" s="83">
        <f t="shared" si="12"/>
        <v>0.57732446287983297</v>
      </c>
      <c r="G46" s="82">
        <f>SUM(G36:G45)</f>
        <v>570958.37202095997</v>
      </c>
      <c r="H46" s="83">
        <f t="shared" si="13"/>
        <v>0.58491443032860035</v>
      </c>
      <c r="I46" s="82">
        <f>SUM(I36:I45)</f>
        <v>588512.08450484346</v>
      </c>
      <c r="J46" s="83">
        <f t="shared" si="14"/>
        <v>0.59107569802230575</v>
      </c>
      <c r="K46" s="82">
        <f>SUM(K36:K45)</f>
        <v>602920.18056363007</v>
      </c>
      <c r="L46" s="83">
        <f t="shared" si="15"/>
        <v>0.59367309518729927</v>
      </c>
      <c r="M46" s="82">
        <f>SUM(M36:M45)</f>
        <v>617682.3849028094</v>
      </c>
      <c r="N46" s="83">
        <f t="shared" si="16"/>
        <v>0.59628322469133666</v>
      </c>
      <c r="O46" s="82">
        <f>SUM(O36:O45)</f>
        <v>632807.42834697012</v>
      </c>
      <c r="P46" s="83">
        <f t="shared" si="17"/>
        <v>0.598906148947845</v>
      </c>
      <c r="Q46" s="82">
        <f>SUM(Q36:Q45)</f>
        <v>648304.25755366671</v>
      </c>
      <c r="R46" s="83">
        <f t="shared" si="18"/>
        <v>0.60154193067619888</v>
      </c>
      <c r="S46" s="82">
        <f>SUM(S36:S45)</f>
        <v>664182.04036049126</v>
      </c>
      <c r="T46" s="83">
        <f t="shared" si="19"/>
        <v>0.60419063290322128</v>
      </c>
      <c r="U46" s="82">
        <f>SUM(U36:U45)</f>
        <v>680450.17126484588</v>
      </c>
      <c r="V46" s="83">
        <f t="shared" si="20"/>
        <v>0.60685231896468983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2">IFERROR(C52/C$28,0)</f>
        <v>0</v>
      </c>
      <c r="E52" s="179">
        <v>0</v>
      </c>
      <c r="F52" s="80">
        <f t="shared" ref="F52:F104" si="23">IFERROR(E52/E$28,0)</f>
        <v>0</v>
      </c>
      <c r="G52" s="179">
        <v>0</v>
      </c>
      <c r="H52" s="80">
        <f t="shared" ref="H52:H104" si="24">IFERROR(G52/G$28,0)</f>
        <v>0</v>
      </c>
      <c r="I52" s="179">
        <v>0</v>
      </c>
      <c r="J52" s="80">
        <f t="shared" ref="J52:J104" si="25">IFERROR(I52/I$28,0)</f>
        <v>0</v>
      </c>
      <c r="K52" s="179">
        <v>0</v>
      </c>
      <c r="L52" s="80">
        <f t="shared" ref="L52:L104" si="26">IFERROR(K52/K$28,0)</f>
        <v>0</v>
      </c>
      <c r="M52" s="179">
        <v>0</v>
      </c>
      <c r="N52" s="80">
        <f t="shared" ref="N52:N104" si="27">IFERROR(M52/M$28,0)</f>
        <v>0</v>
      </c>
      <c r="O52" s="179">
        <v>0</v>
      </c>
      <c r="P52" s="80">
        <f t="shared" ref="P52:P104" si="28">IFERROR(O52/O$28,0)</f>
        <v>0</v>
      </c>
      <c r="Q52" s="179">
        <v>0</v>
      </c>
      <c r="R52" s="80">
        <f t="shared" ref="R52:R104" si="29">IFERROR(Q52/Q$28,0)</f>
        <v>0</v>
      </c>
      <c r="S52" s="179">
        <v>0</v>
      </c>
      <c r="T52" s="80">
        <f t="shared" ref="T52:T104" si="30">IFERROR(S52/S$28,0)</f>
        <v>0</v>
      </c>
      <c r="U52" s="179">
        <v>0</v>
      </c>
      <c r="V52" s="80">
        <f t="shared" ref="V52:V105" si="31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2"/>
        <v>0</v>
      </c>
      <c r="E53" s="179">
        <v>0</v>
      </c>
      <c r="F53" s="80">
        <f t="shared" si="23"/>
        <v>0</v>
      </c>
      <c r="G53" s="179">
        <v>0</v>
      </c>
      <c r="H53" s="80">
        <f t="shared" si="24"/>
        <v>0</v>
      </c>
      <c r="I53" s="179">
        <v>0</v>
      </c>
      <c r="J53" s="80">
        <f t="shared" si="25"/>
        <v>0</v>
      </c>
      <c r="K53" s="179">
        <v>0</v>
      </c>
      <c r="L53" s="80">
        <f t="shared" si="26"/>
        <v>0</v>
      </c>
      <c r="M53" s="179">
        <v>0</v>
      </c>
      <c r="N53" s="80">
        <f t="shared" si="27"/>
        <v>0</v>
      </c>
      <c r="O53" s="179">
        <v>0</v>
      </c>
      <c r="P53" s="80">
        <f t="shared" si="28"/>
        <v>0</v>
      </c>
      <c r="Q53" s="179">
        <v>0</v>
      </c>
      <c r="R53" s="80">
        <f t="shared" si="29"/>
        <v>0</v>
      </c>
      <c r="S53" s="179">
        <v>0</v>
      </c>
      <c r="T53" s="80">
        <f t="shared" si="30"/>
        <v>0</v>
      </c>
      <c r="U53" s="179">
        <v>0</v>
      </c>
      <c r="V53" s="80">
        <f t="shared" si="31"/>
        <v>0</v>
      </c>
      <c r="X53" s="200"/>
    </row>
    <row r="54" spans="1:24" ht="12.75" customHeight="1">
      <c r="A54" s="2" t="s">
        <v>385</v>
      </c>
      <c r="B54" s="35"/>
      <c r="C54" s="179">
        <v>821.14347000000009</v>
      </c>
      <c r="D54" s="80">
        <f t="shared" si="22"/>
        <v>6.9999999999999999E-4</v>
      </c>
      <c r="E54" s="179">
        <v>669.9</v>
      </c>
      <c r="F54" s="80">
        <f t="shared" si="23"/>
        <v>6.9999999999999999E-4</v>
      </c>
      <c r="G54" s="179">
        <v>683.29800000000012</v>
      </c>
      <c r="H54" s="80">
        <f t="shared" si="24"/>
        <v>7.000000000000001E-4</v>
      </c>
      <c r="I54" s="179">
        <v>696.96395999999993</v>
      </c>
      <c r="J54" s="80">
        <f t="shared" si="25"/>
        <v>6.9999999999999988E-4</v>
      </c>
      <c r="K54" s="179">
        <v>710.90323920000014</v>
      </c>
      <c r="L54" s="80">
        <f t="shared" si="26"/>
        <v>7.000000000000001E-4</v>
      </c>
      <c r="M54" s="179">
        <v>725.12130398400018</v>
      </c>
      <c r="N54" s="80">
        <f t="shared" si="27"/>
        <v>7.000000000000001E-4</v>
      </c>
      <c r="O54" s="179">
        <v>739.62373006368011</v>
      </c>
      <c r="P54" s="80">
        <f t="shared" si="28"/>
        <v>6.9999999999999999E-4</v>
      </c>
      <c r="Q54" s="179">
        <v>754.41620466495374</v>
      </c>
      <c r="R54" s="80">
        <f t="shared" si="29"/>
        <v>6.9999999999999999E-4</v>
      </c>
      <c r="S54" s="179">
        <v>769.50452875825272</v>
      </c>
      <c r="T54" s="80">
        <f t="shared" si="30"/>
        <v>6.9999999999999988E-4</v>
      </c>
      <c r="U54" s="179">
        <v>784.89461933341784</v>
      </c>
      <c r="V54" s="80">
        <f t="shared" si="31"/>
        <v>6.9999999999999999E-4</v>
      </c>
      <c r="X54" s="200"/>
    </row>
    <row r="55" spans="1:24" ht="12.75" customHeight="1">
      <c r="A55" s="2" t="s">
        <v>386</v>
      </c>
      <c r="B55" s="35"/>
      <c r="C55" s="179">
        <v>93844.968000000008</v>
      </c>
      <c r="D55" s="80">
        <f t="shared" si="22"/>
        <v>0.08</v>
      </c>
      <c r="E55" s="179">
        <v>76560</v>
      </c>
      <c r="F55" s="80">
        <f t="shared" si="23"/>
        <v>0.08</v>
      </c>
      <c r="G55" s="179">
        <v>78091.199999999997</v>
      </c>
      <c r="H55" s="80">
        <f t="shared" si="24"/>
        <v>0.08</v>
      </c>
      <c r="I55" s="179">
        <v>79653.024000000005</v>
      </c>
      <c r="J55" s="80">
        <f t="shared" si="25"/>
        <v>0.08</v>
      </c>
      <c r="K55" s="179">
        <v>81246.084480000005</v>
      </c>
      <c r="L55" s="80">
        <f t="shared" si="26"/>
        <v>0.08</v>
      </c>
      <c r="M55" s="179">
        <v>82871.006169600019</v>
      </c>
      <c r="N55" s="80">
        <f t="shared" si="27"/>
        <v>0.08</v>
      </c>
      <c r="O55" s="179">
        <v>84528.426292992008</v>
      </c>
      <c r="P55" s="80">
        <f t="shared" si="28"/>
        <v>0.08</v>
      </c>
      <c r="Q55" s="179">
        <v>86218.994818851861</v>
      </c>
      <c r="R55" s="80">
        <f t="shared" si="29"/>
        <v>0.08</v>
      </c>
      <c r="S55" s="179">
        <v>87943.3747152289</v>
      </c>
      <c r="T55" s="80">
        <f t="shared" si="30"/>
        <v>0.08</v>
      </c>
      <c r="U55" s="179">
        <v>89702.242209533477</v>
      </c>
      <c r="V55" s="80">
        <f t="shared" si="31"/>
        <v>0.08</v>
      </c>
      <c r="X55" s="200"/>
    </row>
    <row r="56" spans="1:24" ht="12.75" customHeight="1">
      <c r="A56" s="2" t="s">
        <v>387</v>
      </c>
      <c r="B56" s="35"/>
      <c r="C56" s="179">
        <v>598.26167100000009</v>
      </c>
      <c r="D56" s="80">
        <f t="shared" si="22"/>
        <v>5.1000000000000004E-4</v>
      </c>
      <c r="E56" s="179">
        <v>488.07000000000005</v>
      </c>
      <c r="F56" s="80">
        <f t="shared" si="23"/>
        <v>5.1000000000000004E-4</v>
      </c>
      <c r="G56" s="179">
        <v>497.83140000000003</v>
      </c>
      <c r="H56" s="80">
        <f t="shared" si="24"/>
        <v>5.1000000000000004E-4</v>
      </c>
      <c r="I56" s="179">
        <v>507.78802800000011</v>
      </c>
      <c r="J56" s="80">
        <f t="shared" si="25"/>
        <v>5.1000000000000004E-4</v>
      </c>
      <c r="K56" s="179">
        <v>517.94378856000014</v>
      </c>
      <c r="L56" s="80">
        <f t="shared" si="26"/>
        <v>5.1000000000000015E-4</v>
      </c>
      <c r="M56" s="179">
        <v>528.30266433120016</v>
      </c>
      <c r="N56" s="80">
        <f t="shared" si="27"/>
        <v>5.1000000000000004E-4</v>
      </c>
      <c r="O56" s="179">
        <v>538.86871761782413</v>
      </c>
      <c r="P56" s="80">
        <f t="shared" si="28"/>
        <v>5.1000000000000004E-4</v>
      </c>
      <c r="Q56" s="179">
        <v>549.64609197018069</v>
      </c>
      <c r="R56" s="80">
        <f t="shared" si="29"/>
        <v>5.1000000000000015E-4</v>
      </c>
      <c r="S56" s="179">
        <v>560.63901380958418</v>
      </c>
      <c r="T56" s="80">
        <f t="shared" si="30"/>
        <v>5.0999999999999993E-4</v>
      </c>
      <c r="U56" s="179">
        <v>571.85179408577585</v>
      </c>
      <c r="V56" s="80">
        <f t="shared" si="31"/>
        <v>5.0999999999999993E-4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2"/>
        <v>0</v>
      </c>
      <c r="E57" s="179">
        <v>0</v>
      </c>
      <c r="F57" s="80">
        <f t="shared" si="23"/>
        <v>0</v>
      </c>
      <c r="G57" s="179">
        <v>0</v>
      </c>
      <c r="H57" s="80">
        <f t="shared" si="24"/>
        <v>0</v>
      </c>
      <c r="I57" s="179">
        <v>0</v>
      </c>
      <c r="J57" s="80">
        <f t="shared" si="25"/>
        <v>0</v>
      </c>
      <c r="K57" s="179">
        <v>0</v>
      </c>
      <c r="L57" s="80">
        <f t="shared" si="26"/>
        <v>0</v>
      </c>
      <c r="M57" s="179">
        <v>0</v>
      </c>
      <c r="N57" s="80">
        <f t="shared" si="27"/>
        <v>0</v>
      </c>
      <c r="O57" s="179">
        <v>0</v>
      </c>
      <c r="P57" s="80">
        <f t="shared" si="28"/>
        <v>0</v>
      </c>
      <c r="Q57" s="179">
        <v>0</v>
      </c>
      <c r="R57" s="80">
        <f t="shared" si="29"/>
        <v>0</v>
      </c>
      <c r="S57" s="179">
        <v>0</v>
      </c>
      <c r="T57" s="80">
        <f t="shared" si="30"/>
        <v>0</v>
      </c>
      <c r="U57" s="179">
        <v>0</v>
      </c>
      <c r="V57" s="80">
        <f t="shared" si="31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2"/>
        <v>0</v>
      </c>
      <c r="E58" s="179">
        <v>0</v>
      </c>
      <c r="F58" s="80">
        <f t="shared" si="23"/>
        <v>0</v>
      </c>
      <c r="G58" s="179">
        <v>0</v>
      </c>
      <c r="H58" s="80">
        <f t="shared" si="24"/>
        <v>0</v>
      </c>
      <c r="I58" s="179">
        <v>0</v>
      </c>
      <c r="J58" s="80">
        <f t="shared" si="25"/>
        <v>0</v>
      </c>
      <c r="K58" s="179">
        <v>0</v>
      </c>
      <c r="L58" s="80">
        <f t="shared" si="26"/>
        <v>0</v>
      </c>
      <c r="M58" s="179">
        <v>0</v>
      </c>
      <c r="N58" s="80">
        <f t="shared" si="27"/>
        <v>0</v>
      </c>
      <c r="O58" s="179">
        <v>0</v>
      </c>
      <c r="P58" s="80">
        <f t="shared" si="28"/>
        <v>0</v>
      </c>
      <c r="Q58" s="179">
        <v>0</v>
      </c>
      <c r="R58" s="80">
        <f t="shared" si="29"/>
        <v>0</v>
      </c>
      <c r="S58" s="179">
        <v>0</v>
      </c>
      <c r="T58" s="80">
        <f t="shared" si="30"/>
        <v>0</v>
      </c>
      <c r="U58" s="179">
        <v>0</v>
      </c>
      <c r="V58" s="80">
        <f t="shared" si="31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2"/>
        <v>0</v>
      </c>
      <c r="E59" s="179">
        <v>0</v>
      </c>
      <c r="F59" s="80">
        <f t="shared" si="23"/>
        <v>0</v>
      </c>
      <c r="G59" s="179">
        <v>0</v>
      </c>
      <c r="H59" s="80">
        <f t="shared" si="24"/>
        <v>0</v>
      </c>
      <c r="I59" s="179">
        <v>0</v>
      </c>
      <c r="J59" s="80">
        <f t="shared" si="25"/>
        <v>0</v>
      </c>
      <c r="K59" s="179">
        <v>0</v>
      </c>
      <c r="L59" s="80">
        <f t="shared" si="26"/>
        <v>0</v>
      </c>
      <c r="M59" s="179">
        <v>0</v>
      </c>
      <c r="N59" s="80">
        <f t="shared" si="27"/>
        <v>0</v>
      </c>
      <c r="O59" s="179">
        <v>0</v>
      </c>
      <c r="P59" s="80">
        <f t="shared" si="28"/>
        <v>0</v>
      </c>
      <c r="Q59" s="179">
        <v>0</v>
      </c>
      <c r="R59" s="80">
        <f t="shared" si="29"/>
        <v>0</v>
      </c>
      <c r="S59" s="179">
        <v>0</v>
      </c>
      <c r="T59" s="80">
        <f t="shared" si="30"/>
        <v>0</v>
      </c>
      <c r="U59" s="179">
        <v>0</v>
      </c>
      <c r="V59" s="80">
        <f t="shared" si="31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2"/>
        <v>0</v>
      </c>
      <c r="E60" s="179">
        <v>0</v>
      </c>
      <c r="F60" s="80">
        <f t="shared" si="23"/>
        <v>0</v>
      </c>
      <c r="G60" s="179">
        <v>0</v>
      </c>
      <c r="H60" s="80">
        <f t="shared" si="24"/>
        <v>0</v>
      </c>
      <c r="I60" s="179">
        <v>0</v>
      </c>
      <c r="J60" s="80">
        <f t="shared" si="25"/>
        <v>0</v>
      </c>
      <c r="K60" s="179">
        <v>0</v>
      </c>
      <c r="L60" s="80">
        <f t="shared" si="26"/>
        <v>0</v>
      </c>
      <c r="M60" s="179">
        <v>0</v>
      </c>
      <c r="N60" s="80">
        <f t="shared" si="27"/>
        <v>0</v>
      </c>
      <c r="O60" s="179">
        <v>0</v>
      </c>
      <c r="P60" s="80">
        <f t="shared" si="28"/>
        <v>0</v>
      </c>
      <c r="Q60" s="179">
        <v>0</v>
      </c>
      <c r="R60" s="80">
        <f t="shared" si="29"/>
        <v>0</v>
      </c>
      <c r="S60" s="179">
        <v>0</v>
      </c>
      <c r="T60" s="80">
        <f t="shared" si="30"/>
        <v>0</v>
      </c>
      <c r="U60" s="179">
        <v>0</v>
      </c>
      <c r="V60" s="80">
        <f t="shared" si="31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2"/>
        <v>0</v>
      </c>
      <c r="E61" s="179">
        <v>0</v>
      </c>
      <c r="F61" s="80">
        <f t="shared" si="23"/>
        <v>0</v>
      </c>
      <c r="G61" s="179">
        <v>0</v>
      </c>
      <c r="H61" s="80">
        <f t="shared" si="24"/>
        <v>0</v>
      </c>
      <c r="I61" s="179">
        <v>0</v>
      </c>
      <c r="J61" s="80">
        <f t="shared" si="25"/>
        <v>0</v>
      </c>
      <c r="K61" s="179">
        <v>0</v>
      </c>
      <c r="L61" s="80">
        <f t="shared" si="26"/>
        <v>0</v>
      </c>
      <c r="M61" s="179">
        <v>0</v>
      </c>
      <c r="N61" s="80">
        <f t="shared" si="27"/>
        <v>0</v>
      </c>
      <c r="O61" s="179">
        <v>0</v>
      </c>
      <c r="P61" s="80">
        <f t="shared" si="28"/>
        <v>0</v>
      </c>
      <c r="Q61" s="179">
        <v>0</v>
      </c>
      <c r="R61" s="80">
        <f t="shared" si="29"/>
        <v>0</v>
      </c>
      <c r="S61" s="179">
        <v>0</v>
      </c>
      <c r="T61" s="80">
        <f t="shared" si="30"/>
        <v>0</v>
      </c>
      <c r="U61" s="179">
        <v>0</v>
      </c>
      <c r="V61" s="80">
        <f t="shared" si="31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2"/>
        <v>0</v>
      </c>
      <c r="E62" s="179">
        <v>0</v>
      </c>
      <c r="F62" s="80">
        <f t="shared" si="23"/>
        <v>0</v>
      </c>
      <c r="G62" s="179">
        <v>0</v>
      </c>
      <c r="H62" s="80">
        <f t="shared" si="24"/>
        <v>0</v>
      </c>
      <c r="I62" s="179">
        <v>0</v>
      </c>
      <c r="J62" s="80">
        <f t="shared" si="25"/>
        <v>0</v>
      </c>
      <c r="K62" s="179">
        <v>0</v>
      </c>
      <c r="L62" s="80">
        <f t="shared" si="26"/>
        <v>0</v>
      </c>
      <c r="M62" s="179">
        <v>0</v>
      </c>
      <c r="N62" s="80">
        <f t="shared" si="27"/>
        <v>0</v>
      </c>
      <c r="O62" s="179">
        <v>0</v>
      </c>
      <c r="P62" s="80">
        <f t="shared" si="28"/>
        <v>0</v>
      </c>
      <c r="Q62" s="179">
        <v>0</v>
      </c>
      <c r="R62" s="80">
        <f t="shared" si="29"/>
        <v>0</v>
      </c>
      <c r="S62" s="179">
        <v>0</v>
      </c>
      <c r="T62" s="80">
        <f t="shared" si="30"/>
        <v>0</v>
      </c>
      <c r="U62" s="179">
        <v>0</v>
      </c>
      <c r="V62" s="80">
        <f t="shared" si="31"/>
        <v>0</v>
      </c>
      <c r="X62" s="200"/>
    </row>
    <row r="63" spans="1:24" ht="12.75" customHeight="1">
      <c r="A63" s="2" t="s">
        <v>394</v>
      </c>
      <c r="B63" s="35"/>
      <c r="C63" s="179">
        <v>16097.269062425363</v>
      </c>
      <c r="D63" s="80">
        <f t="shared" si="22"/>
        <v>1.3722435549171149E-2</v>
      </c>
      <c r="E63" s="179">
        <v>7423.7556743139994</v>
      </c>
      <c r="F63" s="80">
        <f t="shared" si="23"/>
        <v>7.7573204538286308E-3</v>
      </c>
      <c r="G63" s="179">
        <v>8690.1306869829186</v>
      </c>
      <c r="H63" s="80">
        <f t="shared" si="24"/>
        <v>8.9025454207213289E-3</v>
      </c>
      <c r="I63" s="179">
        <v>8786.3858340529514</v>
      </c>
      <c r="J63" s="80">
        <f t="shared" si="25"/>
        <v>8.8246601500557732E-3</v>
      </c>
      <c r="K63" s="179">
        <v>8858.9031170717226</v>
      </c>
      <c r="L63" s="80">
        <f t="shared" si="26"/>
        <v>8.723032671687685E-3</v>
      </c>
      <c r="M63" s="179">
        <v>9017.0873448932634</v>
      </c>
      <c r="N63" s="80">
        <f t="shared" si="27"/>
        <v>8.7046968648497453E-3</v>
      </c>
      <c r="O63" s="179">
        <v>9178.6033549101285</v>
      </c>
      <c r="P63" s="80">
        <f t="shared" si="28"/>
        <v>8.6868796758101698E-3</v>
      </c>
      <c r="Q63" s="179">
        <v>9343.1990918081938</v>
      </c>
      <c r="R63" s="80">
        <f t="shared" si="29"/>
        <v>8.6692721124281037E-3</v>
      </c>
      <c r="S63" s="179">
        <v>9510.6247507190492</v>
      </c>
      <c r="T63" s="80">
        <f t="shared" si="30"/>
        <v>8.6515895315735451E-3</v>
      </c>
      <c r="U63" s="179">
        <v>10051.308606956383</v>
      </c>
      <c r="V63" s="80">
        <f t="shared" si="31"/>
        <v>8.9641537240308933E-3</v>
      </c>
      <c r="X63" s="200"/>
    </row>
    <row r="64" spans="1:24" ht="12.75" customHeight="1">
      <c r="A64" s="2" t="s">
        <v>395</v>
      </c>
      <c r="B64" s="35"/>
      <c r="C64" s="179">
        <v>5630.6980800000001</v>
      </c>
      <c r="D64" s="80">
        <f t="shared" si="22"/>
        <v>4.7999999999999996E-3</v>
      </c>
      <c r="E64" s="179">
        <v>4593.5999999999995</v>
      </c>
      <c r="F64" s="80">
        <f t="shared" si="23"/>
        <v>4.7999999999999996E-3</v>
      </c>
      <c r="G64" s="179">
        <v>4685.4719999999998</v>
      </c>
      <c r="H64" s="80">
        <f t="shared" si="24"/>
        <v>4.7999999999999996E-3</v>
      </c>
      <c r="I64" s="179">
        <v>4779.1814399999994</v>
      </c>
      <c r="J64" s="80">
        <f t="shared" si="25"/>
        <v>4.7999999999999996E-3</v>
      </c>
      <c r="K64" s="179">
        <v>4874.7650688000003</v>
      </c>
      <c r="L64" s="80">
        <f t="shared" si="26"/>
        <v>4.7999999999999996E-3</v>
      </c>
      <c r="M64" s="179">
        <v>4972.2603701760008</v>
      </c>
      <c r="N64" s="80">
        <f t="shared" si="27"/>
        <v>4.8000000000000004E-3</v>
      </c>
      <c r="O64" s="179">
        <v>5071.7055775795207</v>
      </c>
      <c r="P64" s="80">
        <f t="shared" si="28"/>
        <v>4.7999999999999996E-3</v>
      </c>
      <c r="Q64" s="179">
        <v>5173.1396891311106</v>
      </c>
      <c r="R64" s="80">
        <f t="shared" si="29"/>
        <v>4.7999999999999996E-3</v>
      </c>
      <c r="S64" s="179">
        <v>5276.6024829137332</v>
      </c>
      <c r="T64" s="80">
        <f t="shared" si="30"/>
        <v>4.7999999999999996E-3</v>
      </c>
      <c r="U64" s="179">
        <v>5382.1345325720076</v>
      </c>
      <c r="V64" s="80">
        <f t="shared" si="31"/>
        <v>4.7999999999999996E-3</v>
      </c>
      <c r="X64" s="200"/>
    </row>
    <row r="65" spans="1:24" ht="12.75" customHeight="1">
      <c r="A65" s="2" t="s">
        <v>396</v>
      </c>
      <c r="B65" s="35"/>
      <c r="C65" s="179">
        <v>586.53105000000005</v>
      </c>
      <c r="D65" s="80">
        <f t="shared" si="22"/>
        <v>5.0000000000000001E-4</v>
      </c>
      <c r="E65" s="179">
        <v>478.49999999999994</v>
      </c>
      <c r="F65" s="80">
        <f t="shared" si="23"/>
        <v>4.999999999999999E-4</v>
      </c>
      <c r="G65" s="179">
        <v>488.07000000000005</v>
      </c>
      <c r="H65" s="80">
        <f t="shared" si="24"/>
        <v>5.0000000000000001E-4</v>
      </c>
      <c r="I65" s="179">
        <v>497.83140000000009</v>
      </c>
      <c r="J65" s="80">
        <f t="shared" si="25"/>
        <v>5.0000000000000001E-4</v>
      </c>
      <c r="K65" s="179">
        <v>507.78802800000011</v>
      </c>
      <c r="L65" s="80">
        <f t="shared" si="26"/>
        <v>5.0000000000000001E-4</v>
      </c>
      <c r="M65" s="179">
        <v>517.94378856000014</v>
      </c>
      <c r="N65" s="80">
        <f t="shared" si="27"/>
        <v>5.0000000000000012E-4</v>
      </c>
      <c r="O65" s="179">
        <v>528.30266433120005</v>
      </c>
      <c r="P65" s="80">
        <f t="shared" si="28"/>
        <v>5.0000000000000001E-4</v>
      </c>
      <c r="Q65" s="179">
        <v>538.86871761782413</v>
      </c>
      <c r="R65" s="80">
        <f t="shared" si="29"/>
        <v>5.0000000000000001E-4</v>
      </c>
      <c r="S65" s="179">
        <v>549.64609197018058</v>
      </c>
      <c r="T65" s="80">
        <f t="shared" si="30"/>
        <v>4.999999999999999E-4</v>
      </c>
      <c r="U65" s="179">
        <v>560.63901380958418</v>
      </c>
      <c r="V65" s="80">
        <f t="shared" si="31"/>
        <v>5.0000000000000001E-4</v>
      </c>
      <c r="X65" s="200"/>
    </row>
    <row r="66" spans="1:24" ht="12.75" customHeight="1">
      <c r="A66" s="2" t="s">
        <v>397</v>
      </c>
      <c r="B66" s="35"/>
      <c r="C66" s="179">
        <v>3284.5738800000004</v>
      </c>
      <c r="D66" s="80">
        <f t="shared" si="22"/>
        <v>2.8E-3</v>
      </c>
      <c r="E66" s="179">
        <v>2679.6</v>
      </c>
      <c r="F66" s="80">
        <f t="shared" si="23"/>
        <v>2.8E-3</v>
      </c>
      <c r="G66" s="179">
        <v>2733.1920000000005</v>
      </c>
      <c r="H66" s="80">
        <f t="shared" si="24"/>
        <v>2.8000000000000004E-3</v>
      </c>
      <c r="I66" s="179">
        <v>2787.8558399999997</v>
      </c>
      <c r="J66" s="80">
        <f t="shared" si="25"/>
        <v>2.7999999999999995E-3</v>
      </c>
      <c r="K66" s="179">
        <v>2843.6129568000006</v>
      </c>
      <c r="L66" s="80">
        <f t="shared" si="26"/>
        <v>2.8000000000000004E-3</v>
      </c>
      <c r="M66" s="179">
        <v>2900.4852159360007</v>
      </c>
      <c r="N66" s="80">
        <f t="shared" si="27"/>
        <v>2.8000000000000004E-3</v>
      </c>
      <c r="O66" s="179">
        <v>2958.4949202547205</v>
      </c>
      <c r="P66" s="80">
        <f t="shared" si="28"/>
        <v>2.8E-3</v>
      </c>
      <c r="Q66" s="179">
        <v>3017.664818659815</v>
      </c>
      <c r="R66" s="80">
        <f t="shared" si="29"/>
        <v>2.8E-3</v>
      </c>
      <c r="S66" s="179">
        <v>3078.0181150330109</v>
      </c>
      <c r="T66" s="80">
        <f t="shared" si="30"/>
        <v>2.7999999999999995E-3</v>
      </c>
      <c r="U66" s="179">
        <v>3139.5784773336713</v>
      </c>
      <c r="V66" s="80">
        <f t="shared" si="31"/>
        <v>2.8E-3</v>
      </c>
      <c r="X66" s="200"/>
    </row>
    <row r="67" spans="1:24" ht="12.75" customHeight="1">
      <c r="A67" s="2" t="s">
        <v>398</v>
      </c>
      <c r="B67" s="35"/>
      <c r="C67" s="179">
        <v>17595.931500000002</v>
      </c>
      <c r="D67" s="80">
        <f t="shared" si="22"/>
        <v>1.5000000000000001E-2</v>
      </c>
      <c r="E67" s="179">
        <v>14354.999999999998</v>
      </c>
      <c r="F67" s="80">
        <f t="shared" si="23"/>
        <v>1.4999999999999998E-2</v>
      </c>
      <c r="G67" s="179">
        <v>14642.1</v>
      </c>
      <c r="H67" s="80">
        <f t="shared" si="24"/>
        <v>1.5000000000000001E-2</v>
      </c>
      <c r="I67" s="179">
        <v>14934.941999999999</v>
      </c>
      <c r="J67" s="80">
        <f t="shared" si="25"/>
        <v>1.4999999999999998E-2</v>
      </c>
      <c r="K67" s="179">
        <v>15233.640840000004</v>
      </c>
      <c r="L67" s="80">
        <f t="shared" si="26"/>
        <v>1.5000000000000003E-2</v>
      </c>
      <c r="M67" s="179">
        <v>15538.313656800003</v>
      </c>
      <c r="N67" s="80">
        <f t="shared" si="27"/>
        <v>1.5000000000000001E-2</v>
      </c>
      <c r="O67" s="179">
        <v>15849.079929936002</v>
      </c>
      <c r="P67" s="80">
        <f t="shared" si="28"/>
        <v>1.5000000000000001E-2</v>
      </c>
      <c r="Q67" s="179">
        <v>16166.061528534723</v>
      </c>
      <c r="R67" s="80">
        <f t="shared" si="29"/>
        <v>1.4999999999999999E-2</v>
      </c>
      <c r="S67" s="179">
        <v>16489.382759105418</v>
      </c>
      <c r="T67" s="80">
        <f t="shared" si="30"/>
        <v>1.4999999999999999E-2</v>
      </c>
      <c r="U67" s="179">
        <v>16819.170414287524</v>
      </c>
      <c r="V67" s="80">
        <f t="shared" si="31"/>
        <v>1.4999999999999998E-2</v>
      </c>
      <c r="X67" s="200"/>
    </row>
    <row r="68" spans="1:24" ht="12.75" customHeight="1">
      <c r="A68" s="2" t="s">
        <v>399</v>
      </c>
      <c r="B68" s="35"/>
      <c r="C68" s="179">
        <v>1994.2055700000001</v>
      </c>
      <c r="D68" s="80">
        <f t="shared" si="22"/>
        <v>1.6999999999999999E-3</v>
      </c>
      <c r="E68" s="179">
        <v>1626.8999999999996</v>
      </c>
      <c r="F68" s="80">
        <f t="shared" si="23"/>
        <v>1.6999999999999997E-3</v>
      </c>
      <c r="G68" s="179">
        <v>1659.4380000000001</v>
      </c>
      <c r="H68" s="80">
        <f t="shared" si="24"/>
        <v>1.7000000000000001E-3</v>
      </c>
      <c r="I68" s="179">
        <v>1692.6267600000001</v>
      </c>
      <c r="J68" s="80">
        <f t="shared" si="25"/>
        <v>1.7000000000000001E-3</v>
      </c>
      <c r="K68" s="179">
        <v>1726.4792952000003</v>
      </c>
      <c r="L68" s="80">
        <f t="shared" si="26"/>
        <v>1.7000000000000001E-3</v>
      </c>
      <c r="M68" s="179">
        <v>1761.0088811040002</v>
      </c>
      <c r="N68" s="80">
        <f t="shared" si="27"/>
        <v>1.6999999999999999E-3</v>
      </c>
      <c r="O68" s="179">
        <v>1796.2290587260802</v>
      </c>
      <c r="P68" s="80">
        <f t="shared" si="28"/>
        <v>1.6999999999999999E-3</v>
      </c>
      <c r="Q68" s="179">
        <v>1832.153639900602</v>
      </c>
      <c r="R68" s="80">
        <f t="shared" si="29"/>
        <v>1.7000000000000001E-3</v>
      </c>
      <c r="S68" s="179">
        <v>1868.7967126986139</v>
      </c>
      <c r="T68" s="80">
        <f t="shared" si="30"/>
        <v>1.6999999999999997E-3</v>
      </c>
      <c r="U68" s="179">
        <v>1906.1726469525861</v>
      </c>
      <c r="V68" s="80">
        <f t="shared" si="31"/>
        <v>1.6999999999999999E-3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2"/>
        <v>0</v>
      </c>
      <c r="E69" s="179">
        <v>0</v>
      </c>
      <c r="F69" s="80">
        <f t="shared" si="23"/>
        <v>0</v>
      </c>
      <c r="G69" s="179">
        <v>0</v>
      </c>
      <c r="H69" s="80">
        <f t="shared" si="24"/>
        <v>0</v>
      </c>
      <c r="I69" s="179">
        <v>0</v>
      </c>
      <c r="J69" s="80">
        <f t="shared" si="25"/>
        <v>0</v>
      </c>
      <c r="K69" s="179">
        <v>0</v>
      </c>
      <c r="L69" s="80">
        <f t="shared" si="26"/>
        <v>0</v>
      </c>
      <c r="M69" s="179">
        <v>0</v>
      </c>
      <c r="N69" s="80">
        <f t="shared" si="27"/>
        <v>0</v>
      </c>
      <c r="O69" s="179">
        <v>0</v>
      </c>
      <c r="P69" s="80">
        <f t="shared" si="28"/>
        <v>0</v>
      </c>
      <c r="Q69" s="179">
        <v>0</v>
      </c>
      <c r="R69" s="80">
        <f t="shared" si="29"/>
        <v>0</v>
      </c>
      <c r="S69" s="179">
        <v>0</v>
      </c>
      <c r="T69" s="80">
        <f t="shared" si="30"/>
        <v>0</v>
      </c>
      <c r="U69" s="179">
        <v>0</v>
      </c>
      <c r="V69" s="80">
        <f t="shared" si="31"/>
        <v>0</v>
      </c>
      <c r="X69" s="200"/>
    </row>
    <row r="70" spans="1:24" ht="12.75" customHeight="1">
      <c r="A70" s="2" t="s">
        <v>401</v>
      </c>
      <c r="B70" s="35"/>
      <c r="C70" s="179">
        <v>117.30621000000002</v>
      </c>
      <c r="D70" s="80">
        <f t="shared" si="22"/>
        <v>1E-4</v>
      </c>
      <c r="E70" s="179">
        <v>95.699999999999989</v>
      </c>
      <c r="F70" s="80">
        <f t="shared" si="23"/>
        <v>9.9999999999999991E-5</v>
      </c>
      <c r="G70" s="179">
        <v>97.614000000000004</v>
      </c>
      <c r="H70" s="80">
        <f t="shared" si="24"/>
        <v>1E-4</v>
      </c>
      <c r="I70" s="179">
        <v>99.566280000000006</v>
      </c>
      <c r="J70" s="80">
        <f t="shared" si="25"/>
        <v>1E-4</v>
      </c>
      <c r="K70" s="179">
        <v>101.55760560000002</v>
      </c>
      <c r="L70" s="80">
        <f t="shared" si="26"/>
        <v>1E-4</v>
      </c>
      <c r="M70" s="179">
        <v>103.58875771200003</v>
      </c>
      <c r="N70" s="80">
        <f t="shared" si="27"/>
        <v>1.0000000000000002E-4</v>
      </c>
      <c r="O70" s="179">
        <v>105.66053286624003</v>
      </c>
      <c r="P70" s="80">
        <f t="shared" si="28"/>
        <v>1.0000000000000002E-4</v>
      </c>
      <c r="Q70" s="179">
        <v>107.77374352356482</v>
      </c>
      <c r="R70" s="80">
        <f t="shared" si="29"/>
        <v>1E-4</v>
      </c>
      <c r="S70" s="179">
        <v>109.92921839403613</v>
      </c>
      <c r="T70" s="80">
        <f t="shared" si="30"/>
        <v>1E-4</v>
      </c>
      <c r="U70" s="179">
        <v>112.12780276191685</v>
      </c>
      <c r="V70" s="80">
        <f t="shared" si="31"/>
        <v>1.0000000000000002E-4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2"/>
        <v>0</v>
      </c>
      <c r="E71" s="179">
        <v>0</v>
      </c>
      <c r="F71" s="80">
        <f t="shared" si="23"/>
        <v>0</v>
      </c>
      <c r="G71" s="179">
        <v>0</v>
      </c>
      <c r="H71" s="80">
        <f t="shared" si="24"/>
        <v>0</v>
      </c>
      <c r="I71" s="179">
        <v>0</v>
      </c>
      <c r="J71" s="80">
        <f t="shared" si="25"/>
        <v>0</v>
      </c>
      <c r="K71" s="179">
        <v>0</v>
      </c>
      <c r="L71" s="80">
        <f t="shared" si="26"/>
        <v>0</v>
      </c>
      <c r="M71" s="179">
        <v>0</v>
      </c>
      <c r="N71" s="80">
        <f t="shared" si="27"/>
        <v>0</v>
      </c>
      <c r="O71" s="179">
        <v>0</v>
      </c>
      <c r="P71" s="80">
        <f t="shared" si="28"/>
        <v>0</v>
      </c>
      <c r="Q71" s="179">
        <v>0</v>
      </c>
      <c r="R71" s="80">
        <f t="shared" si="29"/>
        <v>0</v>
      </c>
      <c r="S71" s="179">
        <v>0</v>
      </c>
      <c r="T71" s="80">
        <f t="shared" si="30"/>
        <v>0</v>
      </c>
      <c r="U71" s="179">
        <v>0</v>
      </c>
      <c r="V71" s="80">
        <f t="shared" si="31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2"/>
        <v>0</v>
      </c>
      <c r="E72" s="179">
        <v>0</v>
      </c>
      <c r="F72" s="80">
        <f t="shared" si="23"/>
        <v>0</v>
      </c>
      <c r="G72" s="179">
        <v>0</v>
      </c>
      <c r="H72" s="80">
        <f t="shared" si="24"/>
        <v>0</v>
      </c>
      <c r="I72" s="179">
        <v>0</v>
      </c>
      <c r="J72" s="80">
        <f t="shared" si="25"/>
        <v>0</v>
      </c>
      <c r="K72" s="179">
        <v>0</v>
      </c>
      <c r="L72" s="80">
        <f t="shared" si="26"/>
        <v>0</v>
      </c>
      <c r="M72" s="179">
        <v>0</v>
      </c>
      <c r="N72" s="80">
        <f t="shared" si="27"/>
        <v>0</v>
      </c>
      <c r="O72" s="179">
        <v>0</v>
      </c>
      <c r="P72" s="80">
        <f t="shared" si="28"/>
        <v>0</v>
      </c>
      <c r="Q72" s="179">
        <v>0</v>
      </c>
      <c r="R72" s="80">
        <f t="shared" si="29"/>
        <v>0</v>
      </c>
      <c r="S72" s="179">
        <v>0</v>
      </c>
      <c r="T72" s="80">
        <f t="shared" si="30"/>
        <v>0</v>
      </c>
      <c r="U72" s="179">
        <v>0</v>
      </c>
      <c r="V72" s="80">
        <f t="shared" si="31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2"/>
        <v>0</v>
      </c>
      <c r="E73" s="179">
        <v>0</v>
      </c>
      <c r="F73" s="80">
        <f t="shared" si="23"/>
        <v>0</v>
      </c>
      <c r="G73" s="179">
        <v>0</v>
      </c>
      <c r="H73" s="80">
        <f t="shared" si="24"/>
        <v>0</v>
      </c>
      <c r="I73" s="179">
        <v>0</v>
      </c>
      <c r="J73" s="80">
        <f t="shared" si="25"/>
        <v>0</v>
      </c>
      <c r="K73" s="179">
        <v>0</v>
      </c>
      <c r="L73" s="80">
        <f t="shared" si="26"/>
        <v>0</v>
      </c>
      <c r="M73" s="179">
        <v>0</v>
      </c>
      <c r="N73" s="80">
        <f t="shared" si="27"/>
        <v>0</v>
      </c>
      <c r="O73" s="179">
        <v>0</v>
      </c>
      <c r="P73" s="80">
        <f t="shared" si="28"/>
        <v>0</v>
      </c>
      <c r="Q73" s="179">
        <v>0</v>
      </c>
      <c r="R73" s="80">
        <f t="shared" si="29"/>
        <v>0</v>
      </c>
      <c r="S73" s="179">
        <v>0</v>
      </c>
      <c r="T73" s="80">
        <f t="shared" si="30"/>
        <v>0</v>
      </c>
      <c r="U73" s="179">
        <v>0</v>
      </c>
      <c r="V73" s="80">
        <f t="shared" si="31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2"/>
        <v>0</v>
      </c>
      <c r="E74" s="179">
        <v>0</v>
      </c>
      <c r="F74" s="80">
        <f t="shared" si="23"/>
        <v>0</v>
      </c>
      <c r="G74" s="179">
        <v>0</v>
      </c>
      <c r="H74" s="80">
        <f t="shared" si="24"/>
        <v>0</v>
      </c>
      <c r="I74" s="179">
        <v>0</v>
      </c>
      <c r="J74" s="80">
        <f t="shared" si="25"/>
        <v>0</v>
      </c>
      <c r="K74" s="179">
        <v>0</v>
      </c>
      <c r="L74" s="80">
        <f t="shared" si="26"/>
        <v>0</v>
      </c>
      <c r="M74" s="179">
        <v>0</v>
      </c>
      <c r="N74" s="80">
        <f t="shared" si="27"/>
        <v>0</v>
      </c>
      <c r="O74" s="179">
        <v>0</v>
      </c>
      <c r="P74" s="80">
        <f t="shared" si="28"/>
        <v>0</v>
      </c>
      <c r="Q74" s="179">
        <v>0</v>
      </c>
      <c r="R74" s="80">
        <f t="shared" si="29"/>
        <v>0</v>
      </c>
      <c r="S74" s="179">
        <v>0</v>
      </c>
      <c r="T74" s="80">
        <f t="shared" si="30"/>
        <v>0</v>
      </c>
      <c r="U74" s="179">
        <v>0</v>
      </c>
      <c r="V74" s="80">
        <f t="shared" si="31"/>
        <v>0</v>
      </c>
      <c r="X74" s="200"/>
    </row>
    <row r="75" spans="1:24" ht="12.75" customHeight="1">
      <c r="A75" s="2" t="s">
        <v>406</v>
      </c>
      <c r="B75" s="35"/>
      <c r="C75" s="179">
        <v>5865.3105000000005</v>
      </c>
      <c r="D75" s="80">
        <f t="shared" si="22"/>
        <v>5.0000000000000001E-3</v>
      </c>
      <c r="E75" s="179">
        <v>4784.9999999999991</v>
      </c>
      <c r="F75" s="80">
        <f t="shared" si="23"/>
        <v>4.9999999999999992E-3</v>
      </c>
      <c r="G75" s="179">
        <v>4880.7</v>
      </c>
      <c r="H75" s="80">
        <f t="shared" si="24"/>
        <v>5.0000000000000001E-3</v>
      </c>
      <c r="I75" s="179">
        <v>4978.3140000000003</v>
      </c>
      <c r="J75" s="80">
        <f t="shared" si="25"/>
        <v>5.0000000000000001E-3</v>
      </c>
      <c r="K75" s="179">
        <v>5077.8802800000012</v>
      </c>
      <c r="L75" s="80">
        <f t="shared" si="26"/>
        <v>5.000000000000001E-3</v>
      </c>
      <c r="M75" s="179">
        <v>5179.4378856000012</v>
      </c>
      <c r="N75" s="80">
        <f t="shared" si="27"/>
        <v>5.0000000000000001E-3</v>
      </c>
      <c r="O75" s="179">
        <v>5283.0266433120014</v>
      </c>
      <c r="P75" s="80">
        <f t="shared" si="28"/>
        <v>5.000000000000001E-3</v>
      </c>
      <c r="Q75" s="179">
        <v>5388.6871761782413</v>
      </c>
      <c r="R75" s="80">
        <f t="shared" si="29"/>
        <v>5.0000000000000001E-3</v>
      </c>
      <c r="S75" s="179">
        <v>5496.4609197018062</v>
      </c>
      <c r="T75" s="80">
        <f t="shared" si="30"/>
        <v>5.0000000000000001E-3</v>
      </c>
      <c r="U75" s="179">
        <v>5606.3901380958414</v>
      </c>
      <c r="V75" s="80">
        <f t="shared" si="31"/>
        <v>4.9999999999999992E-3</v>
      </c>
      <c r="X75" s="200"/>
    </row>
    <row r="76" spans="1:24" ht="12.75" customHeight="1">
      <c r="A76" s="2" t="s">
        <v>407</v>
      </c>
      <c r="B76" s="35"/>
      <c r="C76" s="179">
        <v>469.22484000000009</v>
      </c>
      <c r="D76" s="80">
        <f t="shared" si="22"/>
        <v>4.0000000000000002E-4</v>
      </c>
      <c r="E76" s="179">
        <v>382.79999999999995</v>
      </c>
      <c r="F76" s="80">
        <f t="shared" si="23"/>
        <v>3.9999999999999996E-4</v>
      </c>
      <c r="G76" s="179">
        <v>390.45600000000002</v>
      </c>
      <c r="H76" s="80">
        <f t="shared" si="24"/>
        <v>4.0000000000000002E-4</v>
      </c>
      <c r="I76" s="179">
        <v>398.26512000000002</v>
      </c>
      <c r="J76" s="80">
        <f t="shared" si="25"/>
        <v>4.0000000000000002E-4</v>
      </c>
      <c r="K76" s="179">
        <v>406.23042240000007</v>
      </c>
      <c r="L76" s="80">
        <f t="shared" si="26"/>
        <v>4.0000000000000002E-4</v>
      </c>
      <c r="M76" s="179">
        <v>414.35503084800013</v>
      </c>
      <c r="N76" s="80">
        <f t="shared" si="27"/>
        <v>4.0000000000000007E-4</v>
      </c>
      <c r="O76" s="179">
        <v>422.64213146496013</v>
      </c>
      <c r="P76" s="80">
        <f t="shared" si="28"/>
        <v>4.0000000000000007E-4</v>
      </c>
      <c r="Q76" s="179">
        <v>431.09497409425927</v>
      </c>
      <c r="R76" s="80">
        <f t="shared" si="29"/>
        <v>4.0000000000000002E-4</v>
      </c>
      <c r="S76" s="179">
        <v>439.71687357614451</v>
      </c>
      <c r="T76" s="80">
        <f t="shared" si="30"/>
        <v>4.0000000000000002E-4</v>
      </c>
      <c r="U76" s="179">
        <v>448.51121104766742</v>
      </c>
      <c r="V76" s="80">
        <f t="shared" si="31"/>
        <v>4.0000000000000007E-4</v>
      </c>
      <c r="X76" s="200"/>
    </row>
    <row r="77" spans="1:24" ht="12.75" customHeight="1">
      <c r="A77" s="2" t="s">
        <v>408</v>
      </c>
      <c r="B77" s="35"/>
      <c r="C77" s="179">
        <v>1524.98073</v>
      </c>
      <c r="D77" s="80">
        <f t="shared" si="22"/>
        <v>1.2999999999999999E-3</v>
      </c>
      <c r="E77" s="179">
        <v>1244.0999999999997</v>
      </c>
      <c r="F77" s="80">
        <f t="shared" si="23"/>
        <v>1.2999999999999997E-3</v>
      </c>
      <c r="G77" s="179">
        <v>1268.982</v>
      </c>
      <c r="H77" s="80">
        <f t="shared" si="24"/>
        <v>1.2999999999999999E-3</v>
      </c>
      <c r="I77" s="179">
        <v>1294.3616400000001</v>
      </c>
      <c r="J77" s="80">
        <f t="shared" si="25"/>
        <v>1.2999999999999999E-3</v>
      </c>
      <c r="K77" s="179">
        <v>1320.2488728000001</v>
      </c>
      <c r="L77" s="80">
        <f t="shared" si="26"/>
        <v>1.2999999999999999E-3</v>
      </c>
      <c r="M77" s="179">
        <v>1346.6538502560002</v>
      </c>
      <c r="N77" s="80">
        <f t="shared" si="27"/>
        <v>1.2999999999999999E-3</v>
      </c>
      <c r="O77" s="179">
        <v>1373.5869272611201</v>
      </c>
      <c r="P77" s="80">
        <f t="shared" si="28"/>
        <v>1.2999999999999999E-3</v>
      </c>
      <c r="Q77" s="179">
        <v>1401.0586658063426</v>
      </c>
      <c r="R77" s="80">
        <f t="shared" si="29"/>
        <v>1.2999999999999999E-3</v>
      </c>
      <c r="S77" s="179">
        <v>1429.0798391224694</v>
      </c>
      <c r="T77" s="80">
        <f t="shared" si="30"/>
        <v>1.2999999999999997E-3</v>
      </c>
      <c r="U77" s="179">
        <v>1457.6614359049188</v>
      </c>
      <c r="V77" s="80">
        <f t="shared" si="31"/>
        <v>1.2999999999999999E-3</v>
      </c>
      <c r="X77" s="200"/>
    </row>
    <row r="78" spans="1:24" ht="12.75" customHeight="1">
      <c r="A78" s="2" t="s">
        <v>409</v>
      </c>
      <c r="B78" s="35"/>
      <c r="C78" s="179">
        <v>25807.3662</v>
      </c>
      <c r="D78" s="80">
        <f t="shared" si="22"/>
        <v>2.1999999999999999E-2</v>
      </c>
      <c r="E78" s="179">
        <v>21053.999999999996</v>
      </c>
      <c r="F78" s="80">
        <f t="shared" si="23"/>
        <v>2.1999999999999995E-2</v>
      </c>
      <c r="G78" s="179">
        <v>21475.079999999998</v>
      </c>
      <c r="H78" s="80">
        <f t="shared" si="24"/>
        <v>2.1999999999999999E-2</v>
      </c>
      <c r="I78" s="179">
        <v>21904.581599999998</v>
      </c>
      <c r="J78" s="80">
        <f t="shared" si="25"/>
        <v>2.1999999999999995E-2</v>
      </c>
      <c r="K78" s="179">
        <v>22342.673232000001</v>
      </c>
      <c r="L78" s="80">
        <f t="shared" si="26"/>
        <v>2.1999999999999999E-2</v>
      </c>
      <c r="M78" s="179">
        <v>22789.526696640005</v>
      </c>
      <c r="N78" s="80">
        <f t="shared" si="27"/>
        <v>2.2000000000000002E-2</v>
      </c>
      <c r="O78" s="179">
        <v>23245.317230572804</v>
      </c>
      <c r="P78" s="80">
        <f t="shared" si="28"/>
        <v>2.2000000000000002E-2</v>
      </c>
      <c r="Q78" s="179">
        <v>23710.223575184256</v>
      </c>
      <c r="R78" s="80">
        <f t="shared" si="29"/>
        <v>2.1999999999999995E-2</v>
      </c>
      <c r="S78" s="179">
        <v>24184.428046687943</v>
      </c>
      <c r="T78" s="80">
        <f t="shared" si="30"/>
        <v>2.1999999999999995E-2</v>
      </c>
      <c r="U78" s="179">
        <v>24668.116607621705</v>
      </c>
      <c r="V78" s="80">
        <f t="shared" si="31"/>
        <v>2.1999999999999999E-2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2"/>
        <v>0</v>
      </c>
      <c r="E79" s="179">
        <v>0</v>
      </c>
      <c r="F79" s="80">
        <f t="shared" si="23"/>
        <v>0</v>
      </c>
      <c r="G79" s="179">
        <v>0</v>
      </c>
      <c r="H79" s="80">
        <f t="shared" si="24"/>
        <v>0</v>
      </c>
      <c r="I79" s="179">
        <v>0</v>
      </c>
      <c r="J79" s="80">
        <f t="shared" si="25"/>
        <v>0</v>
      </c>
      <c r="K79" s="179">
        <v>0</v>
      </c>
      <c r="L79" s="80">
        <f t="shared" si="26"/>
        <v>0</v>
      </c>
      <c r="M79" s="179">
        <v>0</v>
      </c>
      <c r="N79" s="80">
        <f t="shared" si="27"/>
        <v>0</v>
      </c>
      <c r="O79" s="179">
        <v>0</v>
      </c>
      <c r="P79" s="80">
        <f t="shared" si="28"/>
        <v>0</v>
      </c>
      <c r="Q79" s="179">
        <v>0</v>
      </c>
      <c r="R79" s="80">
        <f t="shared" si="29"/>
        <v>0</v>
      </c>
      <c r="S79" s="179">
        <v>0</v>
      </c>
      <c r="T79" s="80">
        <f t="shared" si="30"/>
        <v>0</v>
      </c>
      <c r="U79" s="179">
        <v>0</v>
      </c>
      <c r="V79" s="80">
        <f t="shared" si="31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2"/>
        <v>0</v>
      </c>
      <c r="E80" s="179">
        <v>0</v>
      </c>
      <c r="F80" s="80">
        <f t="shared" si="23"/>
        <v>0</v>
      </c>
      <c r="G80" s="179">
        <v>0</v>
      </c>
      <c r="H80" s="80">
        <f t="shared" si="24"/>
        <v>0</v>
      </c>
      <c r="I80" s="179">
        <v>0</v>
      </c>
      <c r="J80" s="80">
        <f t="shared" si="25"/>
        <v>0</v>
      </c>
      <c r="K80" s="179">
        <v>0</v>
      </c>
      <c r="L80" s="80">
        <f t="shared" si="26"/>
        <v>0</v>
      </c>
      <c r="M80" s="179">
        <v>0</v>
      </c>
      <c r="N80" s="80">
        <f t="shared" si="27"/>
        <v>0</v>
      </c>
      <c r="O80" s="179">
        <v>0</v>
      </c>
      <c r="P80" s="80">
        <f t="shared" si="28"/>
        <v>0</v>
      </c>
      <c r="Q80" s="179">
        <v>0</v>
      </c>
      <c r="R80" s="80">
        <f t="shared" si="29"/>
        <v>0</v>
      </c>
      <c r="S80" s="179">
        <v>0</v>
      </c>
      <c r="T80" s="80">
        <f t="shared" si="30"/>
        <v>0</v>
      </c>
      <c r="U80" s="179">
        <v>0</v>
      </c>
      <c r="V80" s="80">
        <f t="shared" si="31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2"/>
        <v>0</v>
      </c>
      <c r="E81" s="179">
        <v>0</v>
      </c>
      <c r="F81" s="80">
        <f t="shared" si="23"/>
        <v>0</v>
      </c>
      <c r="G81" s="179">
        <v>0</v>
      </c>
      <c r="H81" s="80">
        <f t="shared" si="24"/>
        <v>0</v>
      </c>
      <c r="I81" s="179">
        <v>0</v>
      </c>
      <c r="J81" s="80">
        <f t="shared" si="25"/>
        <v>0</v>
      </c>
      <c r="K81" s="179">
        <v>0</v>
      </c>
      <c r="L81" s="80">
        <f t="shared" si="26"/>
        <v>0</v>
      </c>
      <c r="M81" s="179">
        <v>0</v>
      </c>
      <c r="N81" s="80">
        <f t="shared" si="27"/>
        <v>0</v>
      </c>
      <c r="O81" s="179">
        <v>0</v>
      </c>
      <c r="P81" s="80">
        <f t="shared" si="28"/>
        <v>0</v>
      </c>
      <c r="Q81" s="179">
        <v>0</v>
      </c>
      <c r="R81" s="80">
        <f t="shared" si="29"/>
        <v>0</v>
      </c>
      <c r="S81" s="179">
        <v>0</v>
      </c>
      <c r="T81" s="80">
        <f t="shared" si="30"/>
        <v>0</v>
      </c>
      <c r="U81" s="179">
        <v>0</v>
      </c>
      <c r="V81" s="80">
        <f t="shared" si="31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2"/>
        <v>0</v>
      </c>
      <c r="E82" s="179">
        <v>0</v>
      </c>
      <c r="F82" s="80">
        <f t="shared" si="23"/>
        <v>0</v>
      </c>
      <c r="G82" s="179">
        <v>0</v>
      </c>
      <c r="H82" s="80">
        <f t="shared" si="24"/>
        <v>0</v>
      </c>
      <c r="I82" s="179">
        <v>0</v>
      </c>
      <c r="J82" s="80">
        <f t="shared" si="25"/>
        <v>0</v>
      </c>
      <c r="K82" s="179">
        <v>0</v>
      </c>
      <c r="L82" s="80">
        <f t="shared" si="26"/>
        <v>0</v>
      </c>
      <c r="M82" s="179">
        <v>0</v>
      </c>
      <c r="N82" s="80">
        <f t="shared" si="27"/>
        <v>0</v>
      </c>
      <c r="O82" s="179">
        <v>0</v>
      </c>
      <c r="P82" s="80">
        <f t="shared" si="28"/>
        <v>0</v>
      </c>
      <c r="Q82" s="179">
        <v>0</v>
      </c>
      <c r="R82" s="80">
        <f t="shared" si="29"/>
        <v>0</v>
      </c>
      <c r="S82" s="179">
        <v>0</v>
      </c>
      <c r="T82" s="80">
        <f t="shared" si="30"/>
        <v>0</v>
      </c>
      <c r="U82" s="179">
        <v>0</v>
      </c>
      <c r="V82" s="80">
        <f t="shared" si="31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2"/>
        <v>0</v>
      </c>
      <c r="E83" s="179">
        <v>0</v>
      </c>
      <c r="F83" s="80">
        <f t="shared" si="23"/>
        <v>0</v>
      </c>
      <c r="G83" s="179">
        <v>0</v>
      </c>
      <c r="H83" s="80">
        <f t="shared" si="24"/>
        <v>0</v>
      </c>
      <c r="I83" s="179">
        <v>0</v>
      </c>
      <c r="J83" s="80">
        <f t="shared" si="25"/>
        <v>0</v>
      </c>
      <c r="K83" s="179">
        <v>0</v>
      </c>
      <c r="L83" s="80">
        <f t="shared" si="26"/>
        <v>0</v>
      </c>
      <c r="M83" s="179">
        <v>0</v>
      </c>
      <c r="N83" s="80">
        <f t="shared" si="27"/>
        <v>0</v>
      </c>
      <c r="O83" s="179">
        <v>0</v>
      </c>
      <c r="P83" s="80">
        <f t="shared" si="28"/>
        <v>0</v>
      </c>
      <c r="Q83" s="179">
        <v>0</v>
      </c>
      <c r="R83" s="80">
        <f t="shared" si="29"/>
        <v>0</v>
      </c>
      <c r="S83" s="179">
        <v>0</v>
      </c>
      <c r="T83" s="80">
        <f t="shared" si="30"/>
        <v>0</v>
      </c>
      <c r="U83" s="179">
        <v>0</v>
      </c>
      <c r="V83" s="80">
        <f t="shared" si="31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2"/>
        <v>0</v>
      </c>
      <c r="E84" s="179">
        <v>0</v>
      </c>
      <c r="F84" s="80">
        <f t="shared" si="23"/>
        <v>0</v>
      </c>
      <c r="G84" s="179">
        <v>0</v>
      </c>
      <c r="H84" s="80">
        <f t="shared" si="24"/>
        <v>0</v>
      </c>
      <c r="I84" s="179">
        <v>0</v>
      </c>
      <c r="J84" s="80">
        <f t="shared" si="25"/>
        <v>0</v>
      </c>
      <c r="K84" s="179">
        <v>0</v>
      </c>
      <c r="L84" s="80">
        <f t="shared" si="26"/>
        <v>0</v>
      </c>
      <c r="M84" s="179">
        <v>0</v>
      </c>
      <c r="N84" s="80">
        <f t="shared" si="27"/>
        <v>0</v>
      </c>
      <c r="O84" s="179">
        <v>0</v>
      </c>
      <c r="P84" s="80">
        <f t="shared" si="28"/>
        <v>0</v>
      </c>
      <c r="Q84" s="179">
        <v>0</v>
      </c>
      <c r="R84" s="80">
        <f t="shared" si="29"/>
        <v>0</v>
      </c>
      <c r="S84" s="179">
        <v>0</v>
      </c>
      <c r="T84" s="80">
        <f t="shared" si="30"/>
        <v>0</v>
      </c>
      <c r="U84" s="179">
        <v>0</v>
      </c>
      <c r="V84" s="80">
        <f t="shared" si="31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2"/>
        <v>0</v>
      </c>
      <c r="E85" s="179">
        <v>0</v>
      </c>
      <c r="F85" s="80">
        <f t="shared" si="23"/>
        <v>0</v>
      </c>
      <c r="G85" s="179">
        <v>0</v>
      </c>
      <c r="H85" s="80">
        <f t="shared" si="24"/>
        <v>0</v>
      </c>
      <c r="I85" s="179">
        <v>0</v>
      </c>
      <c r="J85" s="80">
        <f t="shared" si="25"/>
        <v>0</v>
      </c>
      <c r="K85" s="179">
        <v>0</v>
      </c>
      <c r="L85" s="80">
        <f t="shared" si="26"/>
        <v>0</v>
      </c>
      <c r="M85" s="179">
        <v>0</v>
      </c>
      <c r="N85" s="80">
        <f t="shared" si="27"/>
        <v>0</v>
      </c>
      <c r="O85" s="179">
        <v>0</v>
      </c>
      <c r="P85" s="80">
        <f t="shared" si="28"/>
        <v>0</v>
      </c>
      <c r="Q85" s="179">
        <v>0</v>
      </c>
      <c r="R85" s="80">
        <f t="shared" si="29"/>
        <v>0</v>
      </c>
      <c r="S85" s="179">
        <v>0</v>
      </c>
      <c r="T85" s="80">
        <f t="shared" si="30"/>
        <v>0</v>
      </c>
      <c r="U85" s="179">
        <v>0</v>
      </c>
      <c r="V85" s="80">
        <f t="shared" si="31"/>
        <v>0</v>
      </c>
      <c r="X85" s="200"/>
    </row>
    <row r="86" spans="1:24" ht="12.75" customHeight="1">
      <c r="A86" s="2" t="s">
        <v>417</v>
      </c>
      <c r="B86" s="35"/>
      <c r="C86" s="179">
        <v>4692.2484000000004</v>
      </c>
      <c r="D86" s="80">
        <f t="shared" si="22"/>
        <v>4.0000000000000001E-3</v>
      </c>
      <c r="E86" s="179">
        <v>3827.9999999999995</v>
      </c>
      <c r="F86" s="80">
        <f t="shared" si="23"/>
        <v>3.9999999999999992E-3</v>
      </c>
      <c r="G86" s="179">
        <v>3904.5600000000004</v>
      </c>
      <c r="H86" s="80">
        <f t="shared" si="24"/>
        <v>4.0000000000000001E-3</v>
      </c>
      <c r="I86" s="179">
        <v>3982.6512000000007</v>
      </c>
      <c r="J86" s="80">
        <f t="shared" si="25"/>
        <v>4.0000000000000001E-3</v>
      </c>
      <c r="K86" s="179">
        <v>4062.3042240000009</v>
      </c>
      <c r="L86" s="80">
        <f t="shared" si="26"/>
        <v>4.0000000000000001E-3</v>
      </c>
      <c r="M86" s="179">
        <v>4143.5503084800011</v>
      </c>
      <c r="N86" s="80">
        <f t="shared" si="27"/>
        <v>4.000000000000001E-3</v>
      </c>
      <c r="O86" s="179">
        <v>4226.4213146496004</v>
      </c>
      <c r="P86" s="80">
        <f t="shared" si="28"/>
        <v>4.0000000000000001E-3</v>
      </c>
      <c r="Q86" s="179">
        <v>4310.9497409425931</v>
      </c>
      <c r="R86" s="80">
        <f t="shared" si="29"/>
        <v>4.0000000000000001E-3</v>
      </c>
      <c r="S86" s="179">
        <v>4397.1687357614446</v>
      </c>
      <c r="T86" s="80">
        <f t="shared" si="30"/>
        <v>3.9999999999999992E-3</v>
      </c>
      <c r="U86" s="179">
        <v>4485.1121104766735</v>
      </c>
      <c r="V86" s="80">
        <f t="shared" si="31"/>
        <v>4.0000000000000001E-3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2"/>
        <v>0</v>
      </c>
      <c r="E87" s="179">
        <v>0</v>
      </c>
      <c r="F87" s="80">
        <f t="shared" si="23"/>
        <v>0</v>
      </c>
      <c r="G87" s="179">
        <v>0</v>
      </c>
      <c r="H87" s="80">
        <f t="shared" si="24"/>
        <v>0</v>
      </c>
      <c r="I87" s="179">
        <v>0</v>
      </c>
      <c r="J87" s="80">
        <f t="shared" si="25"/>
        <v>0</v>
      </c>
      <c r="K87" s="179">
        <v>0</v>
      </c>
      <c r="L87" s="80">
        <f t="shared" si="26"/>
        <v>0</v>
      </c>
      <c r="M87" s="179">
        <v>0</v>
      </c>
      <c r="N87" s="80">
        <f t="shared" si="27"/>
        <v>0</v>
      </c>
      <c r="O87" s="179">
        <v>0</v>
      </c>
      <c r="P87" s="80">
        <f t="shared" si="28"/>
        <v>0</v>
      </c>
      <c r="Q87" s="179">
        <v>0</v>
      </c>
      <c r="R87" s="80">
        <f t="shared" si="29"/>
        <v>0</v>
      </c>
      <c r="S87" s="179">
        <v>0</v>
      </c>
      <c r="T87" s="80">
        <f t="shared" si="30"/>
        <v>0</v>
      </c>
      <c r="U87" s="179">
        <v>0</v>
      </c>
      <c r="V87" s="80">
        <f t="shared" si="31"/>
        <v>0</v>
      </c>
      <c r="X87" s="200"/>
    </row>
    <row r="88" spans="1:24" ht="12.75" customHeight="1">
      <c r="A88" s="2" t="s">
        <v>419</v>
      </c>
      <c r="B88" s="35"/>
      <c r="C88" s="179">
        <v>5982.6167100000011</v>
      </c>
      <c r="D88" s="80">
        <f t="shared" si="22"/>
        <v>5.1000000000000004E-3</v>
      </c>
      <c r="E88" s="179">
        <v>4880.7</v>
      </c>
      <c r="F88" s="80">
        <f t="shared" si="23"/>
        <v>5.0999999999999995E-3</v>
      </c>
      <c r="G88" s="179">
        <v>4978.3140000000012</v>
      </c>
      <c r="H88" s="80">
        <f t="shared" si="24"/>
        <v>5.1000000000000012E-3</v>
      </c>
      <c r="I88" s="179">
        <v>5077.8802800000012</v>
      </c>
      <c r="J88" s="80">
        <f t="shared" si="25"/>
        <v>5.1000000000000012E-3</v>
      </c>
      <c r="K88" s="179">
        <v>5179.4378856000012</v>
      </c>
      <c r="L88" s="80">
        <f t="shared" si="26"/>
        <v>5.1000000000000004E-3</v>
      </c>
      <c r="M88" s="179">
        <v>5283.0266433120023</v>
      </c>
      <c r="N88" s="80">
        <f t="shared" si="27"/>
        <v>5.1000000000000012E-3</v>
      </c>
      <c r="O88" s="179">
        <v>5388.6871761782413</v>
      </c>
      <c r="P88" s="80">
        <f t="shared" si="28"/>
        <v>5.1000000000000004E-3</v>
      </c>
      <c r="Q88" s="179">
        <v>5496.4609197018062</v>
      </c>
      <c r="R88" s="80">
        <f t="shared" si="29"/>
        <v>5.1000000000000004E-3</v>
      </c>
      <c r="S88" s="179">
        <v>5606.3901380958423</v>
      </c>
      <c r="T88" s="80">
        <f t="shared" si="30"/>
        <v>5.0999999999999995E-3</v>
      </c>
      <c r="U88" s="179">
        <v>5718.5179408577596</v>
      </c>
      <c r="V88" s="80">
        <f t="shared" si="31"/>
        <v>5.1000000000000004E-3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2"/>
        <v>0</v>
      </c>
      <c r="E89" s="179">
        <v>0</v>
      </c>
      <c r="F89" s="80">
        <f t="shared" si="23"/>
        <v>0</v>
      </c>
      <c r="G89" s="179">
        <v>0</v>
      </c>
      <c r="H89" s="80">
        <f t="shared" si="24"/>
        <v>0</v>
      </c>
      <c r="I89" s="179">
        <v>0</v>
      </c>
      <c r="J89" s="80">
        <f t="shared" si="25"/>
        <v>0</v>
      </c>
      <c r="K89" s="179">
        <v>0</v>
      </c>
      <c r="L89" s="80">
        <f t="shared" si="26"/>
        <v>0</v>
      </c>
      <c r="M89" s="179">
        <v>0</v>
      </c>
      <c r="N89" s="80">
        <f t="shared" si="27"/>
        <v>0</v>
      </c>
      <c r="O89" s="179">
        <v>0</v>
      </c>
      <c r="P89" s="80">
        <f t="shared" si="28"/>
        <v>0</v>
      </c>
      <c r="Q89" s="179">
        <v>0</v>
      </c>
      <c r="R89" s="80">
        <f t="shared" si="29"/>
        <v>0</v>
      </c>
      <c r="S89" s="179">
        <v>0</v>
      </c>
      <c r="T89" s="80">
        <f t="shared" si="30"/>
        <v>0</v>
      </c>
      <c r="U89" s="179">
        <v>0</v>
      </c>
      <c r="V89" s="80">
        <f t="shared" si="31"/>
        <v>0</v>
      </c>
      <c r="X89" s="200"/>
    </row>
    <row r="90" spans="1:24" ht="12.75" customHeight="1">
      <c r="A90" s="2" t="s">
        <v>421</v>
      </c>
      <c r="B90" s="35"/>
      <c r="C90" s="179">
        <v>234.61242000000004</v>
      </c>
      <c r="D90" s="80">
        <f t="shared" si="22"/>
        <v>2.0000000000000001E-4</v>
      </c>
      <c r="E90" s="179">
        <v>191.39999999999998</v>
      </c>
      <c r="F90" s="80">
        <f t="shared" si="23"/>
        <v>1.9999999999999998E-4</v>
      </c>
      <c r="G90" s="179">
        <v>195.22800000000001</v>
      </c>
      <c r="H90" s="80">
        <f t="shared" si="24"/>
        <v>2.0000000000000001E-4</v>
      </c>
      <c r="I90" s="179">
        <v>199.13256000000001</v>
      </c>
      <c r="J90" s="80">
        <f t="shared" si="25"/>
        <v>2.0000000000000001E-4</v>
      </c>
      <c r="K90" s="179">
        <v>203.11521120000003</v>
      </c>
      <c r="L90" s="80">
        <f t="shared" si="26"/>
        <v>2.0000000000000001E-4</v>
      </c>
      <c r="M90" s="179">
        <v>207.17751542400006</v>
      </c>
      <c r="N90" s="80">
        <f t="shared" si="27"/>
        <v>2.0000000000000004E-4</v>
      </c>
      <c r="O90" s="179">
        <v>211.32106573248006</v>
      </c>
      <c r="P90" s="80">
        <f t="shared" si="28"/>
        <v>2.0000000000000004E-4</v>
      </c>
      <c r="Q90" s="179">
        <v>215.54748704712964</v>
      </c>
      <c r="R90" s="80">
        <f t="shared" si="29"/>
        <v>2.0000000000000001E-4</v>
      </c>
      <c r="S90" s="179">
        <v>219.85843678807225</v>
      </c>
      <c r="T90" s="80">
        <f t="shared" si="30"/>
        <v>2.0000000000000001E-4</v>
      </c>
      <c r="U90" s="179">
        <v>224.25560552383371</v>
      </c>
      <c r="V90" s="80">
        <f t="shared" si="31"/>
        <v>2.0000000000000004E-4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22"/>
        <v>0</v>
      </c>
      <c r="E91" s="179">
        <v>0</v>
      </c>
      <c r="F91" s="80">
        <f t="shared" si="23"/>
        <v>0</v>
      </c>
      <c r="G91" s="179">
        <v>0</v>
      </c>
      <c r="H91" s="80">
        <f t="shared" si="24"/>
        <v>0</v>
      </c>
      <c r="I91" s="179">
        <v>0</v>
      </c>
      <c r="J91" s="80">
        <f t="shared" si="25"/>
        <v>0</v>
      </c>
      <c r="K91" s="179">
        <v>0</v>
      </c>
      <c r="L91" s="80">
        <f t="shared" si="26"/>
        <v>0</v>
      </c>
      <c r="M91" s="179">
        <v>0</v>
      </c>
      <c r="N91" s="80">
        <f t="shared" si="27"/>
        <v>0</v>
      </c>
      <c r="O91" s="179">
        <v>0</v>
      </c>
      <c r="P91" s="80">
        <f t="shared" si="28"/>
        <v>0</v>
      </c>
      <c r="Q91" s="179">
        <v>0</v>
      </c>
      <c r="R91" s="80">
        <f t="shared" si="29"/>
        <v>0</v>
      </c>
      <c r="S91" s="179">
        <v>0</v>
      </c>
      <c r="T91" s="80">
        <f t="shared" si="30"/>
        <v>0</v>
      </c>
      <c r="U91" s="179">
        <v>0</v>
      </c>
      <c r="V91" s="80">
        <f t="shared" si="31"/>
        <v>0</v>
      </c>
      <c r="X91" s="200"/>
    </row>
    <row r="92" spans="1:24" ht="12.75" customHeight="1">
      <c r="A92" s="2" t="s">
        <v>423</v>
      </c>
      <c r="B92" s="35"/>
      <c r="C92" s="179">
        <v>6099.92292</v>
      </c>
      <c r="D92" s="80">
        <f t="shared" si="22"/>
        <v>5.1999999999999998E-3</v>
      </c>
      <c r="E92" s="179">
        <v>4976.3999999999987</v>
      </c>
      <c r="F92" s="80">
        <f t="shared" si="23"/>
        <v>5.1999999999999989E-3</v>
      </c>
      <c r="G92" s="179">
        <v>5075.9279999999999</v>
      </c>
      <c r="H92" s="80">
        <f t="shared" si="24"/>
        <v>5.1999999999999998E-3</v>
      </c>
      <c r="I92" s="179">
        <v>5177.4465600000003</v>
      </c>
      <c r="J92" s="80">
        <f t="shared" si="25"/>
        <v>5.1999999999999998E-3</v>
      </c>
      <c r="K92" s="179">
        <v>5280.9954912000003</v>
      </c>
      <c r="L92" s="80">
        <f t="shared" si="26"/>
        <v>5.1999999999999998E-3</v>
      </c>
      <c r="M92" s="179">
        <v>5386.6154010240007</v>
      </c>
      <c r="N92" s="80">
        <f t="shared" si="27"/>
        <v>5.1999999999999998E-3</v>
      </c>
      <c r="O92" s="179">
        <v>5494.3477090444803</v>
      </c>
      <c r="P92" s="80">
        <f t="shared" si="28"/>
        <v>5.1999999999999998E-3</v>
      </c>
      <c r="Q92" s="179">
        <v>5604.2346632253702</v>
      </c>
      <c r="R92" s="80">
        <f t="shared" si="29"/>
        <v>5.1999999999999998E-3</v>
      </c>
      <c r="S92" s="179">
        <v>5716.3193564898775</v>
      </c>
      <c r="T92" s="80">
        <f t="shared" si="30"/>
        <v>5.1999999999999989E-3</v>
      </c>
      <c r="U92" s="179">
        <v>5830.6457436196752</v>
      </c>
      <c r="V92" s="80">
        <f t="shared" si="31"/>
        <v>5.1999999999999998E-3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2"/>
        <v>0</v>
      </c>
      <c r="E93" s="179">
        <v>0</v>
      </c>
      <c r="F93" s="80">
        <f t="shared" si="23"/>
        <v>0</v>
      </c>
      <c r="G93" s="179">
        <v>0</v>
      </c>
      <c r="H93" s="80">
        <f t="shared" si="24"/>
        <v>0</v>
      </c>
      <c r="I93" s="179">
        <v>0</v>
      </c>
      <c r="J93" s="80">
        <f t="shared" si="25"/>
        <v>0</v>
      </c>
      <c r="K93" s="179">
        <v>0</v>
      </c>
      <c r="L93" s="80">
        <f t="shared" si="26"/>
        <v>0</v>
      </c>
      <c r="M93" s="179">
        <v>0</v>
      </c>
      <c r="N93" s="80">
        <f t="shared" si="27"/>
        <v>0</v>
      </c>
      <c r="O93" s="179">
        <v>0</v>
      </c>
      <c r="P93" s="80">
        <f t="shared" si="28"/>
        <v>0</v>
      </c>
      <c r="Q93" s="179">
        <v>0</v>
      </c>
      <c r="R93" s="80">
        <f t="shared" si="29"/>
        <v>0</v>
      </c>
      <c r="S93" s="179">
        <v>0</v>
      </c>
      <c r="T93" s="80">
        <f t="shared" si="30"/>
        <v>0</v>
      </c>
      <c r="U93" s="179">
        <v>0</v>
      </c>
      <c r="V93" s="80">
        <f t="shared" si="31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2"/>
        <v>0</v>
      </c>
      <c r="E94" s="179">
        <v>0</v>
      </c>
      <c r="F94" s="80">
        <f t="shared" si="23"/>
        <v>0</v>
      </c>
      <c r="G94" s="179">
        <v>0</v>
      </c>
      <c r="H94" s="80">
        <f t="shared" si="24"/>
        <v>0</v>
      </c>
      <c r="I94" s="179">
        <v>0</v>
      </c>
      <c r="J94" s="80">
        <f t="shared" si="25"/>
        <v>0</v>
      </c>
      <c r="K94" s="179">
        <v>0</v>
      </c>
      <c r="L94" s="80">
        <f t="shared" si="26"/>
        <v>0</v>
      </c>
      <c r="M94" s="179">
        <v>0</v>
      </c>
      <c r="N94" s="80">
        <f t="shared" si="27"/>
        <v>0</v>
      </c>
      <c r="O94" s="179">
        <v>0</v>
      </c>
      <c r="P94" s="80">
        <f t="shared" si="28"/>
        <v>0</v>
      </c>
      <c r="Q94" s="179">
        <v>0</v>
      </c>
      <c r="R94" s="80">
        <f t="shared" si="29"/>
        <v>0</v>
      </c>
      <c r="S94" s="179">
        <v>0</v>
      </c>
      <c r="T94" s="80">
        <f t="shared" si="30"/>
        <v>0</v>
      </c>
      <c r="U94" s="179">
        <v>0</v>
      </c>
      <c r="V94" s="80">
        <f t="shared" si="31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2"/>
        <v>0</v>
      </c>
      <c r="E95" s="179">
        <v>0</v>
      </c>
      <c r="F95" s="80">
        <f t="shared" si="23"/>
        <v>0</v>
      </c>
      <c r="G95" s="179">
        <v>0</v>
      </c>
      <c r="H95" s="80">
        <f t="shared" si="24"/>
        <v>0</v>
      </c>
      <c r="I95" s="179">
        <v>0</v>
      </c>
      <c r="J95" s="80">
        <f t="shared" si="25"/>
        <v>0</v>
      </c>
      <c r="K95" s="179">
        <v>0</v>
      </c>
      <c r="L95" s="80">
        <f t="shared" si="26"/>
        <v>0</v>
      </c>
      <c r="M95" s="179">
        <v>0</v>
      </c>
      <c r="N95" s="80">
        <f t="shared" si="27"/>
        <v>0</v>
      </c>
      <c r="O95" s="179">
        <v>0</v>
      </c>
      <c r="P95" s="80">
        <f t="shared" si="28"/>
        <v>0</v>
      </c>
      <c r="Q95" s="179">
        <v>0</v>
      </c>
      <c r="R95" s="80">
        <f t="shared" si="29"/>
        <v>0</v>
      </c>
      <c r="S95" s="179">
        <v>0</v>
      </c>
      <c r="T95" s="80">
        <f t="shared" si="30"/>
        <v>0</v>
      </c>
      <c r="U95" s="179">
        <v>0</v>
      </c>
      <c r="V95" s="80">
        <f t="shared" si="31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2"/>
        <v>0</v>
      </c>
      <c r="E96" s="179">
        <v>0</v>
      </c>
      <c r="F96" s="80">
        <f t="shared" si="23"/>
        <v>0</v>
      </c>
      <c r="G96" s="179">
        <v>0</v>
      </c>
      <c r="H96" s="80">
        <f t="shared" si="24"/>
        <v>0</v>
      </c>
      <c r="I96" s="179">
        <v>0</v>
      </c>
      <c r="J96" s="80">
        <f t="shared" si="25"/>
        <v>0</v>
      </c>
      <c r="K96" s="179">
        <v>0</v>
      </c>
      <c r="L96" s="80">
        <f t="shared" si="26"/>
        <v>0</v>
      </c>
      <c r="M96" s="179">
        <v>0</v>
      </c>
      <c r="N96" s="80">
        <f t="shared" si="27"/>
        <v>0</v>
      </c>
      <c r="O96" s="179">
        <v>0</v>
      </c>
      <c r="P96" s="80">
        <f t="shared" si="28"/>
        <v>0</v>
      </c>
      <c r="Q96" s="179">
        <v>0</v>
      </c>
      <c r="R96" s="80">
        <f t="shared" si="29"/>
        <v>0</v>
      </c>
      <c r="S96" s="179">
        <v>0</v>
      </c>
      <c r="T96" s="80">
        <f t="shared" si="30"/>
        <v>0</v>
      </c>
      <c r="U96" s="179">
        <v>0</v>
      </c>
      <c r="V96" s="80">
        <f t="shared" si="31"/>
        <v>0</v>
      </c>
      <c r="X96" s="200"/>
    </row>
    <row r="97" spans="1:24" ht="12.75" customHeight="1">
      <c r="A97" s="2" t="s">
        <v>428</v>
      </c>
      <c r="B97" s="35"/>
      <c r="C97" s="179">
        <v>19004.257000000001</v>
      </c>
      <c r="D97" s="80">
        <f t="shared" si="22"/>
        <v>1.620055494078276E-2</v>
      </c>
      <c r="E97" s="179">
        <v>20940.577395200002</v>
      </c>
      <c r="F97" s="80">
        <f t="shared" si="23"/>
        <v>2.1881481081713689E-2</v>
      </c>
      <c r="G97" s="179">
        <v>21641.541161112</v>
      </c>
      <c r="H97" s="80">
        <f t="shared" si="24"/>
        <v>2.2170530007080951E-2</v>
      </c>
      <c r="I97" s="179">
        <v>22307.994020844861</v>
      </c>
      <c r="J97" s="80">
        <f t="shared" si="25"/>
        <v>2.2405169722967314E-2</v>
      </c>
      <c r="K97" s="179">
        <v>22854.611376961329</v>
      </c>
      <c r="L97" s="80">
        <f t="shared" si="26"/>
        <v>2.250408646593902E-2</v>
      </c>
      <c r="M97" s="179">
        <v>23414.672517092611</v>
      </c>
      <c r="N97" s="80">
        <f t="shared" si="27"/>
        <v>2.2603488094905679E-2</v>
      </c>
      <c r="O97" s="179">
        <v>23988.509102841319</v>
      </c>
      <c r="P97" s="80">
        <f t="shared" si="28"/>
        <v>2.2703376986759428E-2</v>
      </c>
      <c r="Q97" s="179">
        <v>24576.460998690174</v>
      </c>
      <c r="R97" s="80">
        <f t="shared" si="29"/>
        <v>2.2803755530043837E-2</v>
      </c>
      <c r="S97" s="179">
        <v>25178.876475300811</v>
      </c>
      <c r="T97" s="80">
        <f t="shared" si="30"/>
        <v>2.2904626125011013E-2</v>
      </c>
      <c r="U97" s="179">
        <v>25796.112417859575</v>
      </c>
      <c r="V97" s="80">
        <f t="shared" si="31"/>
        <v>2.3005991183679006E-2</v>
      </c>
      <c r="X97" s="200"/>
    </row>
    <row r="98" spans="1:24" ht="12.75" customHeight="1">
      <c r="A98" s="117" t="s">
        <v>431</v>
      </c>
      <c r="B98" s="35"/>
      <c r="C98" s="179">
        <v>1407.67452</v>
      </c>
      <c r="D98" s="80">
        <f t="shared" si="22"/>
        <v>1.1999999999999999E-3</v>
      </c>
      <c r="E98" s="179">
        <v>1148.3999999999999</v>
      </c>
      <c r="F98" s="80">
        <f t="shared" si="23"/>
        <v>1.1999999999999999E-3</v>
      </c>
      <c r="G98" s="179">
        <v>1171.3679999999999</v>
      </c>
      <c r="H98" s="80">
        <f t="shared" si="24"/>
        <v>1.1999999999999999E-3</v>
      </c>
      <c r="I98" s="179">
        <v>1194.7953599999998</v>
      </c>
      <c r="J98" s="80">
        <f t="shared" si="25"/>
        <v>1.1999999999999999E-3</v>
      </c>
      <c r="K98" s="179">
        <v>1218.6912672000001</v>
      </c>
      <c r="L98" s="80">
        <f t="shared" si="26"/>
        <v>1.1999999999999999E-3</v>
      </c>
      <c r="M98" s="179">
        <v>1243.0650925440002</v>
      </c>
      <c r="N98" s="80">
        <f t="shared" si="27"/>
        <v>1.2000000000000001E-3</v>
      </c>
      <c r="O98" s="179">
        <v>1267.9263943948802</v>
      </c>
      <c r="P98" s="80">
        <f t="shared" si="28"/>
        <v>1.1999999999999999E-3</v>
      </c>
      <c r="Q98" s="179">
        <v>1293.2849222827776</v>
      </c>
      <c r="R98" s="80">
        <f t="shared" si="29"/>
        <v>1.1999999999999999E-3</v>
      </c>
      <c r="S98" s="179">
        <v>1319.1506207284333</v>
      </c>
      <c r="T98" s="80">
        <f t="shared" si="30"/>
        <v>1.1999999999999999E-3</v>
      </c>
      <c r="U98" s="179">
        <v>1345.5336331430019</v>
      </c>
      <c r="V98" s="80">
        <f t="shared" si="31"/>
        <v>1.1999999999999999E-3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2"/>
        <v>0</v>
      </c>
      <c r="E99" s="179">
        <v>0</v>
      </c>
      <c r="F99" s="80">
        <f t="shared" si="23"/>
        <v>0</v>
      </c>
      <c r="G99" s="179">
        <v>0</v>
      </c>
      <c r="H99" s="80">
        <f t="shared" si="24"/>
        <v>0</v>
      </c>
      <c r="I99" s="179">
        <v>0</v>
      </c>
      <c r="J99" s="80">
        <f t="shared" si="25"/>
        <v>0</v>
      </c>
      <c r="K99" s="179">
        <v>0</v>
      </c>
      <c r="L99" s="80">
        <f t="shared" si="26"/>
        <v>0</v>
      </c>
      <c r="M99" s="179">
        <v>0</v>
      </c>
      <c r="N99" s="80">
        <f t="shared" si="27"/>
        <v>0</v>
      </c>
      <c r="O99" s="179">
        <v>0</v>
      </c>
      <c r="P99" s="80">
        <f t="shared" si="28"/>
        <v>0</v>
      </c>
      <c r="Q99" s="179">
        <v>0</v>
      </c>
      <c r="R99" s="80">
        <f t="shared" si="29"/>
        <v>0</v>
      </c>
      <c r="S99" s="179">
        <v>0</v>
      </c>
      <c r="T99" s="80">
        <f t="shared" si="30"/>
        <v>0</v>
      </c>
      <c r="U99" s="179">
        <v>0</v>
      </c>
      <c r="V99" s="80">
        <f t="shared" si="31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2"/>
        <v>0</v>
      </c>
      <c r="E100" s="179">
        <v>0</v>
      </c>
      <c r="F100" s="80">
        <f t="shared" si="23"/>
        <v>0</v>
      </c>
      <c r="G100" s="179">
        <v>0</v>
      </c>
      <c r="H100" s="80">
        <f t="shared" si="24"/>
        <v>0</v>
      </c>
      <c r="I100" s="179">
        <v>0</v>
      </c>
      <c r="J100" s="80">
        <f t="shared" si="25"/>
        <v>0</v>
      </c>
      <c r="K100" s="179">
        <v>0</v>
      </c>
      <c r="L100" s="80">
        <f t="shared" si="26"/>
        <v>0</v>
      </c>
      <c r="M100" s="179">
        <v>0</v>
      </c>
      <c r="N100" s="80">
        <f t="shared" si="27"/>
        <v>0</v>
      </c>
      <c r="O100" s="179">
        <v>0</v>
      </c>
      <c r="P100" s="80">
        <f t="shared" si="28"/>
        <v>0</v>
      </c>
      <c r="Q100" s="179">
        <v>0</v>
      </c>
      <c r="R100" s="80">
        <f t="shared" si="29"/>
        <v>0</v>
      </c>
      <c r="S100" s="179">
        <v>0</v>
      </c>
      <c r="T100" s="80">
        <f t="shared" si="30"/>
        <v>0</v>
      </c>
      <c r="U100" s="179">
        <v>0</v>
      </c>
      <c r="V100" s="80">
        <f t="shared" si="31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2"/>
        <v>0</v>
      </c>
      <c r="E101" s="179"/>
      <c r="F101" s="80">
        <f t="shared" si="23"/>
        <v>0</v>
      </c>
      <c r="G101" s="179"/>
      <c r="H101" s="80">
        <f t="shared" si="24"/>
        <v>0</v>
      </c>
      <c r="I101" s="179">
        <v>0</v>
      </c>
      <c r="J101" s="80">
        <f t="shared" si="25"/>
        <v>0</v>
      </c>
      <c r="K101" s="179">
        <v>0</v>
      </c>
      <c r="L101" s="80">
        <f t="shared" si="26"/>
        <v>0</v>
      </c>
      <c r="M101" s="179">
        <v>0</v>
      </c>
      <c r="N101" s="80">
        <f t="shared" si="27"/>
        <v>0</v>
      </c>
      <c r="O101" s="179">
        <v>0</v>
      </c>
      <c r="P101" s="80">
        <f t="shared" si="28"/>
        <v>0</v>
      </c>
      <c r="Q101" s="179">
        <v>0</v>
      </c>
      <c r="R101" s="80">
        <f t="shared" si="29"/>
        <v>0</v>
      </c>
      <c r="S101" s="179">
        <v>0</v>
      </c>
      <c r="T101" s="80">
        <f t="shared" si="30"/>
        <v>0</v>
      </c>
      <c r="U101" s="179">
        <v>0</v>
      </c>
      <c r="V101" s="80">
        <f t="shared" si="31"/>
        <v>0</v>
      </c>
      <c r="X101" s="200"/>
    </row>
    <row r="102" spans="1:24" ht="12.75" customHeight="1">
      <c r="A102" s="117" t="s">
        <v>433</v>
      </c>
      <c r="B102" s="35"/>
      <c r="C102" s="179">
        <v>11730.621000000001</v>
      </c>
      <c r="D102" s="80">
        <f t="shared" si="22"/>
        <v>0.01</v>
      </c>
      <c r="E102" s="179">
        <v>9569.9999999999982</v>
      </c>
      <c r="F102" s="80">
        <f t="shared" si="23"/>
        <v>9.9999999999999985E-3</v>
      </c>
      <c r="G102" s="179">
        <v>9761.4</v>
      </c>
      <c r="H102" s="80">
        <f t="shared" si="24"/>
        <v>0.01</v>
      </c>
      <c r="I102" s="179">
        <v>9956.6280000000006</v>
      </c>
      <c r="J102" s="80">
        <f t="shared" si="25"/>
        <v>0.01</v>
      </c>
      <c r="K102" s="179">
        <v>10155.760560000002</v>
      </c>
      <c r="L102" s="80">
        <f t="shared" si="26"/>
        <v>1.0000000000000002E-2</v>
      </c>
      <c r="M102" s="179">
        <v>10358.875771200002</v>
      </c>
      <c r="N102" s="80">
        <f t="shared" si="27"/>
        <v>0.01</v>
      </c>
      <c r="O102" s="179">
        <v>10566.053286624003</v>
      </c>
      <c r="P102" s="80">
        <f t="shared" si="28"/>
        <v>1.0000000000000002E-2</v>
      </c>
      <c r="Q102" s="179">
        <v>10777.374352356483</v>
      </c>
      <c r="R102" s="80">
        <f t="shared" si="29"/>
        <v>0.01</v>
      </c>
      <c r="S102" s="179">
        <v>10992.921839403612</v>
      </c>
      <c r="T102" s="80">
        <f t="shared" si="30"/>
        <v>0.01</v>
      </c>
      <c r="U102" s="179">
        <v>11212.780276191683</v>
      </c>
      <c r="V102" s="80">
        <f t="shared" si="31"/>
        <v>9.9999999999999985E-3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2"/>
        <v>0</v>
      </c>
      <c r="E103" s="179">
        <v>0</v>
      </c>
      <c r="F103" s="80">
        <f t="shared" si="23"/>
        <v>0</v>
      </c>
      <c r="G103" s="179">
        <v>0</v>
      </c>
      <c r="H103" s="80">
        <f t="shared" si="24"/>
        <v>0</v>
      </c>
      <c r="I103" s="179">
        <v>0</v>
      </c>
      <c r="J103" s="80">
        <f t="shared" si="25"/>
        <v>0</v>
      </c>
      <c r="K103" s="179">
        <v>0</v>
      </c>
      <c r="L103" s="80">
        <f t="shared" si="26"/>
        <v>0</v>
      </c>
      <c r="M103" s="179">
        <v>0</v>
      </c>
      <c r="N103" s="80">
        <f t="shared" si="27"/>
        <v>0</v>
      </c>
      <c r="O103" s="179">
        <v>0</v>
      </c>
      <c r="P103" s="80">
        <f t="shared" si="28"/>
        <v>0</v>
      </c>
      <c r="Q103" s="179">
        <v>0</v>
      </c>
      <c r="R103" s="80">
        <f t="shared" si="29"/>
        <v>0</v>
      </c>
      <c r="S103" s="179">
        <v>0</v>
      </c>
      <c r="T103" s="80">
        <f t="shared" si="30"/>
        <v>0</v>
      </c>
      <c r="U103" s="179">
        <v>0</v>
      </c>
      <c r="V103" s="80">
        <f t="shared" si="31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2"/>
        <v>0</v>
      </c>
      <c r="E104" s="179">
        <v>0</v>
      </c>
      <c r="F104" s="80">
        <f t="shared" si="23"/>
        <v>0</v>
      </c>
      <c r="G104" s="179">
        <v>0</v>
      </c>
      <c r="H104" s="80">
        <f t="shared" si="24"/>
        <v>0</v>
      </c>
      <c r="I104" s="179">
        <v>0</v>
      </c>
      <c r="J104" s="80">
        <f t="shared" si="25"/>
        <v>0</v>
      </c>
      <c r="K104" s="179">
        <v>0</v>
      </c>
      <c r="L104" s="80">
        <f t="shared" si="26"/>
        <v>0</v>
      </c>
      <c r="M104" s="179">
        <v>0</v>
      </c>
      <c r="N104" s="80">
        <f t="shared" si="27"/>
        <v>0</v>
      </c>
      <c r="O104" s="179">
        <v>0</v>
      </c>
      <c r="P104" s="80">
        <f t="shared" si="28"/>
        <v>0</v>
      </c>
      <c r="Q104" s="179">
        <v>0</v>
      </c>
      <c r="R104" s="80">
        <f t="shared" si="29"/>
        <v>0</v>
      </c>
      <c r="S104" s="179">
        <v>0</v>
      </c>
      <c r="T104" s="80">
        <f t="shared" si="30"/>
        <v>0</v>
      </c>
      <c r="U104" s="179">
        <v>0</v>
      </c>
      <c r="V104" s="80">
        <f t="shared" si="31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223389.7237334254</v>
      </c>
      <c r="D105" s="83">
        <f t="shared" ref="D105" si="32">IFERROR(C105/C$28,0)</f>
        <v>0.19043299048995393</v>
      </c>
      <c r="E105" s="82">
        <f>SUM(E52:E104)</f>
        <v>181972.403069514</v>
      </c>
      <c r="F105" s="83">
        <f t="shared" ref="F105" si="33">IFERROR(E105/E$28,0)</f>
        <v>0.19014880153554231</v>
      </c>
      <c r="G105" s="82">
        <f>SUM(G52:G104)</f>
        <v>187011.90324809487</v>
      </c>
      <c r="H105" s="83">
        <f t="shared" ref="H105" si="34">IFERROR(G105/G$28,0)</f>
        <v>0.19158307542780223</v>
      </c>
      <c r="I105" s="82">
        <f>SUM(I52:I104)</f>
        <v>190908.21588289781</v>
      </c>
      <c r="J105" s="83">
        <f t="shared" ref="J105" si="35">IFERROR(I105/I$28,0)</f>
        <v>0.19173982987302307</v>
      </c>
      <c r="K105" s="82">
        <f>SUM(K52:K104)</f>
        <v>194723.62724259301</v>
      </c>
      <c r="L105" s="83">
        <f t="shared" ref="L105" si="36">IFERROR(K105/K$28,0)</f>
        <v>0.19173711913762664</v>
      </c>
      <c r="M105" s="82">
        <f>SUM(M52:M104)</f>
        <v>198702.07486551715</v>
      </c>
      <c r="N105" s="83">
        <f t="shared" ref="N105" si="37">IFERROR(M105/M$28,0)</f>
        <v>0.19181818495975547</v>
      </c>
      <c r="O105" s="82">
        <f>SUM(O52:O104)</f>
        <v>202762.83376135331</v>
      </c>
      <c r="P105" s="83">
        <f t="shared" ref="P105" si="38">IFERROR(O105/O$28,0)</f>
        <v>0.1919002566625696</v>
      </c>
      <c r="Q105" s="82">
        <f>SUM(Q52:Q104)</f>
        <v>206907.29582017224</v>
      </c>
      <c r="R105" s="83">
        <f t="shared" ref="R105" si="39">IFERROR(Q105/Q$28,0)</f>
        <v>0.19198302764247191</v>
      </c>
      <c r="S105" s="82">
        <f>SUM(S52:S104)</f>
        <v>211136.88967028729</v>
      </c>
      <c r="T105" s="83">
        <f t="shared" ref="T105" si="40">IFERROR(S105/S$28,0)</f>
        <v>0.1920662156565846</v>
      </c>
      <c r="U105" s="82">
        <f>SUM(U52:U104)</f>
        <v>215823.7572379687</v>
      </c>
      <c r="V105" s="83">
        <f t="shared" si="31"/>
        <v>0.19248014490770993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78554.642766574601</v>
      </c>
      <c r="D107" s="83">
        <f>IFERROR(C107/C$28,0)</f>
        <v>6.6965459685872211E-2</v>
      </c>
      <c r="E107" s="82">
        <f>E28-E33-E46-E105</f>
        <v>-78926.914045514102</v>
      </c>
      <c r="F107" s="83">
        <f>IFERROR(E107/E$28,0)</f>
        <v>-8.2473264415375239E-2</v>
      </c>
      <c r="G107" s="82">
        <f>G28-G33-G46-G105</f>
        <v>-89314.375269054814</v>
      </c>
      <c r="H107" s="83">
        <f>IFERROR(G107/G$28,0)</f>
        <v>-9.1497505756402572E-2</v>
      </c>
      <c r="I107" s="82">
        <f>I28-I33-I46-I105</f>
        <v>-97391.28238774123</v>
      </c>
      <c r="J107" s="83">
        <f>IFERROR(I107/I$28,0)</f>
        <v>-9.7815527895328852E-2</v>
      </c>
      <c r="K107" s="82">
        <f>K28-K33-K46-K105</f>
        <v>-101974.20944622302</v>
      </c>
      <c r="L107" s="83">
        <f>IFERROR(K107/K$28,0)</f>
        <v>-0.10041021432492596</v>
      </c>
      <c r="M107" s="82">
        <f>M28-M33-M46-M105</f>
        <v>-106801.46944112639</v>
      </c>
      <c r="N107" s="83">
        <f>IFERROR(M107/M$28,0)</f>
        <v>-0.1031014096510921</v>
      </c>
      <c r="O107" s="82">
        <f>O28-O33-O46-O105</f>
        <v>-111795.61197457931</v>
      </c>
      <c r="P107" s="83">
        <f>IFERROR(O107/O$28,0)</f>
        <v>-0.10580640561041457</v>
      </c>
      <c r="Q107" s="82">
        <f>Q28-Q33-Q46-Q105</f>
        <v>-116961.41023741994</v>
      </c>
      <c r="R107" s="83">
        <f>IFERROR(Q107/Q$28,0)</f>
        <v>-0.10852495831867084</v>
      </c>
      <c r="S107" s="82">
        <f>S28-S33-S46-S105</f>
        <v>-122303.7840316311</v>
      </c>
      <c r="T107" s="83">
        <f>IFERROR(S107/S$28,0)</f>
        <v>-0.11125684855980594</v>
      </c>
      <c r="U107" s="82">
        <f>U28-U33-U46-U105</f>
        <v>-128198.47958368421</v>
      </c>
      <c r="V107" s="83">
        <f>IFERROR(U107/U$28,0)</f>
        <v>-0.11433246387239974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1">IFERROR(C111/C$28,0)</f>
        <v>0</v>
      </c>
      <c r="E111" s="79">
        <f>E59</f>
        <v>0</v>
      </c>
      <c r="F111" s="80">
        <f t="shared" ref="F111:F116" si="42">IFERROR(E111/E$28,0)</f>
        <v>0</v>
      </c>
      <c r="G111" s="79">
        <f>G59</f>
        <v>0</v>
      </c>
      <c r="H111" s="80">
        <f t="shared" ref="H111:H116" si="43">IFERROR(G111/G$28,0)</f>
        <v>0</v>
      </c>
      <c r="I111" s="79">
        <f>I59</f>
        <v>0</v>
      </c>
      <c r="J111" s="80">
        <f t="shared" ref="J111:J116" si="44">IFERROR(I111/I$28,0)</f>
        <v>0</v>
      </c>
      <c r="K111" s="79">
        <f>K59</f>
        <v>0</v>
      </c>
      <c r="L111" s="80">
        <f t="shared" ref="L111:L116" si="45">IFERROR(K111/K$28,0)</f>
        <v>0</v>
      </c>
      <c r="M111" s="79">
        <f>M59</f>
        <v>0</v>
      </c>
      <c r="N111" s="80">
        <f t="shared" ref="N111:N116" si="46">IFERROR(M111/M$28,0)</f>
        <v>0</v>
      </c>
      <c r="O111" s="79">
        <f>O59</f>
        <v>0</v>
      </c>
      <c r="P111" s="80">
        <f t="shared" ref="P111:P116" si="47">IFERROR(O111/O$28,0)</f>
        <v>0</v>
      </c>
      <c r="Q111" s="79">
        <f>Q59</f>
        <v>0</v>
      </c>
      <c r="R111" s="80">
        <f t="shared" ref="R111:R116" si="48">IFERROR(Q111/Q$28,0)</f>
        <v>0</v>
      </c>
      <c r="S111" s="79">
        <f>S59</f>
        <v>0</v>
      </c>
      <c r="T111" s="80">
        <f t="shared" ref="T111:T116" si="49">IFERROR(S111/S$28,0)</f>
        <v>0</v>
      </c>
      <c r="U111" s="79">
        <f>U59</f>
        <v>0</v>
      </c>
      <c r="V111" s="80">
        <f t="shared" ref="V111:V116" si="50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1"/>
        <v>0</v>
      </c>
      <c r="E112" s="79">
        <f>E62</f>
        <v>0</v>
      </c>
      <c r="F112" s="80">
        <f t="shared" si="42"/>
        <v>0</v>
      </c>
      <c r="G112" s="79">
        <f>G62</f>
        <v>0</v>
      </c>
      <c r="H112" s="80">
        <f t="shared" si="43"/>
        <v>0</v>
      </c>
      <c r="I112" s="79">
        <f>I62</f>
        <v>0</v>
      </c>
      <c r="J112" s="80">
        <f t="shared" si="44"/>
        <v>0</v>
      </c>
      <c r="K112" s="79">
        <f>K62</f>
        <v>0</v>
      </c>
      <c r="L112" s="80">
        <f t="shared" si="45"/>
        <v>0</v>
      </c>
      <c r="M112" s="79">
        <f>M62</f>
        <v>0</v>
      </c>
      <c r="N112" s="80">
        <f t="shared" si="46"/>
        <v>0</v>
      </c>
      <c r="O112" s="79">
        <f>O62</f>
        <v>0</v>
      </c>
      <c r="P112" s="80">
        <f t="shared" si="47"/>
        <v>0</v>
      </c>
      <c r="Q112" s="79">
        <f>Q62</f>
        <v>0</v>
      </c>
      <c r="R112" s="80">
        <f t="shared" si="48"/>
        <v>0</v>
      </c>
      <c r="S112" s="79">
        <f>S62</f>
        <v>0</v>
      </c>
      <c r="T112" s="80">
        <f t="shared" si="49"/>
        <v>0</v>
      </c>
      <c r="U112" s="79">
        <f>U62</f>
        <v>0</v>
      </c>
      <c r="V112" s="80">
        <f t="shared" si="50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1"/>
        <v>0</v>
      </c>
      <c r="E113" s="111">
        <v>0</v>
      </c>
      <c r="F113" s="80">
        <f t="shared" si="42"/>
        <v>0</v>
      </c>
      <c r="G113" s="111">
        <v>0</v>
      </c>
      <c r="H113" s="80">
        <f t="shared" si="43"/>
        <v>0</v>
      </c>
      <c r="I113" s="111">
        <v>0</v>
      </c>
      <c r="J113" s="80">
        <f t="shared" si="44"/>
        <v>0</v>
      </c>
      <c r="K113" s="111">
        <v>0</v>
      </c>
      <c r="L113" s="80">
        <f t="shared" si="45"/>
        <v>0</v>
      </c>
      <c r="M113" s="111">
        <v>0</v>
      </c>
      <c r="N113" s="80">
        <f t="shared" si="46"/>
        <v>0</v>
      </c>
      <c r="O113" s="111">
        <v>0</v>
      </c>
      <c r="P113" s="80">
        <f t="shared" si="47"/>
        <v>0</v>
      </c>
      <c r="Q113" s="111">
        <v>0</v>
      </c>
      <c r="R113" s="80">
        <f t="shared" si="48"/>
        <v>0</v>
      </c>
      <c r="S113" s="111">
        <v>0</v>
      </c>
      <c r="T113" s="80">
        <f t="shared" si="49"/>
        <v>0</v>
      </c>
      <c r="U113" s="111">
        <v>0</v>
      </c>
      <c r="V113" s="80">
        <f t="shared" si="50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1"/>
        <v>0</v>
      </c>
      <c r="E114" s="111">
        <v>0</v>
      </c>
      <c r="F114" s="80">
        <f t="shared" si="42"/>
        <v>0</v>
      </c>
      <c r="G114" s="111">
        <v>0</v>
      </c>
      <c r="H114" s="80">
        <f t="shared" si="43"/>
        <v>0</v>
      </c>
      <c r="I114" s="111">
        <v>0</v>
      </c>
      <c r="J114" s="80">
        <f t="shared" si="44"/>
        <v>0</v>
      </c>
      <c r="K114" s="111">
        <v>0</v>
      </c>
      <c r="L114" s="80">
        <f t="shared" si="45"/>
        <v>0</v>
      </c>
      <c r="M114" s="111">
        <v>0</v>
      </c>
      <c r="N114" s="80">
        <f t="shared" si="46"/>
        <v>0</v>
      </c>
      <c r="O114" s="111">
        <v>0</v>
      </c>
      <c r="P114" s="80">
        <f t="shared" si="47"/>
        <v>0</v>
      </c>
      <c r="Q114" s="111">
        <v>0</v>
      </c>
      <c r="R114" s="80">
        <f t="shared" si="48"/>
        <v>0</v>
      </c>
      <c r="S114" s="111">
        <v>0</v>
      </c>
      <c r="T114" s="80">
        <f t="shared" si="49"/>
        <v>0</v>
      </c>
      <c r="U114" s="111">
        <v>0</v>
      </c>
      <c r="V114" s="80">
        <f t="shared" si="50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1"/>
        <v>0</v>
      </c>
      <c r="E115" s="112">
        <v>0</v>
      </c>
      <c r="F115" s="80">
        <f t="shared" si="42"/>
        <v>0</v>
      </c>
      <c r="G115" s="112">
        <v>0</v>
      </c>
      <c r="H115" s="80">
        <f t="shared" si="43"/>
        <v>0</v>
      </c>
      <c r="I115" s="112">
        <v>0</v>
      </c>
      <c r="J115" s="80">
        <f t="shared" si="44"/>
        <v>0</v>
      </c>
      <c r="K115" s="112">
        <v>0</v>
      </c>
      <c r="L115" s="80">
        <f t="shared" si="45"/>
        <v>0</v>
      </c>
      <c r="M115" s="112">
        <v>0</v>
      </c>
      <c r="N115" s="80">
        <f t="shared" si="46"/>
        <v>0</v>
      </c>
      <c r="O115" s="112">
        <v>0</v>
      </c>
      <c r="P115" s="80">
        <f t="shared" si="47"/>
        <v>0</v>
      </c>
      <c r="Q115" s="112">
        <v>0</v>
      </c>
      <c r="R115" s="80">
        <f t="shared" si="48"/>
        <v>0</v>
      </c>
      <c r="S115" s="112">
        <v>0</v>
      </c>
      <c r="T115" s="80">
        <f t="shared" si="49"/>
        <v>0</v>
      </c>
      <c r="U115" s="112">
        <v>0</v>
      </c>
      <c r="V115" s="80">
        <f t="shared" si="50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1"/>
        <v>0</v>
      </c>
      <c r="E116" s="85">
        <f>SUM(E111:E115)</f>
        <v>0</v>
      </c>
      <c r="F116" s="83">
        <f t="shared" si="42"/>
        <v>0</v>
      </c>
      <c r="G116" s="85">
        <f>SUM(G111:G115)</f>
        <v>0</v>
      </c>
      <c r="H116" s="83">
        <f t="shared" si="43"/>
        <v>0</v>
      </c>
      <c r="I116" s="85">
        <f>SUM(I111:I115)</f>
        <v>0</v>
      </c>
      <c r="J116" s="83">
        <f t="shared" si="44"/>
        <v>0</v>
      </c>
      <c r="K116" s="85">
        <f>SUM(K111:K115)</f>
        <v>0</v>
      </c>
      <c r="L116" s="83">
        <f t="shared" si="45"/>
        <v>0</v>
      </c>
      <c r="M116" s="85">
        <f>SUM(M111:M115)</f>
        <v>0</v>
      </c>
      <c r="N116" s="83">
        <f t="shared" si="46"/>
        <v>0</v>
      </c>
      <c r="O116" s="85">
        <f>SUM(O111:O115)</f>
        <v>0</v>
      </c>
      <c r="P116" s="83">
        <f t="shared" si="47"/>
        <v>0</v>
      </c>
      <c r="Q116" s="85">
        <f>SUM(Q111:Q115)</f>
        <v>0</v>
      </c>
      <c r="R116" s="83">
        <f t="shared" si="48"/>
        <v>0</v>
      </c>
      <c r="S116" s="85">
        <f>SUM(S111:S115)</f>
        <v>0</v>
      </c>
      <c r="T116" s="83">
        <f t="shared" si="49"/>
        <v>0</v>
      </c>
      <c r="U116" s="85">
        <f>SUM(U111:U115)</f>
        <v>0</v>
      </c>
      <c r="V116" s="83">
        <f t="shared" si="50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  <pageSetUpPr fitToPage="1"/>
  </sheetPr>
  <dimension ref="A1:J91"/>
  <sheetViews>
    <sheetView zoomScale="85" zoomScaleNormal="85" workbookViewId="0" xr3:uid="{958C4451-9541-5A59-BF78-D2F731DF1C81}">
      <selection activeCell="C5" sqref="C5"/>
    </sheetView>
  </sheetViews>
  <sheetFormatPr defaultColWidth="9.140625" defaultRowHeight="12.75"/>
  <cols>
    <col min="1" max="1" width="3.140625" style="2" customWidth="1"/>
    <col min="2" max="2" width="10.5703125" style="2" customWidth="1"/>
    <col min="3" max="3" width="30.5703125" style="2" customWidth="1"/>
    <col min="4" max="4" width="40.7109375" style="3" customWidth="1"/>
    <col min="5" max="5" width="1.5703125" style="3" customWidth="1"/>
    <col min="6" max="6" width="13.5703125" style="2" customWidth="1"/>
    <col min="7" max="7" width="1.5703125" style="3" customWidth="1"/>
    <col min="8" max="8" width="22.85546875" style="2" customWidth="1"/>
    <col min="9" max="9" width="5.7109375" style="2" customWidth="1"/>
    <col min="10" max="10" width="15.7109375" style="2" customWidth="1"/>
    <col min="11" max="11" width="3.140625" style="2" customWidth="1"/>
    <col min="12" max="12" width="9.7109375" style="2" customWidth="1"/>
    <col min="13" max="14" width="14.7109375" style="2" customWidth="1"/>
    <col min="15" max="15" width="4.7109375" style="2" customWidth="1"/>
    <col min="16" max="16" width="14.7109375" style="2" customWidth="1"/>
    <col min="17" max="17" width="5.7109375" style="2" customWidth="1"/>
    <col min="18" max="18" width="15.7109375" style="2" customWidth="1"/>
    <col min="19" max="16384" width="9.140625" style="2"/>
  </cols>
  <sheetData>
    <row r="1" spans="1:8" customFormat="1">
      <c r="A1" s="1" t="s">
        <v>0</v>
      </c>
    </row>
    <row r="2" spans="1:8" customFormat="1">
      <c r="A2" s="1" t="s">
        <v>1</v>
      </c>
    </row>
    <row r="3" spans="1:8">
      <c r="A3" s="1" t="s">
        <v>15</v>
      </c>
    </row>
    <row r="4" spans="1:8">
      <c r="A4" s="1"/>
    </row>
    <row r="5" spans="1:8">
      <c r="A5" s="1" t="s">
        <v>16</v>
      </c>
      <c r="C5" s="109" t="s">
        <v>17</v>
      </c>
    </row>
    <row r="7" spans="1:8">
      <c r="A7" s="50" t="s">
        <v>18</v>
      </c>
      <c r="B7" s="1" t="s">
        <v>19</v>
      </c>
      <c r="C7" s="1"/>
    </row>
    <row r="8" spans="1:8">
      <c r="A8" s="50"/>
      <c r="B8" s="4" t="s">
        <v>20</v>
      </c>
      <c r="C8" s="4"/>
    </row>
    <row r="9" spans="1:8">
      <c r="A9" s="51"/>
      <c r="D9" s="2"/>
      <c r="E9" s="2"/>
      <c r="G9" s="2"/>
    </row>
    <row r="10" spans="1:8">
      <c r="A10" s="51"/>
      <c r="B10" s="239" t="s">
        <v>21</v>
      </c>
      <c r="C10" s="240"/>
      <c r="D10" s="93" t="s">
        <v>22</v>
      </c>
      <c r="E10" s="93"/>
      <c r="F10" s="93" t="s">
        <v>23</v>
      </c>
      <c r="G10" s="95"/>
      <c r="H10" s="93" t="s">
        <v>24</v>
      </c>
    </row>
    <row r="11" spans="1:8">
      <c r="A11" s="51"/>
      <c r="B11" s="241"/>
      <c r="C11" s="242"/>
      <c r="D11" s="87"/>
      <c r="E11" s="87"/>
      <c r="F11" s="87" t="s">
        <v>25</v>
      </c>
      <c r="G11" s="96"/>
      <c r="H11" s="87" t="s">
        <v>26</v>
      </c>
    </row>
    <row r="12" spans="1:8">
      <c r="A12" s="51"/>
      <c r="B12" s="103" t="s">
        <v>27</v>
      </c>
      <c r="C12" s="104"/>
      <c r="D12" s="28"/>
      <c r="E12" s="28"/>
      <c r="F12" s="28"/>
      <c r="G12" s="28"/>
      <c r="H12" s="98"/>
    </row>
    <row r="13" spans="1:8" ht="5.0999999999999996" customHeight="1">
      <c r="A13" s="51"/>
      <c r="B13" s="99"/>
      <c r="C13" s="1"/>
      <c r="D13" s="2"/>
      <c r="E13" s="2"/>
      <c r="G13" s="2"/>
      <c r="H13" s="100"/>
    </row>
    <row r="14" spans="1:8">
      <c r="A14" s="51"/>
      <c r="B14" s="99" t="s">
        <v>28</v>
      </c>
      <c r="C14" s="1"/>
      <c r="D14" s="2"/>
      <c r="E14" s="2"/>
      <c r="G14" s="2"/>
      <c r="H14" s="100"/>
    </row>
    <row r="15" spans="1:8">
      <c r="A15" s="51"/>
      <c r="B15" s="48" t="s">
        <v>29</v>
      </c>
      <c r="D15" s="109" t="str">
        <f>+B15</f>
        <v>Fresh Food Co. - Door Sales (Graham Center)</v>
      </c>
      <c r="E15" s="2"/>
      <c r="F15" s="109" t="s">
        <v>30</v>
      </c>
      <c r="G15" s="2"/>
      <c r="H15" s="146" t="s">
        <v>31</v>
      </c>
    </row>
    <row r="16" spans="1:8">
      <c r="A16" s="51"/>
      <c r="B16" s="48" t="s">
        <v>32</v>
      </c>
      <c r="D16" s="109" t="str">
        <f>+B16</f>
        <v>POD Market (Breezeway)</v>
      </c>
      <c r="E16" s="2"/>
      <c r="F16" s="109" t="s">
        <v>30</v>
      </c>
      <c r="G16" s="2"/>
      <c r="H16" s="146" t="s">
        <v>31</v>
      </c>
    </row>
    <row r="17" spans="1:8">
      <c r="A17" s="51"/>
      <c r="B17" s="48" t="s">
        <v>33</v>
      </c>
      <c r="D17" s="109" t="str">
        <f t="shared" ref="D17:D54" si="0">+B17</f>
        <v>Express (Green Library)</v>
      </c>
      <c r="E17" s="2"/>
      <c r="F17" s="109" t="s">
        <v>30</v>
      </c>
      <c r="G17" s="2"/>
      <c r="H17" s="146" t="s">
        <v>31</v>
      </c>
    </row>
    <row r="18" spans="1:8">
      <c r="A18" s="51"/>
      <c r="B18" s="48" t="s">
        <v>34</v>
      </c>
      <c r="D18" s="109" t="str">
        <f t="shared" si="0"/>
        <v>Starbucks (Green Library)</v>
      </c>
      <c r="E18" s="2"/>
      <c r="F18" s="109" t="s">
        <v>30</v>
      </c>
      <c r="G18" s="2"/>
      <c r="H18" s="146" t="s">
        <v>31</v>
      </c>
    </row>
    <row r="19" spans="1:8">
      <c r="A19" s="51"/>
      <c r="B19" s="48" t="s">
        <v>35</v>
      </c>
      <c r="D19" s="109" t="str">
        <f t="shared" si="0"/>
        <v>Miro's Food Truck (Green Library)</v>
      </c>
      <c r="E19" s="2"/>
      <c r="F19" s="109" t="s">
        <v>36</v>
      </c>
      <c r="G19" s="2"/>
      <c r="H19" s="146" t="s">
        <v>31</v>
      </c>
    </row>
    <row r="20" spans="1:8">
      <c r="A20" s="51"/>
      <c r="B20" s="48" t="s">
        <v>37</v>
      </c>
      <c r="D20" s="109" t="str">
        <f t="shared" si="0"/>
        <v>Faculty Club (Graham Center)</v>
      </c>
      <c r="E20" s="2"/>
      <c r="F20" s="109" t="s">
        <v>30</v>
      </c>
      <c r="G20" s="2"/>
      <c r="H20" s="146" t="s">
        <v>31</v>
      </c>
    </row>
    <row r="21" spans="1:8">
      <c r="A21" s="51"/>
      <c r="B21" s="48" t="s">
        <v>38</v>
      </c>
      <c r="D21" s="109" t="str">
        <f t="shared" si="0"/>
        <v>Almazar (Graham Center)</v>
      </c>
      <c r="E21" s="2"/>
      <c r="F21" s="109" t="s">
        <v>36</v>
      </c>
      <c r="G21" s="2"/>
      <c r="H21" s="146" t="s">
        <v>31</v>
      </c>
    </row>
    <row r="22" spans="1:8">
      <c r="A22" s="51"/>
      <c r="B22" s="48" t="s">
        <v>39</v>
      </c>
      <c r="D22" s="109" t="str">
        <f t="shared" si="0"/>
        <v>Burger King (Graham Center)</v>
      </c>
      <c r="E22" s="2"/>
      <c r="F22" s="109" t="s">
        <v>30</v>
      </c>
      <c r="G22" s="2"/>
      <c r="H22" s="146" t="s">
        <v>31</v>
      </c>
    </row>
    <row r="23" spans="1:8">
      <c r="A23" s="51"/>
      <c r="B23" s="48" t="s">
        <v>40</v>
      </c>
      <c r="D23" s="109" t="str">
        <f t="shared" si="0"/>
        <v>Café Bustelo (Graham Center)</v>
      </c>
      <c r="E23" s="2"/>
      <c r="F23" s="109" t="s">
        <v>30</v>
      </c>
      <c r="G23" s="2"/>
      <c r="H23" s="146" t="s">
        <v>31</v>
      </c>
    </row>
    <row r="24" spans="1:8">
      <c r="A24" s="51"/>
      <c r="B24" s="48" t="s">
        <v>41</v>
      </c>
      <c r="D24" s="109" t="str">
        <f t="shared" si="0"/>
        <v>Chili's (Graham Center)</v>
      </c>
      <c r="E24" s="2"/>
      <c r="F24" s="109" t="s">
        <v>30</v>
      </c>
      <c r="G24" s="2"/>
      <c r="H24" s="146" t="s">
        <v>31</v>
      </c>
    </row>
    <row r="25" spans="1:8">
      <c r="A25" s="51"/>
      <c r="B25" s="48" t="s">
        <v>42</v>
      </c>
      <c r="D25" s="109" t="str">
        <f t="shared" si="0"/>
        <v>Einstein Bros. Bagels (Graham Center)</v>
      </c>
      <c r="E25" s="2"/>
      <c r="F25" s="109" t="s">
        <v>30</v>
      </c>
      <c r="G25" s="2"/>
      <c r="H25" s="146" t="s">
        <v>31</v>
      </c>
    </row>
    <row r="26" spans="1:8">
      <c r="A26" s="51"/>
      <c r="B26" s="48" t="s">
        <v>43</v>
      </c>
      <c r="D26" s="109" t="str">
        <f t="shared" si="0"/>
        <v>Jamba Juice (Graham Center)</v>
      </c>
      <c r="E26" s="2"/>
      <c r="F26" s="109" t="s">
        <v>30</v>
      </c>
      <c r="G26" s="2"/>
      <c r="H26" s="146" t="s">
        <v>31</v>
      </c>
    </row>
    <row r="27" spans="1:8">
      <c r="A27" s="51"/>
      <c r="B27" s="48" t="s">
        <v>44</v>
      </c>
      <c r="D27" s="109" t="str">
        <f t="shared" si="0"/>
        <v>Pollo Tropical (Graham Center)</v>
      </c>
      <c r="E27" s="2"/>
      <c r="F27" s="109" t="s">
        <v>30</v>
      </c>
      <c r="G27" s="2"/>
      <c r="H27" s="146" t="s">
        <v>31</v>
      </c>
    </row>
    <row r="28" spans="1:8">
      <c r="A28" s="51"/>
      <c r="B28" s="48" t="s">
        <v>45</v>
      </c>
      <c r="D28" s="109" t="str">
        <f t="shared" si="0"/>
        <v>Subway (Graham Center)</v>
      </c>
      <c r="E28" s="2"/>
      <c r="F28" s="109" t="s">
        <v>30</v>
      </c>
      <c r="G28" s="2"/>
      <c r="H28" s="146" t="s">
        <v>31</v>
      </c>
    </row>
    <row r="29" spans="1:8">
      <c r="A29" s="51"/>
      <c r="B29" s="48" t="s">
        <v>46</v>
      </c>
      <c r="D29" s="109" t="str">
        <f t="shared" si="0"/>
        <v>Sushi Maki (Graham Center)</v>
      </c>
      <c r="E29" s="2"/>
      <c r="F29" s="109" t="s">
        <v>36</v>
      </c>
      <c r="G29" s="2"/>
      <c r="H29" s="146" t="s">
        <v>31</v>
      </c>
    </row>
    <row r="30" spans="1:8">
      <c r="A30" s="51"/>
      <c r="B30" s="48" t="s">
        <v>47</v>
      </c>
      <c r="D30" s="109" t="str">
        <f t="shared" si="0"/>
        <v>Panda Express (Mango)</v>
      </c>
      <c r="E30" s="2"/>
      <c r="F30" s="109" t="s">
        <v>30</v>
      </c>
      <c r="G30" s="2"/>
      <c r="H30" s="146" t="s">
        <v>31</v>
      </c>
    </row>
    <row r="31" spans="1:8">
      <c r="A31" s="51"/>
      <c r="B31" s="48" t="s">
        <v>48</v>
      </c>
      <c r="D31" s="109" t="str">
        <f t="shared" si="0"/>
        <v>Starbucks (Mango)</v>
      </c>
      <c r="E31" s="2"/>
      <c r="F31" s="109" t="s">
        <v>30</v>
      </c>
      <c r="G31" s="2"/>
      <c r="H31" s="146" t="s">
        <v>31</v>
      </c>
    </row>
    <row r="32" spans="1:8">
      <c r="A32" s="51"/>
      <c r="B32" s="48" t="s">
        <v>49</v>
      </c>
      <c r="D32" s="109" t="str">
        <f t="shared" si="0"/>
        <v>Taco Bell (Mango)</v>
      </c>
      <c r="E32" s="2"/>
      <c r="F32" s="109" t="s">
        <v>30</v>
      </c>
      <c r="G32" s="2"/>
      <c r="H32" s="146" t="s">
        <v>31</v>
      </c>
    </row>
    <row r="33" spans="1:8">
      <c r="A33" s="51"/>
      <c r="B33" s="48" t="s">
        <v>50</v>
      </c>
      <c r="D33" s="109" t="str">
        <f t="shared" si="0"/>
        <v>Chick-fil-A (Parking Garage 5)</v>
      </c>
      <c r="E33" s="2"/>
      <c r="F33" s="109" t="s">
        <v>30</v>
      </c>
      <c r="G33" s="2"/>
      <c r="H33" s="146" t="s">
        <v>31</v>
      </c>
    </row>
    <row r="34" spans="1:8">
      <c r="A34" s="51"/>
      <c r="B34" s="48" t="s">
        <v>51</v>
      </c>
      <c r="D34" s="109" t="str">
        <f t="shared" si="0"/>
        <v>Dunkin Donuts (Parking Garage 5)</v>
      </c>
      <c r="E34" s="2"/>
      <c r="F34" s="109" t="s">
        <v>30</v>
      </c>
      <c r="G34" s="2"/>
      <c r="H34" s="146" t="s">
        <v>31</v>
      </c>
    </row>
    <row r="35" spans="1:8">
      <c r="A35" s="51"/>
      <c r="B35" s="48" t="s">
        <v>52</v>
      </c>
      <c r="D35" s="109" t="str">
        <f t="shared" si="0"/>
        <v>Misha's Cupcakes (Parking Garage 5)</v>
      </c>
      <c r="E35" s="2"/>
      <c r="F35" s="109" t="s">
        <v>36</v>
      </c>
      <c r="G35" s="2"/>
      <c r="H35" s="146" t="s">
        <v>31</v>
      </c>
    </row>
    <row r="36" spans="1:8">
      <c r="A36" s="51"/>
      <c r="B36" s="48" t="s">
        <v>53</v>
      </c>
      <c r="D36" s="109" t="str">
        <f t="shared" si="0"/>
        <v>Sergio's Cuban Café &amp; Grill (Parking Garage 5)</v>
      </c>
      <c r="E36" s="2"/>
      <c r="F36" s="109" t="s">
        <v>30</v>
      </c>
      <c r="G36" s="2"/>
      <c r="H36" s="146" t="s">
        <v>31</v>
      </c>
    </row>
    <row r="37" spans="1:8">
      <c r="A37" s="51"/>
      <c r="B37" s="48" t="s">
        <v>54</v>
      </c>
      <c r="D37" s="109" t="str">
        <f t="shared" si="0"/>
        <v>Moe's Southwest Grill (Parking Garage 5)</v>
      </c>
      <c r="E37" s="2"/>
      <c r="F37" s="109" t="s">
        <v>30</v>
      </c>
      <c r="G37" s="2"/>
      <c r="H37" s="146" t="s">
        <v>31</v>
      </c>
    </row>
    <row r="38" spans="1:8">
      <c r="A38" s="51"/>
      <c r="B38" s="48" t="s">
        <v>55</v>
      </c>
      <c r="D38" s="109" t="str">
        <f t="shared" si="0"/>
        <v>Papa John's Pizza (Parking Garage 5)</v>
      </c>
      <c r="E38" s="2"/>
      <c r="F38" s="109" t="s">
        <v>30</v>
      </c>
      <c r="G38" s="2"/>
      <c r="H38" s="146" t="s">
        <v>31</v>
      </c>
    </row>
    <row r="39" spans="1:8">
      <c r="A39" s="51"/>
      <c r="B39" s="48" t="s">
        <v>56</v>
      </c>
      <c r="D39" s="109" t="str">
        <f t="shared" si="0"/>
        <v>Salad Creations (Parking Garage 5)</v>
      </c>
      <c r="E39" s="2"/>
      <c r="F39" s="109" t="s">
        <v>36</v>
      </c>
      <c r="G39" s="2"/>
      <c r="H39" s="146" t="s">
        <v>31</v>
      </c>
    </row>
    <row r="40" spans="1:8">
      <c r="A40" s="51"/>
      <c r="B40" s="48" t="s">
        <v>57</v>
      </c>
      <c r="D40" s="109" t="str">
        <f t="shared" si="0"/>
        <v>Half Moon Empanadas (Parking Garage 6)</v>
      </c>
      <c r="E40" s="2"/>
      <c r="F40" s="109" t="s">
        <v>36</v>
      </c>
      <c r="G40" s="2"/>
      <c r="H40" s="146" t="s">
        <v>31</v>
      </c>
    </row>
    <row r="41" spans="1:8">
      <c r="A41" s="51"/>
      <c r="B41" s="48" t="s">
        <v>58</v>
      </c>
      <c r="D41" s="109" t="str">
        <f t="shared" si="0"/>
        <v>Tropical Café Smoothies (Recreation Center)</v>
      </c>
      <c r="E41" s="2"/>
      <c r="F41" s="109" t="s">
        <v>36</v>
      </c>
      <c r="G41" s="2"/>
      <c r="H41" s="146" t="s">
        <v>31</v>
      </c>
    </row>
    <row r="42" spans="1:8">
      <c r="A42" s="51"/>
      <c r="B42" s="48" t="s">
        <v>59</v>
      </c>
      <c r="D42" s="109" t="str">
        <f>+B42</f>
        <v xml:space="preserve">Heritage Market </v>
      </c>
      <c r="E42" s="2"/>
      <c r="F42" s="145" t="s">
        <v>30</v>
      </c>
      <c r="G42" s="2"/>
      <c r="H42" s="146" t="s">
        <v>31</v>
      </c>
    </row>
    <row r="43" spans="1:8">
      <c r="A43" s="51"/>
      <c r="B43" s="48" t="s">
        <v>60</v>
      </c>
      <c r="D43" s="109" t="str">
        <f>+B43</f>
        <v xml:space="preserve">Chipotle </v>
      </c>
      <c r="E43" s="2"/>
      <c r="F43" s="145" t="s">
        <v>30</v>
      </c>
      <c r="G43" s="2"/>
      <c r="H43" s="146" t="s">
        <v>31</v>
      </c>
    </row>
    <row r="44" spans="1:8">
      <c r="A44" s="51"/>
      <c r="B44" s="48" t="s">
        <v>61</v>
      </c>
      <c r="D44" s="109" t="str">
        <f>+B44</f>
        <v>Panera</v>
      </c>
      <c r="E44" s="2"/>
      <c r="F44" s="145" t="s">
        <v>30</v>
      </c>
      <c r="G44" s="2"/>
      <c r="H44" s="146" t="s">
        <v>31</v>
      </c>
    </row>
    <row r="45" spans="1:8">
      <c r="A45" s="51"/>
      <c r="B45" s="48" t="s">
        <v>62</v>
      </c>
      <c r="D45" s="109" t="str">
        <f>+B45</f>
        <v>Market Pavillion</v>
      </c>
      <c r="E45" s="2"/>
      <c r="F45" s="145" t="s">
        <v>30</v>
      </c>
      <c r="G45" s="2"/>
      <c r="H45" s="146" t="s">
        <v>31</v>
      </c>
    </row>
    <row r="46" spans="1:8">
      <c r="A46" s="51"/>
      <c r="B46" s="48"/>
      <c r="D46" s="28"/>
      <c r="E46" s="2"/>
      <c r="F46" s="28"/>
      <c r="G46" s="2"/>
      <c r="H46" s="98"/>
    </row>
    <row r="47" spans="1:8">
      <c r="A47" s="51"/>
      <c r="B47" s="99" t="s">
        <v>63</v>
      </c>
      <c r="C47" s="1"/>
      <c r="D47" s="2"/>
      <c r="E47" s="2"/>
      <c r="G47" s="2"/>
      <c r="H47" s="100"/>
    </row>
    <row r="48" spans="1:8">
      <c r="A48" s="51"/>
      <c r="B48" s="48" t="s">
        <v>64</v>
      </c>
      <c r="D48" s="109" t="str">
        <f t="shared" si="0"/>
        <v>All Meal Plans (exclusive of Meal Plan Dining $)</v>
      </c>
      <c r="E48" s="2"/>
      <c r="F48" s="149" t="s">
        <v>65</v>
      </c>
      <c r="G48" s="2"/>
      <c r="H48" s="146" t="s">
        <v>66</v>
      </c>
    </row>
    <row r="49" spans="1:10">
      <c r="A49" s="51"/>
      <c r="B49" s="48"/>
      <c r="D49" s="28"/>
      <c r="E49" s="2"/>
      <c r="F49" s="28"/>
      <c r="G49" s="2"/>
      <c r="H49" s="98"/>
    </row>
    <row r="50" spans="1:10">
      <c r="A50" s="51"/>
      <c r="B50" s="99" t="s">
        <v>67</v>
      </c>
      <c r="C50" s="1"/>
      <c r="D50" s="2"/>
      <c r="E50" s="2"/>
      <c r="G50" s="2"/>
      <c r="H50" s="100"/>
    </row>
    <row r="51" spans="1:10">
      <c r="A51" s="51"/>
      <c r="B51" s="48" t="s">
        <v>68</v>
      </c>
      <c r="D51" s="109" t="str">
        <f t="shared" si="0"/>
        <v>Catering</v>
      </c>
      <c r="E51" s="2"/>
      <c r="F51" s="109" t="s">
        <v>65</v>
      </c>
      <c r="G51" s="2"/>
      <c r="H51" s="146" t="s">
        <v>66</v>
      </c>
    </row>
    <row r="52" spans="1:10">
      <c r="A52" s="51"/>
      <c r="B52" s="48" t="s">
        <v>69</v>
      </c>
      <c r="D52" s="109" t="str">
        <f t="shared" si="0"/>
        <v>Athletic Catering</v>
      </c>
      <c r="E52" s="2"/>
      <c r="F52" s="109" t="s">
        <v>65</v>
      </c>
      <c r="G52" s="2"/>
      <c r="H52" s="146" t="s">
        <v>66</v>
      </c>
    </row>
    <row r="53" spans="1:10">
      <c r="A53" s="51"/>
      <c r="B53" s="48" t="s">
        <v>70</v>
      </c>
      <c r="D53" s="109" t="str">
        <f t="shared" si="0"/>
        <v>Alcohol</v>
      </c>
      <c r="E53" s="2"/>
      <c r="F53" s="109" t="s">
        <v>65</v>
      </c>
      <c r="G53" s="2"/>
      <c r="H53" s="146" t="s">
        <v>66</v>
      </c>
    </row>
    <row r="54" spans="1:10">
      <c r="A54" s="51"/>
      <c r="B54" s="48" t="s">
        <v>71</v>
      </c>
      <c r="D54" s="109" t="str">
        <f t="shared" si="0"/>
        <v>Summer Conferences &amp; Camps</v>
      </c>
      <c r="E54" s="2"/>
      <c r="F54" s="109" t="s">
        <v>65</v>
      </c>
      <c r="G54" s="2"/>
      <c r="H54" s="146" t="s">
        <v>66</v>
      </c>
    </row>
    <row r="55" spans="1:10">
      <c r="A55" s="51"/>
      <c r="B55" s="48"/>
      <c r="D55" s="28"/>
      <c r="E55" s="2"/>
      <c r="F55" s="28"/>
      <c r="G55" s="2"/>
      <c r="H55" s="98"/>
    </row>
    <row r="56" spans="1:10">
      <c r="A56" s="51"/>
      <c r="B56" s="102" t="s">
        <v>72</v>
      </c>
      <c r="C56" s="105"/>
      <c r="D56" s="2"/>
      <c r="E56" s="2"/>
      <c r="G56" s="2"/>
      <c r="H56" s="100"/>
    </row>
    <row r="57" spans="1:10" ht="5.0999999999999996" customHeight="1">
      <c r="A57" s="51"/>
      <c r="B57" s="101"/>
      <c r="C57" s="106"/>
      <c r="D57" s="2"/>
      <c r="E57" s="2"/>
      <c r="G57" s="2"/>
      <c r="H57" s="100"/>
    </row>
    <row r="58" spans="1:10">
      <c r="A58" s="51"/>
      <c r="B58" s="99" t="s">
        <v>28</v>
      </c>
      <c r="C58" s="1"/>
      <c r="D58" s="2"/>
      <c r="E58" s="2"/>
      <c r="G58" s="2"/>
      <c r="H58" s="100"/>
    </row>
    <row r="59" spans="1:10">
      <c r="A59" s="51"/>
      <c r="B59" s="48" t="s">
        <v>73</v>
      </c>
      <c r="D59" s="109" t="str">
        <f>+B59</f>
        <v>Starbucks (Hubert Library)</v>
      </c>
      <c r="E59" s="2"/>
      <c r="F59" s="109" t="s">
        <v>65</v>
      </c>
      <c r="G59" s="2"/>
      <c r="H59" s="146" t="s">
        <v>66</v>
      </c>
    </row>
    <row r="60" spans="1:10">
      <c r="A60" s="51"/>
      <c r="B60" s="48" t="s">
        <v>74</v>
      </c>
      <c r="D60" s="109" t="str">
        <f t="shared" ref="D60:D62" si="1">+B60</f>
        <v>Moe's Southwest Grill (Wolfe Center)</v>
      </c>
      <c r="E60" s="2"/>
      <c r="F60" s="144" t="s">
        <v>65</v>
      </c>
      <c r="G60" s="2"/>
      <c r="H60" s="146" t="s">
        <v>66</v>
      </c>
    </row>
    <row r="61" spans="1:10">
      <c r="A61" s="51"/>
      <c r="B61" s="48" t="s">
        <v>75</v>
      </c>
      <c r="D61" s="109" t="str">
        <f t="shared" si="1"/>
        <v>Grille Works (Wolfe Center)</v>
      </c>
      <c r="E61" s="2"/>
      <c r="F61" s="144" t="s">
        <v>65</v>
      </c>
      <c r="G61" s="2"/>
      <c r="H61" s="146" t="s">
        <v>66</v>
      </c>
    </row>
    <row r="62" spans="1:10">
      <c r="A62" s="51"/>
      <c r="B62" s="48" t="s">
        <v>76</v>
      </c>
      <c r="D62" s="109" t="str">
        <f t="shared" si="1"/>
        <v>Subway (Wolfe Center)</v>
      </c>
      <c r="E62" s="2"/>
      <c r="F62" s="144" t="s">
        <v>65</v>
      </c>
      <c r="G62" s="2"/>
      <c r="H62" s="146" t="s">
        <v>66</v>
      </c>
    </row>
    <row r="63" spans="1:10">
      <c r="A63" s="51"/>
      <c r="B63" s="48" t="s">
        <v>77</v>
      </c>
      <c r="D63" s="109" t="s">
        <v>78</v>
      </c>
      <c r="E63" s="2"/>
      <c r="F63" s="145" t="s">
        <v>65</v>
      </c>
      <c r="G63" s="2"/>
      <c r="H63" s="146" t="s">
        <v>66</v>
      </c>
      <c r="J63" s="19"/>
    </row>
    <row r="64" spans="1:10">
      <c r="A64" s="51"/>
      <c r="B64" s="48" t="s">
        <v>79</v>
      </c>
      <c r="D64" s="109"/>
      <c r="E64" s="2"/>
      <c r="F64" s="145"/>
      <c r="G64" s="2"/>
      <c r="H64" s="148"/>
    </row>
    <row r="65" spans="1:8">
      <c r="A65" s="51"/>
      <c r="B65" s="48" t="s">
        <v>79</v>
      </c>
      <c r="D65" s="109"/>
      <c r="E65" s="2"/>
      <c r="F65" s="145"/>
      <c r="G65" s="2"/>
      <c r="H65" s="148"/>
    </row>
    <row r="66" spans="1:8">
      <c r="A66" s="51"/>
      <c r="B66" s="48"/>
      <c r="D66" s="28"/>
      <c r="E66" s="2"/>
      <c r="F66" s="28"/>
      <c r="G66" s="2"/>
      <c r="H66" s="98"/>
    </row>
    <row r="67" spans="1:8">
      <c r="A67" s="51"/>
      <c r="B67" s="99" t="s">
        <v>67</v>
      </c>
      <c r="C67" s="1"/>
      <c r="D67" s="2"/>
      <c r="E67" s="2"/>
      <c r="G67" s="2"/>
      <c r="H67" s="100"/>
    </row>
    <row r="68" spans="1:8">
      <c r="A68" s="51"/>
      <c r="B68" s="48" t="s">
        <v>80</v>
      </c>
      <c r="D68" s="109" t="str">
        <f>+B68</f>
        <v xml:space="preserve">Ath. Concessions </v>
      </c>
      <c r="E68" s="2"/>
      <c r="F68" s="109" t="s">
        <v>30</v>
      </c>
      <c r="G68" s="2"/>
      <c r="H68" s="146">
        <v>0.15</v>
      </c>
    </row>
    <row r="69" spans="1:8">
      <c r="A69" s="51"/>
      <c r="B69" s="48" t="s">
        <v>81</v>
      </c>
      <c r="D69" s="144" t="s">
        <v>81</v>
      </c>
      <c r="E69" s="2"/>
      <c r="F69" s="144" t="s">
        <v>30</v>
      </c>
      <c r="G69" s="2"/>
      <c r="H69" s="147">
        <v>0.1</v>
      </c>
    </row>
    <row r="70" spans="1:8">
      <c r="A70" s="51"/>
      <c r="B70" s="48" t="s">
        <v>79</v>
      </c>
      <c r="D70" s="144"/>
      <c r="E70" s="2"/>
      <c r="F70" s="144"/>
      <c r="G70" s="2"/>
      <c r="H70" s="147"/>
    </row>
    <row r="71" spans="1:8">
      <c r="A71" s="51"/>
      <c r="B71" s="48" t="s">
        <v>79</v>
      </c>
      <c r="D71" s="144"/>
      <c r="E71" s="2"/>
      <c r="F71" s="144"/>
      <c r="G71" s="2"/>
      <c r="H71" s="147"/>
    </row>
    <row r="72" spans="1:8">
      <c r="A72" s="51"/>
      <c r="B72" s="49"/>
      <c r="C72" s="6"/>
      <c r="D72" s="29"/>
      <c r="E72" s="6"/>
      <c r="F72" s="29"/>
      <c r="G72" s="6"/>
      <c r="H72" s="97"/>
    </row>
    <row r="73" spans="1:8">
      <c r="A73" s="51"/>
      <c r="D73" s="2"/>
      <c r="E73" s="2"/>
      <c r="G73" s="2"/>
      <c r="H73" s="162"/>
    </row>
    <row r="74" spans="1:8">
      <c r="A74" s="51"/>
      <c r="D74" s="2"/>
      <c r="E74" s="2"/>
      <c r="G74" s="2"/>
    </row>
    <row r="75" spans="1:8">
      <c r="A75" s="50" t="s">
        <v>82</v>
      </c>
      <c r="B75" s="1" t="s">
        <v>83</v>
      </c>
      <c r="C75" s="1"/>
    </row>
    <row r="76" spans="1:8">
      <c r="A76" s="3"/>
    </row>
    <row r="77" spans="1:8">
      <c r="A77" s="3"/>
      <c r="B77" s="2" t="s">
        <v>84</v>
      </c>
      <c r="C77" s="151">
        <v>2000000</v>
      </c>
      <c r="D77" s="243" t="s">
        <v>85</v>
      </c>
      <c r="E77" s="243"/>
      <c r="F77" s="243"/>
      <c r="G77" s="243"/>
      <c r="H77" s="243"/>
    </row>
    <row r="78" spans="1:8">
      <c r="A78" s="3"/>
      <c r="B78" s="2" t="s">
        <v>86</v>
      </c>
      <c r="C78" s="151">
        <v>2000000</v>
      </c>
      <c r="D78" s="243" t="s">
        <v>85</v>
      </c>
      <c r="E78" s="243"/>
      <c r="F78" s="243"/>
      <c r="G78" s="243"/>
      <c r="H78" s="243"/>
    </row>
    <row r="79" spans="1:8">
      <c r="A79" s="3"/>
      <c r="B79" s="2" t="s">
        <v>87</v>
      </c>
      <c r="C79" s="151">
        <v>2000000</v>
      </c>
      <c r="D79" s="243" t="s">
        <v>85</v>
      </c>
      <c r="E79" s="243"/>
      <c r="F79" s="243"/>
      <c r="G79" s="243"/>
      <c r="H79" s="243"/>
    </row>
    <row r="80" spans="1:8">
      <c r="A80" s="3"/>
      <c r="B80" s="2" t="s">
        <v>88</v>
      </c>
      <c r="C80" s="151">
        <v>2000000</v>
      </c>
      <c r="D80" s="243" t="s">
        <v>85</v>
      </c>
      <c r="E80" s="243"/>
      <c r="F80" s="243"/>
      <c r="G80" s="243"/>
      <c r="H80" s="243"/>
    </row>
    <row r="81" spans="1:8">
      <c r="A81" s="3"/>
      <c r="B81" s="2" t="s">
        <v>89</v>
      </c>
      <c r="C81" s="151">
        <v>2000000</v>
      </c>
      <c r="D81" s="243" t="s">
        <v>85</v>
      </c>
      <c r="E81" s="243"/>
      <c r="F81" s="243"/>
      <c r="G81" s="243"/>
      <c r="H81" s="243"/>
    </row>
    <row r="82" spans="1:8">
      <c r="A82" s="3"/>
      <c r="B82" s="2" t="s">
        <v>90</v>
      </c>
      <c r="C82" s="151">
        <v>2000000</v>
      </c>
      <c r="D82" s="243" t="s">
        <v>85</v>
      </c>
      <c r="E82" s="243"/>
      <c r="F82" s="243"/>
      <c r="G82" s="243"/>
      <c r="H82" s="243"/>
    </row>
    <row r="83" spans="1:8">
      <c r="A83" s="3"/>
      <c r="B83" s="2" t="s">
        <v>91</v>
      </c>
      <c r="C83" s="151">
        <v>2000000</v>
      </c>
      <c r="D83" s="243" t="s">
        <v>85</v>
      </c>
      <c r="E83" s="243"/>
      <c r="F83" s="243"/>
      <c r="G83" s="243"/>
      <c r="H83" s="243"/>
    </row>
    <row r="84" spans="1:8">
      <c r="A84" s="3"/>
      <c r="B84" s="2" t="s">
        <v>92</v>
      </c>
      <c r="C84" s="151">
        <v>2000000</v>
      </c>
      <c r="D84" s="243" t="s">
        <v>85</v>
      </c>
      <c r="E84" s="243"/>
      <c r="F84" s="243"/>
      <c r="G84" s="243"/>
      <c r="H84" s="243"/>
    </row>
    <row r="85" spans="1:8">
      <c r="A85" s="3"/>
      <c r="B85" s="2" t="s">
        <v>93</v>
      </c>
      <c r="C85" s="151">
        <v>2000000</v>
      </c>
      <c r="D85" s="243" t="s">
        <v>85</v>
      </c>
      <c r="E85" s="243"/>
      <c r="F85" s="243"/>
      <c r="G85" s="243"/>
      <c r="H85" s="243"/>
    </row>
    <row r="86" spans="1:8">
      <c r="A86" s="3"/>
      <c r="B86" s="2" t="s">
        <v>94</v>
      </c>
      <c r="C86" s="151">
        <v>2000000</v>
      </c>
      <c r="D86" s="243" t="s">
        <v>85</v>
      </c>
      <c r="E86" s="243"/>
      <c r="F86" s="243"/>
      <c r="G86" s="243"/>
      <c r="H86" s="243"/>
    </row>
    <row r="87" spans="1:8">
      <c r="A87" s="3"/>
      <c r="B87" s="2" t="s">
        <v>95</v>
      </c>
      <c r="C87" s="151" t="s">
        <v>96</v>
      </c>
      <c r="E87" s="45"/>
    </row>
    <row r="88" spans="1:8">
      <c r="A88" s="3"/>
      <c r="B88" s="2" t="s">
        <v>95</v>
      </c>
      <c r="C88" s="151" t="s">
        <v>96</v>
      </c>
      <c r="E88" s="45"/>
    </row>
    <row r="89" spans="1:8">
      <c r="A89" s="3"/>
    </row>
    <row r="90" spans="1:8">
      <c r="A90" s="3"/>
      <c r="B90" s="106" t="s">
        <v>97</v>
      </c>
    </row>
    <row r="91" spans="1:8">
      <c r="A91" s="3"/>
    </row>
  </sheetData>
  <mergeCells count="12">
    <mergeCell ref="D85:H85"/>
    <mergeCell ref="D86:H86"/>
    <mergeCell ref="D80:H80"/>
    <mergeCell ref="D81:H81"/>
    <mergeCell ref="D82:H82"/>
    <mergeCell ref="D83:H83"/>
    <mergeCell ref="D84:H84"/>
    <mergeCell ref="B10:C10"/>
    <mergeCell ref="B11:C11"/>
    <mergeCell ref="D77:H77"/>
    <mergeCell ref="D78:H78"/>
    <mergeCell ref="D79:H79"/>
  </mergeCells>
  <pageMargins left="0.2" right="0" top="0.25" bottom="0" header="0.3" footer="0.3"/>
  <pageSetup scale="5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7" tint="0.59999389629810485"/>
  </sheetPr>
  <dimension ref="A1:X119"/>
  <sheetViews>
    <sheetView topLeftCell="A33" zoomScale="70" zoomScaleNormal="70" workbookViewId="0" xr3:uid="{34904945-5288-588E-9F07-34343C13E9F2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43.1406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42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Einstein Bros. Bagels (Graham Center)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228</v>
      </c>
      <c r="E8" s="109">
        <f>+C8</f>
        <v>228</v>
      </c>
      <c r="G8" s="109">
        <f>+E8</f>
        <v>228</v>
      </c>
      <c r="I8" s="109">
        <f>+G8</f>
        <v>228</v>
      </c>
      <c r="K8" s="109">
        <f>+I8</f>
        <v>228</v>
      </c>
      <c r="M8" s="109">
        <f>+K8</f>
        <v>228</v>
      </c>
      <c r="O8" s="109">
        <f>+M8</f>
        <v>228</v>
      </c>
      <c r="Q8" s="109">
        <f>+O8</f>
        <v>228</v>
      </c>
      <c r="S8" s="109">
        <f>+Q8</f>
        <v>228</v>
      </c>
      <c r="U8" s="109">
        <f>+S8</f>
        <v>228</v>
      </c>
    </row>
    <row r="10" spans="1:22" ht="12.75" customHeight="1">
      <c r="A10" s="2" t="s">
        <v>449</v>
      </c>
      <c r="C10" s="109">
        <v>400</v>
      </c>
      <c r="E10" s="109"/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450</v>
      </c>
      <c r="C12" s="110">
        <v>5.12</v>
      </c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451</v>
      </c>
      <c r="C14" s="206">
        <f>C12*C10*C8</f>
        <v>466944</v>
      </c>
      <c r="E14" s="121">
        <f>E12*E10*E8</f>
        <v>0</v>
      </c>
      <c r="G14" s="121">
        <f>G12*G10*G8</f>
        <v>0</v>
      </c>
      <c r="I14" s="121">
        <f>I12*I10*I8</f>
        <v>0</v>
      </c>
      <c r="K14" s="121">
        <f>K12*K10*K8</f>
        <v>0</v>
      </c>
      <c r="M14" s="121">
        <f>M12*M10*M8</f>
        <v>0</v>
      </c>
      <c r="O14" s="121">
        <f>O12*O10*O8</f>
        <v>0</v>
      </c>
      <c r="Q14" s="121">
        <f>Q12*Q10*Q8</f>
        <v>0</v>
      </c>
      <c r="S14" s="121">
        <f>S12*S10*S8</f>
        <v>0</v>
      </c>
      <c r="U14" s="121">
        <f>U12*U10*U8</f>
        <v>0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4">
        <f>+C14-C20-C21</f>
        <v>403066.06079999998</v>
      </c>
      <c r="D19" s="80">
        <f>IFERROR(C19/C$28,0)</f>
        <v>0.86319999999999997</v>
      </c>
      <c r="E19" s="208">
        <f>+E14-E20</f>
        <v>0</v>
      </c>
      <c r="F19" s="80">
        <f>IFERROR(E19/E$28,0)</f>
        <v>0</v>
      </c>
      <c r="G19" s="111">
        <f>E19*1.02</f>
        <v>0</v>
      </c>
      <c r="H19" s="80">
        <f>IFERROR(G19/G$28,0)</f>
        <v>0</v>
      </c>
      <c r="I19" s="111">
        <f>G19*1.02</f>
        <v>0</v>
      </c>
      <c r="J19" s="80">
        <f>IFERROR(I19/I$28,0)</f>
        <v>0</v>
      </c>
      <c r="K19" s="111">
        <f>I19*1.02</f>
        <v>0</v>
      </c>
      <c r="L19" s="80">
        <f>IFERROR(K19/K$28,0)</f>
        <v>0</v>
      </c>
      <c r="M19" s="111">
        <f>K19*1.02</f>
        <v>0</v>
      </c>
      <c r="N19" s="80">
        <f>IFERROR(M19/M$28,0)</f>
        <v>0</v>
      </c>
      <c r="O19" s="111">
        <f>M19*1.02</f>
        <v>0</v>
      </c>
      <c r="P19" s="80">
        <f>IFERROR(O19/O$28,0)</f>
        <v>0</v>
      </c>
      <c r="Q19" s="111">
        <f>O19*1.02</f>
        <v>0</v>
      </c>
      <c r="R19" s="80">
        <f>IFERROR(Q19/Q$28,0)</f>
        <v>0</v>
      </c>
      <c r="S19" s="111">
        <f>Q19*1.02</f>
        <v>0</v>
      </c>
      <c r="T19" s="80">
        <f>IFERROR(S19/S$28,0)</f>
        <v>0</v>
      </c>
      <c r="U19" s="111">
        <f>S19*1.02</f>
        <v>0</v>
      </c>
      <c r="V19" s="80">
        <f>IFERROR(U19/U$28,0)</f>
        <v>0</v>
      </c>
    </row>
    <row r="20" spans="1:24" ht="12.75" customHeight="1">
      <c r="A20" s="2" t="s">
        <v>357</v>
      </c>
      <c r="B20" s="35"/>
      <c r="C20" s="111">
        <f>+C14*12.38%</f>
        <v>57807.667200000004</v>
      </c>
      <c r="D20" s="80">
        <f>IFERROR(C20/C$28,0)</f>
        <v>0.12380000000000001</v>
      </c>
      <c r="E20" s="111">
        <f>+E14*53.27%</f>
        <v>0</v>
      </c>
      <c r="F20" s="80">
        <f>IFERROR(E20/E$28,0)</f>
        <v>0</v>
      </c>
      <c r="G20" s="111">
        <f t="shared" ref="G20:U21" si="0">E20*1.02</f>
        <v>0</v>
      </c>
      <c r="H20" s="80">
        <f>IFERROR(G20/G$28,0)</f>
        <v>0</v>
      </c>
      <c r="I20" s="111">
        <f t="shared" si="0"/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2" t="s">
        <v>358</v>
      </c>
      <c r="B21" s="35"/>
      <c r="C21" s="111">
        <f>+C14*0.013</f>
        <v>6070.2719999999999</v>
      </c>
      <c r="D21" s="80">
        <f>IFERROR(C21/C$28,0)</f>
        <v>1.2999999999999999E-2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364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365</v>
      </c>
      <c r="B28" s="53"/>
      <c r="C28" s="82">
        <f>SUM(C19:C27)</f>
        <v>466944</v>
      </c>
      <c r="D28" s="83">
        <f t="shared" si="1"/>
        <v>1</v>
      </c>
      <c r="E28" s="82">
        <f>SUM(E19:E27)</f>
        <v>0</v>
      </c>
      <c r="F28" s="83">
        <f t="shared" si="2"/>
        <v>0</v>
      </c>
      <c r="G28" s="82">
        <f>SUM(G19:G27)</f>
        <v>0</v>
      </c>
      <c r="H28" s="83">
        <f t="shared" si="3"/>
        <v>0</v>
      </c>
      <c r="I28" s="82">
        <f>SUM(I19:I27)</f>
        <v>0</v>
      </c>
      <c r="J28" s="83">
        <f t="shared" si="4"/>
        <v>0</v>
      </c>
      <c r="K28" s="82">
        <f>SUM(K19:K27)</f>
        <v>0</v>
      </c>
      <c r="L28" s="83">
        <f t="shared" si="5"/>
        <v>0</v>
      </c>
      <c r="M28" s="82">
        <f>SUM(M19:M27)</f>
        <v>0</v>
      </c>
      <c r="N28" s="83">
        <f t="shared" si="6"/>
        <v>0</v>
      </c>
      <c r="O28" s="82">
        <f>SUM(O19:O27)</f>
        <v>0</v>
      </c>
      <c r="P28" s="83">
        <f t="shared" si="7"/>
        <v>0</v>
      </c>
      <c r="Q28" s="82">
        <f>SUM(Q19:Q27)</f>
        <v>0</v>
      </c>
      <c r="R28" s="83">
        <f t="shared" si="8"/>
        <v>0</v>
      </c>
      <c r="S28" s="82">
        <f>SUM(S19:S27)</f>
        <v>0</v>
      </c>
      <c r="T28" s="83">
        <f t="shared" si="9"/>
        <v>0</v>
      </c>
      <c r="U28" s="82">
        <f>SUM(U19:U27)</f>
        <v>0</v>
      </c>
      <c r="V28" s="83">
        <f t="shared" si="10"/>
        <v>0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0.313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146153.47200000001</v>
      </c>
      <c r="D31" s="80">
        <f>IFERROR(C31/C$28,0)</f>
        <v>0.313</v>
      </c>
      <c r="E31" s="179">
        <f>$C$30*E14</f>
        <v>0</v>
      </c>
      <c r="F31" s="80">
        <f>IFERROR(E31/E$28,0)</f>
        <v>0</v>
      </c>
      <c r="G31" s="179">
        <f>$C$30*G14</f>
        <v>0</v>
      </c>
      <c r="H31" s="80">
        <f>IFERROR(G31/G$28,0)</f>
        <v>0</v>
      </c>
      <c r="I31" s="179">
        <f>$C$30*I14</f>
        <v>0</v>
      </c>
      <c r="J31" s="80">
        <f>IFERROR(I31/I$28,0)</f>
        <v>0</v>
      </c>
      <c r="K31" s="179">
        <f>$C$30*K14</f>
        <v>0</v>
      </c>
      <c r="L31" s="80">
        <f>IFERROR(K31/K$28,0)</f>
        <v>0</v>
      </c>
      <c r="M31" s="179">
        <f>$C$30*M14</f>
        <v>0</v>
      </c>
      <c r="N31" s="80">
        <f>IFERROR(M31/M$28,0)</f>
        <v>0</v>
      </c>
      <c r="O31" s="179">
        <f>$C$30*O14</f>
        <v>0</v>
      </c>
      <c r="P31" s="80">
        <f>IFERROR(O31/O$28,0)</f>
        <v>0</v>
      </c>
      <c r="Q31" s="179">
        <f>$C$30*Q14</f>
        <v>0</v>
      </c>
      <c r="R31" s="80">
        <f>IFERROR(Q31/Q$28,0)</f>
        <v>0</v>
      </c>
      <c r="S31" s="179">
        <f>$C$30*S14</f>
        <v>0</v>
      </c>
      <c r="T31" s="80">
        <f>IFERROR(S31/S$28,0)</f>
        <v>0</v>
      </c>
      <c r="U31" s="179">
        <f>$C$30*U14</f>
        <v>0</v>
      </c>
      <c r="V31" s="80">
        <f>IFERROR(U31/U$28,0)</f>
        <v>0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146153.47200000001</v>
      </c>
      <c r="D33" s="83">
        <f>IFERROR(C33/C$28,0)</f>
        <v>0.313</v>
      </c>
      <c r="E33" s="82">
        <f>SUM(E31:E32)</f>
        <v>0</v>
      </c>
      <c r="F33" s="83">
        <f>IFERROR(E33/E$28,0)</f>
        <v>0</v>
      </c>
      <c r="G33" s="82">
        <f>SUM(G31:G32)</f>
        <v>0</v>
      </c>
      <c r="H33" s="83">
        <f>IFERROR(G33/G$28,0)</f>
        <v>0</v>
      </c>
      <c r="I33" s="82">
        <f>SUM(I31:I32)</f>
        <v>0</v>
      </c>
      <c r="J33" s="83">
        <f>IFERROR(I33/I$28,0)</f>
        <v>0</v>
      </c>
      <c r="K33" s="82">
        <f>SUM(K31:K32)</f>
        <v>0</v>
      </c>
      <c r="L33" s="83">
        <f>IFERROR(K33/K$28,0)</f>
        <v>0</v>
      </c>
      <c r="M33" s="82">
        <f>SUM(M31:M32)</f>
        <v>0</v>
      </c>
      <c r="N33" s="83">
        <f>IFERROR(M33/M$28,0)</f>
        <v>0</v>
      </c>
      <c r="O33" s="82">
        <f>SUM(O31:O32)</f>
        <v>0</v>
      </c>
      <c r="P33" s="83">
        <f>IFERROR(O33/O$28,0)</f>
        <v>0</v>
      </c>
      <c r="Q33" s="82">
        <f>SUM(Q31:Q32)</f>
        <v>0</v>
      </c>
      <c r="R33" s="83">
        <f>IFERROR(Q33/Q$28,0)</f>
        <v>0</v>
      </c>
      <c r="S33" s="82">
        <f>SUM(S31:S32)</f>
        <v>0</v>
      </c>
      <c r="T33" s="83">
        <f>IFERROR(S33/S$28,0)</f>
        <v>0</v>
      </c>
      <c r="U33" s="82">
        <f>SUM(U31:U32)</f>
        <v>0</v>
      </c>
      <c r="V33" s="83">
        <f>IFERROR(U33/U$28,0)</f>
        <v>0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/>
      <c r="D36" s="80">
        <f t="shared" ref="D36:D46" si="11">IFERROR(C36/C$28,0)</f>
        <v>0</v>
      </c>
      <c r="E36" s="179"/>
      <c r="F36" s="80">
        <f t="shared" ref="F36:F46" si="12">IFERROR(E36/E$28,0)</f>
        <v>0</v>
      </c>
      <c r="G36" s="179"/>
      <c r="H36" s="80">
        <f t="shared" ref="H36:H46" si="13">IFERROR(G36/G$28,0)</f>
        <v>0</v>
      </c>
      <c r="I36" s="179"/>
      <c r="J36" s="80">
        <f t="shared" ref="J36:J46" si="14">IFERROR(I36/I$28,0)</f>
        <v>0</v>
      </c>
      <c r="K36" s="179"/>
      <c r="L36" s="80">
        <f t="shared" ref="L36:L46" si="15">IFERROR(K36/K$28,0)</f>
        <v>0</v>
      </c>
      <c r="M36" s="179"/>
      <c r="N36" s="80">
        <f t="shared" ref="N36:N46" si="16">IFERROR(M36/M$28,0)</f>
        <v>0</v>
      </c>
      <c r="O36" s="179"/>
      <c r="P36" s="80">
        <f t="shared" ref="P36:P46" si="17">IFERROR(O36/O$28,0)</f>
        <v>0</v>
      </c>
      <c r="Q36" s="179"/>
      <c r="R36" s="80">
        <f t="shared" ref="R36:R46" si="18">IFERROR(Q36/Q$28,0)</f>
        <v>0</v>
      </c>
      <c r="S36" s="179"/>
      <c r="T36" s="80">
        <f t="shared" ref="T36:T46" si="19">IFERROR(S36/S$28,0)</f>
        <v>0</v>
      </c>
      <c r="U36" s="179"/>
      <c r="V36" s="80">
        <f t="shared" ref="V36:V46" si="20">IFERROR(U36/U$28,0)</f>
        <v>0</v>
      </c>
    </row>
    <row r="37" spans="1:22" ht="12.75" customHeight="1">
      <c r="A37" s="2" t="s">
        <v>372</v>
      </c>
      <c r="B37" s="35"/>
      <c r="C37" s="179">
        <v>91879</v>
      </c>
      <c r="D37" s="80">
        <f t="shared" si="11"/>
        <v>0.19676663582785087</v>
      </c>
      <c r="E37" s="179"/>
      <c r="F37" s="80">
        <f t="shared" si="12"/>
        <v>0</v>
      </c>
      <c r="G37" s="179">
        <f>+E37*1.035</f>
        <v>0</v>
      </c>
      <c r="H37" s="80">
        <f t="shared" si="13"/>
        <v>0</v>
      </c>
      <c r="I37" s="179">
        <f>+G37*1.032</f>
        <v>0</v>
      </c>
      <c r="J37" s="80">
        <f t="shared" si="14"/>
        <v>0</v>
      </c>
      <c r="K37" s="179">
        <f>+I37*1.025</f>
        <v>0</v>
      </c>
      <c r="L37" s="80">
        <f t="shared" si="15"/>
        <v>0</v>
      </c>
      <c r="M37" s="179">
        <f>+K37*1.025</f>
        <v>0</v>
      </c>
      <c r="N37" s="80">
        <f t="shared" si="16"/>
        <v>0</v>
      </c>
      <c r="O37" s="179">
        <f>+M37*1.025</f>
        <v>0</v>
      </c>
      <c r="P37" s="80">
        <f t="shared" si="17"/>
        <v>0</v>
      </c>
      <c r="Q37" s="179">
        <f>+O37*1.025</f>
        <v>0</v>
      </c>
      <c r="R37" s="80">
        <f t="shared" si="18"/>
        <v>0</v>
      </c>
      <c r="S37" s="179">
        <f>+Q37*1.025</f>
        <v>0</v>
      </c>
      <c r="T37" s="80">
        <f t="shared" si="19"/>
        <v>0</v>
      </c>
      <c r="U37" s="179">
        <f>+S37*1.025</f>
        <v>0</v>
      </c>
      <c r="V37" s="80">
        <f t="shared" si="20"/>
        <v>0</v>
      </c>
    </row>
    <row r="38" spans="1:22" ht="12.75" customHeight="1">
      <c r="A38" s="2" t="s">
        <v>373</v>
      </c>
      <c r="B38" s="35"/>
      <c r="C38" s="179"/>
      <c r="D38" s="80">
        <f t="shared" si="11"/>
        <v>0</v>
      </c>
      <c r="E38" s="179"/>
      <c r="F38" s="80">
        <f t="shared" si="12"/>
        <v>0</v>
      </c>
      <c r="G38" s="179">
        <f>+E38*1.035</f>
        <v>0</v>
      </c>
      <c r="H38" s="80">
        <f t="shared" si="13"/>
        <v>0</v>
      </c>
      <c r="I38" s="179">
        <f>+G38*1.032</f>
        <v>0</v>
      </c>
      <c r="J38" s="80">
        <f t="shared" si="14"/>
        <v>0</v>
      </c>
      <c r="K38" s="179">
        <f>+I38*1.025</f>
        <v>0</v>
      </c>
      <c r="L38" s="80">
        <f t="shared" si="15"/>
        <v>0</v>
      </c>
      <c r="M38" s="179">
        <f>+K38*1.025</f>
        <v>0</v>
      </c>
      <c r="N38" s="80">
        <f t="shared" si="16"/>
        <v>0</v>
      </c>
      <c r="O38" s="179">
        <f>+M38*1.025</f>
        <v>0</v>
      </c>
      <c r="P38" s="80">
        <f t="shared" si="17"/>
        <v>0</v>
      </c>
      <c r="Q38" s="179">
        <f>+O38*1.025</f>
        <v>0</v>
      </c>
      <c r="R38" s="80">
        <f t="shared" si="18"/>
        <v>0</v>
      </c>
      <c r="S38" s="179">
        <f>+Q38*1.025</f>
        <v>0</v>
      </c>
      <c r="T38" s="80">
        <f t="shared" si="19"/>
        <v>0</v>
      </c>
      <c r="U38" s="179">
        <f>+S38*1.025</f>
        <v>0</v>
      </c>
      <c r="V38" s="80">
        <f t="shared" si="20"/>
        <v>0</v>
      </c>
    </row>
    <row r="39" spans="1:22" ht="12.75" customHeight="1">
      <c r="A39" s="2" t="s">
        <v>374</v>
      </c>
      <c r="B39" s="35"/>
      <c r="C39" s="179">
        <v>52895</v>
      </c>
      <c r="D39" s="80">
        <f t="shared" si="11"/>
        <v>0.11327910841557018</v>
      </c>
      <c r="E39" s="179"/>
      <c r="F39" s="80">
        <f t="shared" si="12"/>
        <v>0</v>
      </c>
      <c r="G39" s="179">
        <f>+E39*1.035</f>
        <v>0</v>
      </c>
      <c r="H39" s="80">
        <f t="shared" si="13"/>
        <v>0</v>
      </c>
      <c r="I39" s="179">
        <f>+G39*1.032</f>
        <v>0</v>
      </c>
      <c r="J39" s="80">
        <f t="shared" si="14"/>
        <v>0</v>
      </c>
      <c r="K39" s="179">
        <f>+I39*1.025</f>
        <v>0</v>
      </c>
      <c r="L39" s="80">
        <f t="shared" si="15"/>
        <v>0</v>
      </c>
      <c r="M39" s="179">
        <f>+K39*1.025</f>
        <v>0</v>
      </c>
      <c r="N39" s="80">
        <f t="shared" si="16"/>
        <v>0</v>
      </c>
      <c r="O39" s="179">
        <f>+M39*1.025</f>
        <v>0</v>
      </c>
      <c r="P39" s="80">
        <f t="shared" si="17"/>
        <v>0</v>
      </c>
      <c r="Q39" s="179">
        <f>+O39*1.025</f>
        <v>0</v>
      </c>
      <c r="R39" s="80">
        <f t="shared" si="18"/>
        <v>0</v>
      </c>
      <c r="S39" s="179">
        <f>+Q39*1.025</f>
        <v>0</v>
      </c>
      <c r="T39" s="80">
        <f t="shared" si="19"/>
        <v>0</v>
      </c>
      <c r="U39" s="179">
        <f>+S39*1.025</f>
        <v>0</v>
      </c>
      <c r="V39" s="80">
        <f t="shared" si="20"/>
        <v>0</v>
      </c>
    </row>
    <row r="40" spans="1:22" ht="12.75" customHeight="1">
      <c r="A40" s="2" t="s">
        <v>375</v>
      </c>
      <c r="B40" s="35"/>
      <c r="C40" s="179">
        <f>C36*0.124</f>
        <v>0</v>
      </c>
      <c r="D40" s="80">
        <f t="shared" si="11"/>
        <v>0</v>
      </c>
      <c r="E40" s="179"/>
      <c r="F40" s="80">
        <f t="shared" si="12"/>
        <v>0</v>
      </c>
      <c r="G40" s="179">
        <f>G36*0.124</f>
        <v>0</v>
      </c>
      <c r="H40" s="80">
        <f t="shared" si="13"/>
        <v>0</v>
      </c>
      <c r="I40" s="179">
        <f>I36*0.124</f>
        <v>0</v>
      </c>
      <c r="J40" s="80">
        <f t="shared" si="14"/>
        <v>0</v>
      </c>
      <c r="K40" s="179">
        <f>K36*0.124</f>
        <v>0</v>
      </c>
      <c r="L40" s="80">
        <f t="shared" si="15"/>
        <v>0</v>
      </c>
      <c r="M40" s="179">
        <f>M36*0.124</f>
        <v>0</v>
      </c>
      <c r="N40" s="80">
        <f t="shared" si="16"/>
        <v>0</v>
      </c>
      <c r="O40" s="179">
        <f>O36*0.124</f>
        <v>0</v>
      </c>
      <c r="P40" s="80">
        <f t="shared" si="17"/>
        <v>0</v>
      </c>
      <c r="Q40" s="179">
        <f>Q36*0.124</f>
        <v>0</v>
      </c>
      <c r="R40" s="80">
        <f t="shared" si="18"/>
        <v>0</v>
      </c>
      <c r="S40" s="179">
        <f>S36*0.124</f>
        <v>0</v>
      </c>
      <c r="T40" s="80">
        <f t="shared" si="19"/>
        <v>0</v>
      </c>
      <c r="U40" s="179">
        <f>U36*0.124</f>
        <v>0</v>
      </c>
      <c r="V40" s="80">
        <f t="shared" si="20"/>
        <v>0</v>
      </c>
    </row>
    <row r="41" spans="1:22" ht="12.75" customHeight="1">
      <c r="A41" s="2" t="s">
        <v>376</v>
      </c>
      <c r="B41" s="35"/>
      <c r="C41" s="179">
        <f>C37*0.124</f>
        <v>11392.995999999999</v>
      </c>
      <c r="D41" s="80">
        <f t="shared" si="11"/>
        <v>2.4399062842653509E-2</v>
      </c>
      <c r="E41" s="179"/>
      <c r="F41" s="80">
        <f t="shared" si="12"/>
        <v>0</v>
      </c>
      <c r="G41" s="179">
        <f>G37*0.124</f>
        <v>0</v>
      </c>
      <c r="H41" s="80">
        <f t="shared" si="13"/>
        <v>0</v>
      </c>
      <c r="I41" s="179">
        <f>I37*0.124</f>
        <v>0</v>
      </c>
      <c r="J41" s="80">
        <f t="shared" si="14"/>
        <v>0</v>
      </c>
      <c r="K41" s="179">
        <f>K37*0.124</f>
        <v>0</v>
      </c>
      <c r="L41" s="80">
        <f t="shared" si="15"/>
        <v>0</v>
      </c>
      <c r="M41" s="179">
        <f>M37*0.124</f>
        <v>0</v>
      </c>
      <c r="N41" s="80">
        <f t="shared" si="16"/>
        <v>0</v>
      </c>
      <c r="O41" s="179">
        <f>O37*0.124</f>
        <v>0</v>
      </c>
      <c r="P41" s="80">
        <f t="shared" si="17"/>
        <v>0</v>
      </c>
      <c r="Q41" s="179">
        <f>Q37*0.124</f>
        <v>0</v>
      </c>
      <c r="R41" s="80">
        <f t="shared" si="18"/>
        <v>0</v>
      </c>
      <c r="S41" s="179">
        <f>S37*0.124</f>
        <v>0</v>
      </c>
      <c r="T41" s="80">
        <f t="shared" si="19"/>
        <v>0</v>
      </c>
      <c r="U41" s="179">
        <f>U37*0.124</f>
        <v>0</v>
      </c>
      <c r="V41" s="80">
        <f t="shared" si="20"/>
        <v>0</v>
      </c>
    </row>
    <row r="42" spans="1:22" ht="12.75" customHeight="1">
      <c r="A42" s="2" t="s">
        <v>377</v>
      </c>
      <c r="B42" s="35"/>
      <c r="C42" s="179"/>
      <c r="D42" s="80">
        <f t="shared" si="11"/>
        <v>0</v>
      </c>
      <c r="E42" s="179"/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79"/>
      <c r="D43" s="80">
        <f t="shared" si="11"/>
        <v>0</v>
      </c>
      <c r="E43" s="179"/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79"/>
      <c r="D44" s="80">
        <f t="shared" si="11"/>
        <v>0</v>
      </c>
      <c r="E44" s="179"/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82">
        <f>SUM(C36:C39)*0.094</f>
        <v>13608.755999999999</v>
      </c>
      <c r="D45" s="80">
        <f t="shared" si="11"/>
        <v>2.9144299958881577E-2</v>
      </c>
      <c r="E45" s="182"/>
      <c r="F45" s="80">
        <f t="shared" si="12"/>
        <v>0</v>
      </c>
      <c r="G45" s="182">
        <f>SUM(G36:G39)*0.094</f>
        <v>0</v>
      </c>
      <c r="H45" s="80">
        <f t="shared" si="13"/>
        <v>0</v>
      </c>
      <c r="I45" s="182">
        <f>SUM(I36:I39)*0.094</f>
        <v>0</v>
      </c>
      <c r="J45" s="80">
        <f t="shared" si="14"/>
        <v>0</v>
      </c>
      <c r="K45" s="182">
        <f>SUM(K36:K39)*0.094</f>
        <v>0</v>
      </c>
      <c r="L45" s="80">
        <f t="shared" si="15"/>
        <v>0</v>
      </c>
      <c r="M45" s="182">
        <f>SUM(M36:M39)*0.094</f>
        <v>0</v>
      </c>
      <c r="N45" s="80">
        <f t="shared" si="16"/>
        <v>0</v>
      </c>
      <c r="O45" s="182">
        <f>SUM(O36:O39)*0.094</f>
        <v>0</v>
      </c>
      <c r="P45" s="80">
        <f t="shared" si="17"/>
        <v>0</v>
      </c>
      <c r="Q45" s="182">
        <f>SUM(Q36:Q39)*0.094</f>
        <v>0</v>
      </c>
      <c r="R45" s="80">
        <f t="shared" si="18"/>
        <v>0</v>
      </c>
      <c r="S45" s="182">
        <f>SUM(S36:S39)*0.094</f>
        <v>0</v>
      </c>
      <c r="T45" s="80">
        <f t="shared" si="19"/>
        <v>0</v>
      </c>
      <c r="U45" s="182">
        <f>SUM(U36:U39)*0.094</f>
        <v>0</v>
      </c>
      <c r="V45" s="80">
        <f t="shared" si="20"/>
        <v>0</v>
      </c>
    </row>
    <row r="46" spans="1:22" ht="12.75" customHeight="1">
      <c r="A46" s="1" t="s">
        <v>381</v>
      </c>
      <c r="B46" s="53"/>
      <c r="C46" s="82">
        <f>SUM(C36:C45)</f>
        <v>169775.75199999998</v>
      </c>
      <c r="D46" s="83">
        <f t="shared" si="11"/>
        <v>0.36358910704495612</v>
      </c>
      <c r="E46" s="82">
        <f>SUM(E36:E45)</f>
        <v>0</v>
      </c>
      <c r="F46" s="83">
        <f t="shared" si="12"/>
        <v>0</v>
      </c>
      <c r="G46" s="82">
        <f>SUM(G36:G45)</f>
        <v>0</v>
      </c>
      <c r="H46" s="83">
        <f t="shared" si="13"/>
        <v>0</v>
      </c>
      <c r="I46" s="82">
        <f>SUM(I36:I45)</f>
        <v>0</v>
      </c>
      <c r="J46" s="83">
        <f t="shared" si="14"/>
        <v>0</v>
      </c>
      <c r="K46" s="82">
        <f>SUM(K36:K45)</f>
        <v>0</v>
      </c>
      <c r="L46" s="83">
        <f t="shared" si="15"/>
        <v>0</v>
      </c>
      <c r="M46" s="82">
        <f>SUM(M36:M45)</f>
        <v>0</v>
      </c>
      <c r="N46" s="83">
        <f t="shared" si="16"/>
        <v>0</v>
      </c>
      <c r="O46" s="82">
        <f>SUM(O36:O45)</f>
        <v>0</v>
      </c>
      <c r="P46" s="83">
        <f t="shared" si="17"/>
        <v>0</v>
      </c>
      <c r="Q46" s="82">
        <f>SUM(Q36:Q45)</f>
        <v>0</v>
      </c>
      <c r="R46" s="83">
        <f t="shared" si="18"/>
        <v>0</v>
      </c>
      <c r="S46" s="82">
        <f>SUM(S36:S45)</f>
        <v>0</v>
      </c>
      <c r="T46" s="83">
        <f t="shared" si="19"/>
        <v>0</v>
      </c>
      <c r="U46" s="82">
        <f>SUM(U36:U45)</f>
        <v>0</v>
      </c>
      <c r="V46" s="83">
        <f t="shared" si="20"/>
        <v>0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1">IFERROR(C52/C$28,0)</f>
        <v>0</v>
      </c>
      <c r="E52" s="179">
        <v>0</v>
      </c>
      <c r="F52" s="80">
        <f t="shared" ref="F52:F104" si="22">IFERROR(E52/E$28,0)</f>
        <v>0</v>
      </c>
      <c r="G52" s="179">
        <v>0</v>
      </c>
      <c r="H52" s="80">
        <f t="shared" ref="H52:H104" si="23">IFERROR(G52/G$28,0)</f>
        <v>0</v>
      </c>
      <c r="I52" s="179">
        <v>0</v>
      </c>
      <c r="J52" s="80">
        <f t="shared" ref="J52:J104" si="24">IFERROR(I52/I$28,0)</f>
        <v>0</v>
      </c>
      <c r="K52" s="179">
        <v>0</v>
      </c>
      <c r="L52" s="80">
        <f t="shared" ref="L52:L104" si="25">IFERROR(K52/K$28,0)</f>
        <v>0</v>
      </c>
      <c r="M52" s="179">
        <v>0</v>
      </c>
      <c r="N52" s="80">
        <f t="shared" ref="N52:N104" si="26">IFERROR(M52/M$28,0)</f>
        <v>0</v>
      </c>
      <c r="O52" s="179">
        <v>0</v>
      </c>
      <c r="P52" s="80">
        <f t="shared" ref="P52:P104" si="27">IFERROR(O52/O$28,0)</f>
        <v>0</v>
      </c>
      <c r="Q52" s="179">
        <v>0</v>
      </c>
      <c r="R52" s="80">
        <f t="shared" ref="R52:R104" si="28">IFERROR(Q52/Q$28,0)</f>
        <v>0</v>
      </c>
      <c r="S52" s="179">
        <v>0</v>
      </c>
      <c r="T52" s="80">
        <f t="shared" ref="T52:T104" si="29">IFERROR(S52/S$28,0)</f>
        <v>0</v>
      </c>
      <c r="U52" s="179">
        <v>0</v>
      </c>
      <c r="V52" s="80">
        <f t="shared" ref="V52:V105" si="30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1"/>
        <v>0</v>
      </c>
      <c r="E53" s="179">
        <v>0</v>
      </c>
      <c r="F53" s="80">
        <f t="shared" si="22"/>
        <v>0</v>
      </c>
      <c r="G53" s="179">
        <v>0</v>
      </c>
      <c r="H53" s="80">
        <f t="shared" si="23"/>
        <v>0</v>
      </c>
      <c r="I53" s="179">
        <v>0</v>
      </c>
      <c r="J53" s="80">
        <f t="shared" si="24"/>
        <v>0</v>
      </c>
      <c r="K53" s="179">
        <v>0</v>
      </c>
      <c r="L53" s="80">
        <f t="shared" si="25"/>
        <v>0</v>
      </c>
      <c r="M53" s="179">
        <v>0</v>
      </c>
      <c r="N53" s="80">
        <f t="shared" si="26"/>
        <v>0</v>
      </c>
      <c r="O53" s="179">
        <v>0</v>
      </c>
      <c r="P53" s="80">
        <f t="shared" si="27"/>
        <v>0</v>
      </c>
      <c r="Q53" s="179">
        <v>0</v>
      </c>
      <c r="R53" s="80">
        <f t="shared" si="28"/>
        <v>0</v>
      </c>
      <c r="S53" s="179">
        <v>0</v>
      </c>
      <c r="T53" s="80">
        <f t="shared" si="29"/>
        <v>0</v>
      </c>
      <c r="U53" s="179">
        <v>0</v>
      </c>
      <c r="V53" s="80">
        <f t="shared" si="30"/>
        <v>0</v>
      </c>
      <c r="X53" s="200"/>
    </row>
    <row r="54" spans="1:24" ht="12.75" customHeight="1">
      <c r="A54" s="2" t="s">
        <v>385</v>
      </c>
      <c r="B54" s="35"/>
      <c r="C54" s="179">
        <v>326.86080000000004</v>
      </c>
      <c r="D54" s="80">
        <f t="shared" si="21"/>
        <v>7.000000000000001E-4</v>
      </c>
      <c r="E54" s="179">
        <v>0</v>
      </c>
      <c r="F54" s="80">
        <f t="shared" si="22"/>
        <v>0</v>
      </c>
      <c r="G54" s="179">
        <v>0</v>
      </c>
      <c r="H54" s="80">
        <f t="shared" si="23"/>
        <v>0</v>
      </c>
      <c r="I54" s="179">
        <v>0</v>
      </c>
      <c r="J54" s="80">
        <f t="shared" si="24"/>
        <v>0</v>
      </c>
      <c r="K54" s="179">
        <v>0</v>
      </c>
      <c r="L54" s="80">
        <f t="shared" si="25"/>
        <v>0</v>
      </c>
      <c r="M54" s="179">
        <v>0</v>
      </c>
      <c r="N54" s="80">
        <f t="shared" si="26"/>
        <v>0</v>
      </c>
      <c r="O54" s="179">
        <v>0</v>
      </c>
      <c r="P54" s="80">
        <f t="shared" si="27"/>
        <v>0</v>
      </c>
      <c r="Q54" s="179">
        <v>0</v>
      </c>
      <c r="R54" s="80">
        <f t="shared" si="28"/>
        <v>0</v>
      </c>
      <c r="S54" s="179">
        <v>0</v>
      </c>
      <c r="T54" s="80">
        <f t="shared" si="29"/>
        <v>0</v>
      </c>
      <c r="U54" s="179">
        <v>0</v>
      </c>
      <c r="V54" s="80">
        <f t="shared" si="30"/>
        <v>0</v>
      </c>
      <c r="X54" s="200"/>
    </row>
    <row r="55" spans="1:24" ht="12.75" customHeight="1">
      <c r="A55" s="2" t="s">
        <v>386</v>
      </c>
      <c r="B55" s="35"/>
      <c r="C55" s="179">
        <v>32686.080000000002</v>
      </c>
      <c r="D55" s="80">
        <f t="shared" si="21"/>
        <v>7.0000000000000007E-2</v>
      </c>
      <c r="E55" s="179">
        <v>0</v>
      </c>
      <c r="F55" s="80">
        <f t="shared" si="22"/>
        <v>0</v>
      </c>
      <c r="G55" s="179">
        <v>0</v>
      </c>
      <c r="H55" s="80">
        <f t="shared" si="23"/>
        <v>0</v>
      </c>
      <c r="I55" s="179">
        <v>0</v>
      </c>
      <c r="J55" s="80">
        <f t="shared" si="24"/>
        <v>0</v>
      </c>
      <c r="K55" s="179">
        <v>0</v>
      </c>
      <c r="L55" s="80">
        <f t="shared" si="25"/>
        <v>0</v>
      </c>
      <c r="M55" s="179">
        <v>0</v>
      </c>
      <c r="N55" s="80">
        <f t="shared" si="26"/>
        <v>0</v>
      </c>
      <c r="O55" s="179">
        <v>0</v>
      </c>
      <c r="P55" s="80">
        <f t="shared" si="27"/>
        <v>0</v>
      </c>
      <c r="Q55" s="179">
        <v>0</v>
      </c>
      <c r="R55" s="80">
        <f t="shared" si="28"/>
        <v>0</v>
      </c>
      <c r="S55" s="179">
        <v>0</v>
      </c>
      <c r="T55" s="80">
        <f t="shared" si="29"/>
        <v>0</v>
      </c>
      <c r="U55" s="179">
        <v>0</v>
      </c>
      <c r="V55" s="80">
        <f t="shared" si="30"/>
        <v>0</v>
      </c>
      <c r="X55" s="200"/>
    </row>
    <row r="56" spans="1:24" ht="12.75" customHeight="1">
      <c r="A56" s="2" t="s">
        <v>387</v>
      </c>
      <c r="B56" s="35"/>
      <c r="C56" s="179">
        <v>238.14144000000005</v>
      </c>
      <c r="D56" s="80">
        <f t="shared" si="21"/>
        <v>5.1000000000000015E-4</v>
      </c>
      <c r="E56" s="179">
        <v>0</v>
      </c>
      <c r="F56" s="80">
        <f t="shared" si="22"/>
        <v>0</v>
      </c>
      <c r="G56" s="179">
        <v>0</v>
      </c>
      <c r="H56" s="80">
        <f t="shared" si="23"/>
        <v>0</v>
      </c>
      <c r="I56" s="179">
        <v>0</v>
      </c>
      <c r="J56" s="80">
        <f t="shared" si="24"/>
        <v>0</v>
      </c>
      <c r="K56" s="179">
        <v>0</v>
      </c>
      <c r="L56" s="80">
        <f t="shared" si="25"/>
        <v>0</v>
      </c>
      <c r="M56" s="179">
        <v>0</v>
      </c>
      <c r="N56" s="80">
        <f t="shared" si="26"/>
        <v>0</v>
      </c>
      <c r="O56" s="179">
        <v>0</v>
      </c>
      <c r="P56" s="80">
        <f t="shared" si="27"/>
        <v>0</v>
      </c>
      <c r="Q56" s="179">
        <v>0</v>
      </c>
      <c r="R56" s="80">
        <f t="shared" si="28"/>
        <v>0</v>
      </c>
      <c r="S56" s="179">
        <v>0</v>
      </c>
      <c r="T56" s="80">
        <f t="shared" si="29"/>
        <v>0</v>
      </c>
      <c r="U56" s="179">
        <v>0</v>
      </c>
      <c r="V56" s="80">
        <f t="shared" si="30"/>
        <v>0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1"/>
        <v>0</v>
      </c>
      <c r="E57" s="179">
        <v>0</v>
      </c>
      <c r="F57" s="80">
        <f t="shared" si="22"/>
        <v>0</v>
      </c>
      <c r="G57" s="179">
        <v>0</v>
      </c>
      <c r="H57" s="80">
        <f t="shared" si="23"/>
        <v>0</v>
      </c>
      <c r="I57" s="179">
        <v>0</v>
      </c>
      <c r="J57" s="80">
        <f t="shared" si="24"/>
        <v>0</v>
      </c>
      <c r="K57" s="179">
        <v>0</v>
      </c>
      <c r="L57" s="80">
        <f t="shared" si="25"/>
        <v>0</v>
      </c>
      <c r="M57" s="179">
        <v>0</v>
      </c>
      <c r="N57" s="80">
        <f t="shared" si="26"/>
        <v>0</v>
      </c>
      <c r="O57" s="179">
        <v>0</v>
      </c>
      <c r="P57" s="80">
        <f t="shared" si="27"/>
        <v>0</v>
      </c>
      <c r="Q57" s="179">
        <v>0</v>
      </c>
      <c r="R57" s="80">
        <f t="shared" si="28"/>
        <v>0</v>
      </c>
      <c r="S57" s="179">
        <v>0</v>
      </c>
      <c r="T57" s="80">
        <f t="shared" si="29"/>
        <v>0</v>
      </c>
      <c r="U57" s="179">
        <v>0</v>
      </c>
      <c r="V57" s="80">
        <f t="shared" si="30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1"/>
        <v>0</v>
      </c>
      <c r="E58" s="179">
        <v>0</v>
      </c>
      <c r="F58" s="80">
        <f t="shared" si="22"/>
        <v>0</v>
      </c>
      <c r="G58" s="179">
        <v>0</v>
      </c>
      <c r="H58" s="80">
        <f t="shared" si="23"/>
        <v>0</v>
      </c>
      <c r="I58" s="179">
        <v>0</v>
      </c>
      <c r="J58" s="80">
        <f t="shared" si="24"/>
        <v>0</v>
      </c>
      <c r="K58" s="179">
        <v>0</v>
      </c>
      <c r="L58" s="80">
        <f t="shared" si="25"/>
        <v>0</v>
      </c>
      <c r="M58" s="179">
        <v>0</v>
      </c>
      <c r="N58" s="80">
        <f t="shared" si="26"/>
        <v>0</v>
      </c>
      <c r="O58" s="179">
        <v>0</v>
      </c>
      <c r="P58" s="80">
        <f t="shared" si="27"/>
        <v>0</v>
      </c>
      <c r="Q58" s="179">
        <v>0</v>
      </c>
      <c r="R58" s="80">
        <f t="shared" si="28"/>
        <v>0</v>
      </c>
      <c r="S58" s="179">
        <v>0</v>
      </c>
      <c r="T58" s="80">
        <f t="shared" si="29"/>
        <v>0</v>
      </c>
      <c r="U58" s="179">
        <v>0</v>
      </c>
      <c r="V58" s="80">
        <f t="shared" si="30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1"/>
        <v>0</v>
      </c>
      <c r="E59" s="179">
        <v>0</v>
      </c>
      <c r="F59" s="80">
        <f t="shared" si="22"/>
        <v>0</v>
      </c>
      <c r="G59" s="179">
        <v>0</v>
      </c>
      <c r="H59" s="80">
        <f t="shared" si="23"/>
        <v>0</v>
      </c>
      <c r="I59" s="179">
        <v>0</v>
      </c>
      <c r="J59" s="80">
        <f t="shared" si="24"/>
        <v>0</v>
      </c>
      <c r="K59" s="179">
        <v>0</v>
      </c>
      <c r="L59" s="80">
        <f t="shared" si="25"/>
        <v>0</v>
      </c>
      <c r="M59" s="179">
        <v>0</v>
      </c>
      <c r="N59" s="80">
        <f t="shared" si="26"/>
        <v>0</v>
      </c>
      <c r="O59" s="179">
        <v>0</v>
      </c>
      <c r="P59" s="80">
        <f t="shared" si="27"/>
        <v>0</v>
      </c>
      <c r="Q59" s="179">
        <v>0</v>
      </c>
      <c r="R59" s="80">
        <f t="shared" si="28"/>
        <v>0</v>
      </c>
      <c r="S59" s="179">
        <v>0</v>
      </c>
      <c r="T59" s="80">
        <f t="shared" si="29"/>
        <v>0</v>
      </c>
      <c r="U59" s="179">
        <v>0</v>
      </c>
      <c r="V59" s="80">
        <f t="shared" si="30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1"/>
        <v>0</v>
      </c>
      <c r="E60" s="179">
        <v>0</v>
      </c>
      <c r="F60" s="80">
        <f t="shared" si="22"/>
        <v>0</v>
      </c>
      <c r="G60" s="179">
        <v>0</v>
      </c>
      <c r="H60" s="80">
        <f t="shared" si="23"/>
        <v>0</v>
      </c>
      <c r="I60" s="179">
        <v>0</v>
      </c>
      <c r="J60" s="80">
        <f t="shared" si="24"/>
        <v>0</v>
      </c>
      <c r="K60" s="179">
        <v>0</v>
      </c>
      <c r="L60" s="80">
        <f t="shared" si="25"/>
        <v>0</v>
      </c>
      <c r="M60" s="179">
        <v>0</v>
      </c>
      <c r="N60" s="80">
        <f t="shared" si="26"/>
        <v>0</v>
      </c>
      <c r="O60" s="179">
        <v>0</v>
      </c>
      <c r="P60" s="80">
        <f t="shared" si="27"/>
        <v>0</v>
      </c>
      <c r="Q60" s="179">
        <v>0</v>
      </c>
      <c r="R60" s="80">
        <f t="shared" si="28"/>
        <v>0</v>
      </c>
      <c r="S60" s="179">
        <v>0</v>
      </c>
      <c r="T60" s="80">
        <f t="shared" si="29"/>
        <v>0</v>
      </c>
      <c r="U60" s="179">
        <v>0</v>
      </c>
      <c r="V60" s="80">
        <f t="shared" si="30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1"/>
        <v>0</v>
      </c>
      <c r="E61" s="179">
        <v>0</v>
      </c>
      <c r="F61" s="80">
        <f t="shared" si="22"/>
        <v>0</v>
      </c>
      <c r="G61" s="179">
        <v>0</v>
      </c>
      <c r="H61" s="80">
        <f t="shared" si="23"/>
        <v>0</v>
      </c>
      <c r="I61" s="179">
        <v>0</v>
      </c>
      <c r="J61" s="80">
        <f t="shared" si="24"/>
        <v>0</v>
      </c>
      <c r="K61" s="179">
        <v>0</v>
      </c>
      <c r="L61" s="80">
        <f t="shared" si="25"/>
        <v>0</v>
      </c>
      <c r="M61" s="179">
        <v>0</v>
      </c>
      <c r="N61" s="80">
        <f t="shared" si="26"/>
        <v>0</v>
      </c>
      <c r="O61" s="179">
        <v>0</v>
      </c>
      <c r="P61" s="80">
        <f t="shared" si="27"/>
        <v>0</v>
      </c>
      <c r="Q61" s="179">
        <v>0</v>
      </c>
      <c r="R61" s="80">
        <f t="shared" si="28"/>
        <v>0</v>
      </c>
      <c r="S61" s="179">
        <v>0</v>
      </c>
      <c r="T61" s="80">
        <f t="shared" si="29"/>
        <v>0</v>
      </c>
      <c r="U61" s="179">
        <v>0</v>
      </c>
      <c r="V61" s="80">
        <f t="shared" si="30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1"/>
        <v>0</v>
      </c>
      <c r="E62" s="179">
        <v>0</v>
      </c>
      <c r="F62" s="80">
        <f t="shared" si="22"/>
        <v>0</v>
      </c>
      <c r="G62" s="179">
        <v>0</v>
      </c>
      <c r="H62" s="80">
        <f t="shared" si="23"/>
        <v>0</v>
      </c>
      <c r="I62" s="179">
        <v>0</v>
      </c>
      <c r="J62" s="80">
        <f t="shared" si="24"/>
        <v>0</v>
      </c>
      <c r="K62" s="179">
        <v>0</v>
      </c>
      <c r="L62" s="80">
        <f t="shared" si="25"/>
        <v>0</v>
      </c>
      <c r="M62" s="179">
        <v>0</v>
      </c>
      <c r="N62" s="80">
        <f t="shared" si="26"/>
        <v>0</v>
      </c>
      <c r="O62" s="179">
        <v>0</v>
      </c>
      <c r="P62" s="80">
        <f t="shared" si="27"/>
        <v>0</v>
      </c>
      <c r="Q62" s="179">
        <v>0</v>
      </c>
      <c r="R62" s="80">
        <f t="shared" si="28"/>
        <v>0</v>
      </c>
      <c r="S62" s="179">
        <v>0</v>
      </c>
      <c r="T62" s="80">
        <f t="shared" si="29"/>
        <v>0</v>
      </c>
      <c r="U62" s="179">
        <v>0</v>
      </c>
      <c r="V62" s="80">
        <f t="shared" si="30"/>
        <v>0</v>
      </c>
      <c r="X62" s="200"/>
    </row>
    <row r="63" spans="1:24" ht="12.75" customHeight="1">
      <c r="A63" s="2" t="s">
        <v>394</v>
      </c>
      <c r="B63" s="35"/>
      <c r="C63" s="179">
        <v>6407.6089450721729</v>
      </c>
      <c r="D63" s="80">
        <f t="shared" si="21"/>
        <v>1.3722435549171149E-2</v>
      </c>
      <c r="E63" s="179">
        <v>0</v>
      </c>
      <c r="F63" s="80">
        <f t="shared" si="22"/>
        <v>0</v>
      </c>
      <c r="G63" s="179">
        <v>0</v>
      </c>
      <c r="H63" s="80">
        <f t="shared" si="23"/>
        <v>0</v>
      </c>
      <c r="I63" s="179">
        <v>0</v>
      </c>
      <c r="J63" s="80">
        <f t="shared" si="24"/>
        <v>0</v>
      </c>
      <c r="K63" s="179">
        <v>0</v>
      </c>
      <c r="L63" s="80">
        <f t="shared" si="25"/>
        <v>0</v>
      </c>
      <c r="M63" s="179">
        <v>0</v>
      </c>
      <c r="N63" s="80">
        <f t="shared" si="26"/>
        <v>0</v>
      </c>
      <c r="O63" s="179">
        <v>0</v>
      </c>
      <c r="P63" s="80">
        <f t="shared" si="27"/>
        <v>0</v>
      </c>
      <c r="Q63" s="179">
        <v>0</v>
      </c>
      <c r="R63" s="80">
        <f t="shared" si="28"/>
        <v>0</v>
      </c>
      <c r="S63" s="179">
        <v>0</v>
      </c>
      <c r="T63" s="80">
        <f t="shared" si="29"/>
        <v>0</v>
      </c>
      <c r="U63" s="179">
        <v>0</v>
      </c>
      <c r="V63" s="80">
        <f t="shared" si="30"/>
        <v>0</v>
      </c>
      <c r="X63" s="200"/>
    </row>
    <row r="64" spans="1:24" ht="12.75" customHeight="1">
      <c r="A64" s="2" t="s">
        <v>395</v>
      </c>
      <c r="B64" s="35"/>
      <c r="C64" s="179">
        <v>2241.3311999999996</v>
      </c>
      <c r="D64" s="80">
        <f t="shared" si="21"/>
        <v>4.7999999999999996E-3</v>
      </c>
      <c r="E64" s="179">
        <v>0</v>
      </c>
      <c r="F64" s="80">
        <f t="shared" si="22"/>
        <v>0</v>
      </c>
      <c r="G64" s="179">
        <v>0</v>
      </c>
      <c r="H64" s="80">
        <f t="shared" si="23"/>
        <v>0</v>
      </c>
      <c r="I64" s="179">
        <v>0</v>
      </c>
      <c r="J64" s="80">
        <f t="shared" si="24"/>
        <v>0</v>
      </c>
      <c r="K64" s="179">
        <v>0</v>
      </c>
      <c r="L64" s="80">
        <f t="shared" si="25"/>
        <v>0</v>
      </c>
      <c r="M64" s="179">
        <v>0</v>
      </c>
      <c r="N64" s="80">
        <f t="shared" si="26"/>
        <v>0</v>
      </c>
      <c r="O64" s="179">
        <v>0</v>
      </c>
      <c r="P64" s="80">
        <f t="shared" si="27"/>
        <v>0</v>
      </c>
      <c r="Q64" s="179">
        <v>0</v>
      </c>
      <c r="R64" s="80">
        <f t="shared" si="28"/>
        <v>0</v>
      </c>
      <c r="S64" s="179">
        <v>0</v>
      </c>
      <c r="T64" s="80">
        <f t="shared" si="29"/>
        <v>0</v>
      </c>
      <c r="U64" s="179">
        <v>0</v>
      </c>
      <c r="V64" s="80">
        <f t="shared" si="30"/>
        <v>0</v>
      </c>
      <c r="X64" s="200"/>
    </row>
    <row r="65" spans="1:24" ht="12.75" customHeight="1">
      <c r="A65" s="2" t="s">
        <v>396</v>
      </c>
      <c r="B65" s="35"/>
      <c r="C65" s="179">
        <v>233.47200000000001</v>
      </c>
      <c r="D65" s="80">
        <f t="shared" si="21"/>
        <v>5.0000000000000001E-4</v>
      </c>
      <c r="E65" s="179">
        <v>0</v>
      </c>
      <c r="F65" s="80">
        <f t="shared" si="22"/>
        <v>0</v>
      </c>
      <c r="G65" s="179">
        <v>0</v>
      </c>
      <c r="H65" s="80">
        <f t="shared" si="23"/>
        <v>0</v>
      </c>
      <c r="I65" s="179">
        <v>0</v>
      </c>
      <c r="J65" s="80">
        <f t="shared" si="24"/>
        <v>0</v>
      </c>
      <c r="K65" s="179">
        <v>0</v>
      </c>
      <c r="L65" s="80">
        <f t="shared" si="25"/>
        <v>0</v>
      </c>
      <c r="M65" s="179">
        <v>0</v>
      </c>
      <c r="N65" s="80">
        <f t="shared" si="26"/>
        <v>0</v>
      </c>
      <c r="O65" s="179">
        <v>0</v>
      </c>
      <c r="P65" s="80">
        <f t="shared" si="27"/>
        <v>0</v>
      </c>
      <c r="Q65" s="179">
        <v>0</v>
      </c>
      <c r="R65" s="80">
        <f t="shared" si="28"/>
        <v>0</v>
      </c>
      <c r="S65" s="179">
        <v>0</v>
      </c>
      <c r="T65" s="80">
        <f t="shared" si="29"/>
        <v>0</v>
      </c>
      <c r="U65" s="179">
        <v>0</v>
      </c>
      <c r="V65" s="80">
        <f t="shared" si="30"/>
        <v>0</v>
      </c>
      <c r="X65" s="200"/>
    </row>
    <row r="66" spans="1:24" ht="12.75" customHeight="1">
      <c r="A66" s="2" t="s">
        <v>397</v>
      </c>
      <c r="B66" s="35"/>
      <c r="C66" s="179">
        <v>1307.4432000000002</v>
      </c>
      <c r="D66" s="80">
        <f t="shared" si="21"/>
        <v>2.8000000000000004E-3</v>
      </c>
      <c r="E66" s="179">
        <v>0</v>
      </c>
      <c r="F66" s="80">
        <f t="shared" si="22"/>
        <v>0</v>
      </c>
      <c r="G66" s="179">
        <v>0</v>
      </c>
      <c r="H66" s="80">
        <f t="shared" si="23"/>
        <v>0</v>
      </c>
      <c r="I66" s="179">
        <v>0</v>
      </c>
      <c r="J66" s="80">
        <f t="shared" si="24"/>
        <v>0</v>
      </c>
      <c r="K66" s="179">
        <v>0</v>
      </c>
      <c r="L66" s="80">
        <f t="shared" si="25"/>
        <v>0</v>
      </c>
      <c r="M66" s="179">
        <v>0</v>
      </c>
      <c r="N66" s="80">
        <f t="shared" si="26"/>
        <v>0</v>
      </c>
      <c r="O66" s="179">
        <v>0</v>
      </c>
      <c r="P66" s="80">
        <f t="shared" si="27"/>
        <v>0</v>
      </c>
      <c r="Q66" s="179">
        <v>0</v>
      </c>
      <c r="R66" s="80">
        <f t="shared" si="28"/>
        <v>0</v>
      </c>
      <c r="S66" s="179">
        <v>0</v>
      </c>
      <c r="T66" s="80">
        <f t="shared" si="29"/>
        <v>0</v>
      </c>
      <c r="U66" s="179">
        <v>0</v>
      </c>
      <c r="V66" s="80">
        <f t="shared" si="30"/>
        <v>0</v>
      </c>
      <c r="X66" s="200"/>
    </row>
    <row r="67" spans="1:24" ht="12.75" customHeight="1">
      <c r="A67" s="2" t="s">
        <v>398</v>
      </c>
      <c r="B67" s="35"/>
      <c r="C67" s="179">
        <v>7004.16</v>
      </c>
      <c r="D67" s="80">
        <f t="shared" si="21"/>
        <v>1.4999999999999999E-2</v>
      </c>
      <c r="E67" s="179">
        <v>0</v>
      </c>
      <c r="F67" s="80">
        <f t="shared" si="22"/>
        <v>0</v>
      </c>
      <c r="G67" s="179">
        <v>0</v>
      </c>
      <c r="H67" s="80">
        <f t="shared" si="23"/>
        <v>0</v>
      </c>
      <c r="I67" s="179">
        <v>0</v>
      </c>
      <c r="J67" s="80">
        <f t="shared" si="24"/>
        <v>0</v>
      </c>
      <c r="K67" s="179">
        <v>0</v>
      </c>
      <c r="L67" s="80">
        <f t="shared" si="25"/>
        <v>0</v>
      </c>
      <c r="M67" s="179">
        <v>0</v>
      </c>
      <c r="N67" s="80">
        <f t="shared" si="26"/>
        <v>0</v>
      </c>
      <c r="O67" s="179">
        <v>0</v>
      </c>
      <c r="P67" s="80">
        <f t="shared" si="27"/>
        <v>0</v>
      </c>
      <c r="Q67" s="179">
        <v>0</v>
      </c>
      <c r="R67" s="80">
        <f t="shared" si="28"/>
        <v>0</v>
      </c>
      <c r="S67" s="179">
        <v>0</v>
      </c>
      <c r="T67" s="80">
        <f t="shared" si="29"/>
        <v>0</v>
      </c>
      <c r="U67" s="179">
        <v>0</v>
      </c>
      <c r="V67" s="80">
        <f t="shared" si="30"/>
        <v>0</v>
      </c>
      <c r="X67" s="200"/>
    </row>
    <row r="68" spans="1:24" ht="12.75" customHeight="1">
      <c r="A68" s="2" t="s">
        <v>399</v>
      </c>
      <c r="B68" s="35"/>
      <c r="C68" s="179">
        <v>793.8048</v>
      </c>
      <c r="D68" s="80">
        <f t="shared" si="21"/>
        <v>1.6999999999999999E-3</v>
      </c>
      <c r="E68" s="179">
        <v>0</v>
      </c>
      <c r="F68" s="80">
        <f t="shared" si="22"/>
        <v>0</v>
      </c>
      <c r="G68" s="179">
        <v>0</v>
      </c>
      <c r="H68" s="80">
        <f t="shared" si="23"/>
        <v>0</v>
      </c>
      <c r="I68" s="179">
        <v>0</v>
      </c>
      <c r="J68" s="80">
        <f t="shared" si="24"/>
        <v>0</v>
      </c>
      <c r="K68" s="179">
        <v>0</v>
      </c>
      <c r="L68" s="80">
        <f t="shared" si="25"/>
        <v>0</v>
      </c>
      <c r="M68" s="179">
        <v>0</v>
      </c>
      <c r="N68" s="80">
        <f t="shared" si="26"/>
        <v>0</v>
      </c>
      <c r="O68" s="179">
        <v>0</v>
      </c>
      <c r="P68" s="80">
        <f t="shared" si="27"/>
        <v>0</v>
      </c>
      <c r="Q68" s="179">
        <v>0</v>
      </c>
      <c r="R68" s="80">
        <f t="shared" si="28"/>
        <v>0</v>
      </c>
      <c r="S68" s="179">
        <v>0</v>
      </c>
      <c r="T68" s="80">
        <f t="shared" si="29"/>
        <v>0</v>
      </c>
      <c r="U68" s="179">
        <v>0</v>
      </c>
      <c r="V68" s="80">
        <f t="shared" si="30"/>
        <v>0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1"/>
        <v>0</v>
      </c>
      <c r="E69" s="179">
        <v>0</v>
      </c>
      <c r="F69" s="80">
        <f t="shared" si="22"/>
        <v>0</v>
      </c>
      <c r="G69" s="179">
        <v>0</v>
      </c>
      <c r="H69" s="80">
        <f t="shared" si="23"/>
        <v>0</v>
      </c>
      <c r="I69" s="179">
        <v>0</v>
      </c>
      <c r="J69" s="80">
        <f t="shared" si="24"/>
        <v>0</v>
      </c>
      <c r="K69" s="179">
        <v>0</v>
      </c>
      <c r="L69" s="80">
        <f t="shared" si="25"/>
        <v>0</v>
      </c>
      <c r="M69" s="179">
        <v>0</v>
      </c>
      <c r="N69" s="80">
        <f t="shared" si="26"/>
        <v>0</v>
      </c>
      <c r="O69" s="179">
        <v>0</v>
      </c>
      <c r="P69" s="80">
        <f t="shared" si="27"/>
        <v>0</v>
      </c>
      <c r="Q69" s="179">
        <v>0</v>
      </c>
      <c r="R69" s="80">
        <f t="shared" si="28"/>
        <v>0</v>
      </c>
      <c r="S69" s="179">
        <v>0</v>
      </c>
      <c r="T69" s="80">
        <f t="shared" si="29"/>
        <v>0</v>
      </c>
      <c r="U69" s="179">
        <v>0</v>
      </c>
      <c r="V69" s="80">
        <f t="shared" si="30"/>
        <v>0</v>
      </c>
      <c r="X69" s="200"/>
    </row>
    <row r="70" spans="1:24" ht="12.75" customHeight="1">
      <c r="A70" s="2" t="s">
        <v>401</v>
      </c>
      <c r="B70" s="35"/>
      <c r="C70" s="179">
        <v>46.694400000000009</v>
      </c>
      <c r="D70" s="80">
        <f t="shared" si="21"/>
        <v>1.0000000000000002E-4</v>
      </c>
      <c r="E70" s="179">
        <v>0</v>
      </c>
      <c r="F70" s="80">
        <f t="shared" si="22"/>
        <v>0</v>
      </c>
      <c r="G70" s="179">
        <v>0</v>
      </c>
      <c r="H70" s="80">
        <f t="shared" si="23"/>
        <v>0</v>
      </c>
      <c r="I70" s="179">
        <v>0</v>
      </c>
      <c r="J70" s="80">
        <f t="shared" si="24"/>
        <v>0</v>
      </c>
      <c r="K70" s="179">
        <v>0</v>
      </c>
      <c r="L70" s="80">
        <f t="shared" si="25"/>
        <v>0</v>
      </c>
      <c r="M70" s="179">
        <v>0</v>
      </c>
      <c r="N70" s="80">
        <f t="shared" si="26"/>
        <v>0</v>
      </c>
      <c r="O70" s="179">
        <v>0</v>
      </c>
      <c r="P70" s="80">
        <f t="shared" si="27"/>
        <v>0</v>
      </c>
      <c r="Q70" s="179">
        <v>0</v>
      </c>
      <c r="R70" s="80">
        <f t="shared" si="28"/>
        <v>0</v>
      </c>
      <c r="S70" s="179">
        <v>0</v>
      </c>
      <c r="T70" s="80">
        <f t="shared" si="29"/>
        <v>0</v>
      </c>
      <c r="U70" s="179">
        <v>0</v>
      </c>
      <c r="V70" s="80">
        <f t="shared" si="30"/>
        <v>0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1"/>
        <v>0</v>
      </c>
      <c r="E71" s="179">
        <v>0</v>
      </c>
      <c r="F71" s="80">
        <f t="shared" si="22"/>
        <v>0</v>
      </c>
      <c r="G71" s="179">
        <v>0</v>
      </c>
      <c r="H71" s="80">
        <f t="shared" si="23"/>
        <v>0</v>
      </c>
      <c r="I71" s="179">
        <v>0</v>
      </c>
      <c r="J71" s="80">
        <f t="shared" si="24"/>
        <v>0</v>
      </c>
      <c r="K71" s="179">
        <v>0</v>
      </c>
      <c r="L71" s="80">
        <f t="shared" si="25"/>
        <v>0</v>
      </c>
      <c r="M71" s="179">
        <v>0</v>
      </c>
      <c r="N71" s="80">
        <f t="shared" si="26"/>
        <v>0</v>
      </c>
      <c r="O71" s="179">
        <v>0</v>
      </c>
      <c r="P71" s="80">
        <f t="shared" si="27"/>
        <v>0</v>
      </c>
      <c r="Q71" s="179">
        <v>0</v>
      </c>
      <c r="R71" s="80">
        <f t="shared" si="28"/>
        <v>0</v>
      </c>
      <c r="S71" s="179">
        <v>0</v>
      </c>
      <c r="T71" s="80">
        <f t="shared" si="29"/>
        <v>0</v>
      </c>
      <c r="U71" s="179">
        <v>0</v>
      </c>
      <c r="V71" s="80">
        <f t="shared" si="30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1"/>
        <v>0</v>
      </c>
      <c r="E72" s="179">
        <v>0</v>
      </c>
      <c r="F72" s="80">
        <f t="shared" si="22"/>
        <v>0</v>
      </c>
      <c r="G72" s="179">
        <v>0</v>
      </c>
      <c r="H72" s="80">
        <f t="shared" si="23"/>
        <v>0</v>
      </c>
      <c r="I72" s="179">
        <v>0</v>
      </c>
      <c r="J72" s="80">
        <f t="shared" si="24"/>
        <v>0</v>
      </c>
      <c r="K72" s="179">
        <v>0</v>
      </c>
      <c r="L72" s="80">
        <f t="shared" si="25"/>
        <v>0</v>
      </c>
      <c r="M72" s="179">
        <v>0</v>
      </c>
      <c r="N72" s="80">
        <f t="shared" si="26"/>
        <v>0</v>
      </c>
      <c r="O72" s="179">
        <v>0</v>
      </c>
      <c r="P72" s="80">
        <f t="shared" si="27"/>
        <v>0</v>
      </c>
      <c r="Q72" s="179">
        <v>0</v>
      </c>
      <c r="R72" s="80">
        <f t="shared" si="28"/>
        <v>0</v>
      </c>
      <c r="S72" s="179">
        <v>0</v>
      </c>
      <c r="T72" s="80">
        <f t="shared" si="29"/>
        <v>0</v>
      </c>
      <c r="U72" s="179">
        <v>0</v>
      </c>
      <c r="V72" s="80">
        <f t="shared" si="30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1"/>
        <v>0</v>
      </c>
      <c r="E73" s="179">
        <v>0</v>
      </c>
      <c r="F73" s="80">
        <f t="shared" si="22"/>
        <v>0</v>
      </c>
      <c r="G73" s="179">
        <v>0</v>
      </c>
      <c r="H73" s="80">
        <f t="shared" si="23"/>
        <v>0</v>
      </c>
      <c r="I73" s="179">
        <v>0</v>
      </c>
      <c r="J73" s="80">
        <f t="shared" si="24"/>
        <v>0</v>
      </c>
      <c r="K73" s="179">
        <v>0</v>
      </c>
      <c r="L73" s="80">
        <f t="shared" si="25"/>
        <v>0</v>
      </c>
      <c r="M73" s="179">
        <v>0</v>
      </c>
      <c r="N73" s="80">
        <f t="shared" si="26"/>
        <v>0</v>
      </c>
      <c r="O73" s="179">
        <v>0</v>
      </c>
      <c r="P73" s="80">
        <f t="shared" si="27"/>
        <v>0</v>
      </c>
      <c r="Q73" s="179">
        <v>0</v>
      </c>
      <c r="R73" s="80">
        <f t="shared" si="28"/>
        <v>0</v>
      </c>
      <c r="S73" s="179">
        <v>0</v>
      </c>
      <c r="T73" s="80">
        <f t="shared" si="29"/>
        <v>0</v>
      </c>
      <c r="U73" s="179">
        <v>0</v>
      </c>
      <c r="V73" s="80">
        <f t="shared" si="30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1"/>
        <v>0</v>
      </c>
      <c r="E74" s="179">
        <v>0</v>
      </c>
      <c r="F74" s="80">
        <f t="shared" si="22"/>
        <v>0</v>
      </c>
      <c r="G74" s="179">
        <v>0</v>
      </c>
      <c r="H74" s="80">
        <f t="shared" si="23"/>
        <v>0</v>
      </c>
      <c r="I74" s="179">
        <v>0</v>
      </c>
      <c r="J74" s="80">
        <f t="shared" si="24"/>
        <v>0</v>
      </c>
      <c r="K74" s="179">
        <v>0</v>
      </c>
      <c r="L74" s="80">
        <f t="shared" si="25"/>
        <v>0</v>
      </c>
      <c r="M74" s="179">
        <v>0</v>
      </c>
      <c r="N74" s="80">
        <f t="shared" si="26"/>
        <v>0</v>
      </c>
      <c r="O74" s="179">
        <v>0</v>
      </c>
      <c r="P74" s="80">
        <f t="shared" si="27"/>
        <v>0</v>
      </c>
      <c r="Q74" s="179">
        <v>0</v>
      </c>
      <c r="R74" s="80">
        <f t="shared" si="28"/>
        <v>0</v>
      </c>
      <c r="S74" s="179">
        <v>0</v>
      </c>
      <c r="T74" s="80">
        <f t="shared" si="29"/>
        <v>0</v>
      </c>
      <c r="U74" s="179">
        <v>0</v>
      </c>
      <c r="V74" s="80">
        <f t="shared" si="30"/>
        <v>0</v>
      </c>
      <c r="X74" s="200"/>
    </row>
    <row r="75" spans="1:24" ht="12.75" customHeight="1">
      <c r="A75" s="2" t="s">
        <v>406</v>
      </c>
      <c r="B75" s="35"/>
      <c r="C75" s="179">
        <v>2334.7200000000003</v>
      </c>
      <c r="D75" s="80">
        <f t="shared" si="21"/>
        <v>5.000000000000001E-3</v>
      </c>
      <c r="E75" s="179">
        <v>0</v>
      </c>
      <c r="F75" s="80">
        <f t="shared" si="22"/>
        <v>0</v>
      </c>
      <c r="G75" s="179">
        <v>0</v>
      </c>
      <c r="H75" s="80">
        <f t="shared" si="23"/>
        <v>0</v>
      </c>
      <c r="I75" s="179">
        <v>0</v>
      </c>
      <c r="J75" s="80">
        <f t="shared" si="24"/>
        <v>0</v>
      </c>
      <c r="K75" s="179">
        <v>0</v>
      </c>
      <c r="L75" s="80">
        <f t="shared" si="25"/>
        <v>0</v>
      </c>
      <c r="M75" s="179">
        <v>0</v>
      </c>
      <c r="N75" s="80">
        <f t="shared" si="26"/>
        <v>0</v>
      </c>
      <c r="O75" s="179">
        <v>0</v>
      </c>
      <c r="P75" s="80">
        <f t="shared" si="27"/>
        <v>0</v>
      </c>
      <c r="Q75" s="179">
        <v>0</v>
      </c>
      <c r="R75" s="80">
        <f t="shared" si="28"/>
        <v>0</v>
      </c>
      <c r="S75" s="179">
        <v>0</v>
      </c>
      <c r="T75" s="80">
        <f t="shared" si="29"/>
        <v>0</v>
      </c>
      <c r="U75" s="179">
        <v>0</v>
      </c>
      <c r="V75" s="80">
        <f t="shared" si="30"/>
        <v>0</v>
      </c>
      <c r="X75" s="200"/>
    </row>
    <row r="76" spans="1:24" ht="12.75" customHeight="1">
      <c r="A76" s="2" t="s">
        <v>407</v>
      </c>
      <c r="B76" s="35"/>
      <c r="C76" s="179">
        <v>186.77760000000004</v>
      </c>
      <c r="D76" s="80">
        <f t="shared" si="21"/>
        <v>4.0000000000000007E-4</v>
      </c>
      <c r="E76" s="179">
        <v>0</v>
      </c>
      <c r="F76" s="80">
        <f t="shared" si="22"/>
        <v>0</v>
      </c>
      <c r="G76" s="179">
        <v>0</v>
      </c>
      <c r="H76" s="80">
        <f t="shared" si="23"/>
        <v>0</v>
      </c>
      <c r="I76" s="179">
        <v>0</v>
      </c>
      <c r="J76" s="80">
        <f t="shared" si="24"/>
        <v>0</v>
      </c>
      <c r="K76" s="179">
        <v>0</v>
      </c>
      <c r="L76" s="80">
        <f t="shared" si="25"/>
        <v>0</v>
      </c>
      <c r="M76" s="179">
        <v>0</v>
      </c>
      <c r="N76" s="80">
        <f t="shared" si="26"/>
        <v>0</v>
      </c>
      <c r="O76" s="179">
        <v>0</v>
      </c>
      <c r="P76" s="80">
        <f t="shared" si="27"/>
        <v>0</v>
      </c>
      <c r="Q76" s="179">
        <v>0</v>
      </c>
      <c r="R76" s="80">
        <f t="shared" si="28"/>
        <v>0</v>
      </c>
      <c r="S76" s="179">
        <v>0</v>
      </c>
      <c r="T76" s="80">
        <f t="shared" si="29"/>
        <v>0</v>
      </c>
      <c r="U76" s="179">
        <v>0</v>
      </c>
      <c r="V76" s="80">
        <f t="shared" si="30"/>
        <v>0</v>
      </c>
      <c r="X76" s="200"/>
    </row>
    <row r="77" spans="1:24" ht="12.75" customHeight="1">
      <c r="A77" s="2" t="s">
        <v>408</v>
      </c>
      <c r="B77" s="35"/>
      <c r="C77" s="179">
        <v>607.02719999999999</v>
      </c>
      <c r="D77" s="80">
        <f t="shared" si="21"/>
        <v>1.2999999999999999E-3</v>
      </c>
      <c r="E77" s="179">
        <v>0</v>
      </c>
      <c r="F77" s="80">
        <f t="shared" si="22"/>
        <v>0</v>
      </c>
      <c r="G77" s="179">
        <v>0</v>
      </c>
      <c r="H77" s="80">
        <f t="shared" si="23"/>
        <v>0</v>
      </c>
      <c r="I77" s="179">
        <v>0</v>
      </c>
      <c r="J77" s="80">
        <f t="shared" si="24"/>
        <v>0</v>
      </c>
      <c r="K77" s="179">
        <v>0</v>
      </c>
      <c r="L77" s="80">
        <f t="shared" si="25"/>
        <v>0</v>
      </c>
      <c r="M77" s="179">
        <v>0</v>
      </c>
      <c r="N77" s="80">
        <f t="shared" si="26"/>
        <v>0</v>
      </c>
      <c r="O77" s="179">
        <v>0</v>
      </c>
      <c r="P77" s="80">
        <f t="shared" si="27"/>
        <v>0</v>
      </c>
      <c r="Q77" s="179">
        <v>0</v>
      </c>
      <c r="R77" s="80">
        <f t="shared" si="28"/>
        <v>0</v>
      </c>
      <c r="S77" s="179">
        <v>0</v>
      </c>
      <c r="T77" s="80">
        <f t="shared" si="29"/>
        <v>0</v>
      </c>
      <c r="U77" s="179">
        <v>0</v>
      </c>
      <c r="V77" s="80">
        <f t="shared" si="30"/>
        <v>0</v>
      </c>
      <c r="X77" s="200"/>
    </row>
    <row r="78" spans="1:24" ht="12.75" customHeight="1">
      <c r="A78" s="2" t="s">
        <v>409</v>
      </c>
      <c r="B78" s="35"/>
      <c r="C78" s="179">
        <v>10272.768</v>
      </c>
      <c r="D78" s="80">
        <f t="shared" si="21"/>
        <v>2.1999999999999999E-2</v>
      </c>
      <c r="E78" s="179">
        <v>0</v>
      </c>
      <c r="F78" s="80">
        <f t="shared" si="22"/>
        <v>0</v>
      </c>
      <c r="G78" s="179">
        <v>0</v>
      </c>
      <c r="H78" s="80">
        <f t="shared" si="23"/>
        <v>0</v>
      </c>
      <c r="I78" s="179">
        <v>0</v>
      </c>
      <c r="J78" s="80">
        <f t="shared" si="24"/>
        <v>0</v>
      </c>
      <c r="K78" s="179">
        <v>0</v>
      </c>
      <c r="L78" s="80">
        <f t="shared" si="25"/>
        <v>0</v>
      </c>
      <c r="M78" s="179">
        <v>0</v>
      </c>
      <c r="N78" s="80">
        <f t="shared" si="26"/>
        <v>0</v>
      </c>
      <c r="O78" s="179">
        <v>0</v>
      </c>
      <c r="P78" s="80">
        <f t="shared" si="27"/>
        <v>0</v>
      </c>
      <c r="Q78" s="179">
        <v>0</v>
      </c>
      <c r="R78" s="80">
        <f t="shared" si="28"/>
        <v>0</v>
      </c>
      <c r="S78" s="179">
        <v>0</v>
      </c>
      <c r="T78" s="80">
        <f t="shared" si="29"/>
        <v>0</v>
      </c>
      <c r="U78" s="179">
        <v>0</v>
      </c>
      <c r="V78" s="80">
        <f t="shared" si="30"/>
        <v>0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1"/>
        <v>0</v>
      </c>
      <c r="E79" s="179">
        <v>0</v>
      </c>
      <c r="F79" s="80">
        <f t="shared" si="22"/>
        <v>0</v>
      </c>
      <c r="G79" s="179">
        <v>0</v>
      </c>
      <c r="H79" s="80">
        <f t="shared" si="23"/>
        <v>0</v>
      </c>
      <c r="I79" s="179">
        <v>0</v>
      </c>
      <c r="J79" s="80">
        <f t="shared" si="24"/>
        <v>0</v>
      </c>
      <c r="K79" s="179">
        <v>0</v>
      </c>
      <c r="L79" s="80">
        <f t="shared" si="25"/>
        <v>0</v>
      </c>
      <c r="M79" s="179">
        <v>0</v>
      </c>
      <c r="N79" s="80">
        <f t="shared" si="26"/>
        <v>0</v>
      </c>
      <c r="O79" s="179">
        <v>0</v>
      </c>
      <c r="P79" s="80">
        <f t="shared" si="27"/>
        <v>0</v>
      </c>
      <c r="Q79" s="179">
        <v>0</v>
      </c>
      <c r="R79" s="80">
        <f t="shared" si="28"/>
        <v>0</v>
      </c>
      <c r="S79" s="179">
        <v>0</v>
      </c>
      <c r="T79" s="80">
        <f t="shared" si="29"/>
        <v>0</v>
      </c>
      <c r="U79" s="179">
        <v>0</v>
      </c>
      <c r="V79" s="80">
        <f t="shared" si="30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1"/>
        <v>0</v>
      </c>
      <c r="E80" s="179">
        <v>0</v>
      </c>
      <c r="F80" s="80">
        <f t="shared" si="22"/>
        <v>0</v>
      </c>
      <c r="G80" s="179">
        <v>0</v>
      </c>
      <c r="H80" s="80">
        <f t="shared" si="23"/>
        <v>0</v>
      </c>
      <c r="I80" s="179">
        <v>0</v>
      </c>
      <c r="J80" s="80">
        <f t="shared" si="24"/>
        <v>0</v>
      </c>
      <c r="K80" s="179">
        <v>0</v>
      </c>
      <c r="L80" s="80">
        <f t="shared" si="25"/>
        <v>0</v>
      </c>
      <c r="M80" s="179">
        <v>0</v>
      </c>
      <c r="N80" s="80">
        <f t="shared" si="26"/>
        <v>0</v>
      </c>
      <c r="O80" s="179">
        <v>0</v>
      </c>
      <c r="P80" s="80">
        <f t="shared" si="27"/>
        <v>0</v>
      </c>
      <c r="Q80" s="179">
        <v>0</v>
      </c>
      <c r="R80" s="80">
        <f t="shared" si="28"/>
        <v>0</v>
      </c>
      <c r="S80" s="179">
        <v>0</v>
      </c>
      <c r="T80" s="80">
        <f t="shared" si="29"/>
        <v>0</v>
      </c>
      <c r="U80" s="179">
        <v>0</v>
      </c>
      <c r="V80" s="80">
        <f t="shared" si="30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1"/>
        <v>0</v>
      </c>
      <c r="E81" s="179">
        <v>0</v>
      </c>
      <c r="F81" s="80">
        <f t="shared" si="22"/>
        <v>0</v>
      </c>
      <c r="G81" s="179">
        <v>0</v>
      </c>
      <c r="H81" s="80">
        <f t="shared" si="23"/>
        <v>0</v>
      </c>
      <c r="I81" s="179">
        <v>0</v>
      </c>
      <c r="J81" s="80">
        <f t="shared" si="24"/>
        <v>0</v>
      </c>
      <c r="K81" s="179">
        <v>0</v>
      </c>
      <c r="L81" s="80">
        <f t="shared" si="25"/>
        <v>0</v>
      </c>
      <c r="M81" s="179">
        <v>0</v>
      </c>
      <c r="N81" s="80">
        <f t="shared" si="26"/>
        <v>0</v>
      </c>
      <c r="O81" s="179">
        <v>0</v>
      </c>
      <c r="P81" s="80">
        <f t="shared" si="27"/>
        <v>0</v>
      </c>
      <c r="Q81" s="179">
        <v>0</v>
      </c>
      <c r="R81" s="80">
        <f t="shared" si="28"/>
        <v>0</v>
      </c>
      <c r="S81" s="179">
        <v>0</v>
      </c>
      <c r="T81" s="80">
        <f t="shared" si="29"/>
        <v>0</v>
      </c>
      <c r="U81" s="179">
        <v>0</v>
      </c>
      <c r="V81" s="80">
        <f t="shared" si="30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1"/>
        <v>0</v>
      </c>
      <c r="E82" s="179">
        <v>0</v>
      </c>
      <c r="F82" s="80">
        <f t="shared" si="22"/>
        <v>0</v>
      </c>
      <c r="G82" s="179">
        <v>0</v>
      </c>
      <c r="H82" s="80">
        <f t="shared" si="23"/>
        <v>0</v>
      </c>
      <c r="I82" s="179">
        <v>0</v>
      </c>
      <c r="J82" s="80">
        <f t="shared" si="24"/>
        <v>0</v>
      </c>
      <c r="K82" s="179">
        <v>0</v>
      </c>
      <c r="L82" s="80">
        <f t="shared" si="25"/>
        <v>0</v>
      </c>
      <c r="M82" s="179">
        <v>0</v>
      </c>
      <c r="N82" s="80">
        <f t="shared" si="26"/>
        <v>0</v>
      </c>
      <c r="O82" s="179">
        <v>0</v>
      </c>
      <c r="P82" s="80">
        <f t="shared" si="27"/>
        <v>0</v>
      </c>
      <c r="Q82" s="179">
        <v>0</v>
      </c>
      <c r="R82" s="80">
        <f t="shared" si="28"/>
        <v>0</v>
      </c>
      <c r="S82" s="179">
        <v>0</v>
      </c>
      <c r="T82" s="80">
        <f t="shared" si="29"/>
        <v>0</v>
      </c>
      <c r="U82" s="179">
        <v>0</v>
      </c>
      <c r="V82" s="80">
        <f t="shared" si="30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1"/>
        <v>0</v>
      </c>
      <c r="E83" s="179">
        <v>0</v>
      </c>
      <c r="F83" s="80">
        <f t="shared" si="22"/>
        <v>0</v>
      </c>
      <c r="G83" s="179">
        <v>0</v>
      </c>
      <c r="H83" s="80">
        <f t="shared" si="23"/>
        <v>0</v>
      </c>
      <c r="I83" s="179">
        <v>0</v>
      </c>
      <c r="J83" s="80">
        <f t="shared" si="24"/>
        <v>0</v>
      </c>
      <c r="K83" s="179">
        <v>0</v>
      </c>
      <c r="L83" s="80">
        <f t="shared" si="25"/>
        <v>0</v>
      </c>
      <c r="M83" s="179">
        <v>0</v>
      </c>
      <c r="N83" s="80">
        <f t="shared" si="26"/>
        <v>0</v>
      </c>
      <c r="O83" s="179">
        <v>0</v>
      </c>
      <c r="P83" s="80">
        <f t="shared" si="27"/>
        <v>0</v>
      </c>
      <c r="Q83" s="179">
        <v>0</v>
      </c>
      <c r="R83" s="80">
        <f t="shared" si="28"/>
        <v>0</v>
      </c>
      <c r="S83" s="179">
        <v>0</v>
      </c>
      <c r="T83" s="80">
        <f t="shared" si="29"/>
        <v>0</v>
      </c>
      <c r="U83" s="179">
        <v>0</v>
      </c>
      <c r="V83" s="80">
        <f t="shared" si="30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1"/>
        <v>0</v>
      </c>
      <c r="E84" s="179">
        <v>0</v>
      </c>
      <c r="F84" s="80">
        <f t="shared" si="22"/>
        <v>0</v>
      </c>
      <c r="G84" s="179">
        <v>0</v>
      </c>
      <c r="H84" s="80">
        <f t="shared" si="23"/>
        <v>0</v>
      </c>
      <c r="I84" s="179">
        <v>0</v>
      </c>
      <c r="J84" s="80">
        <f t="shared" si="24"/>
        <v>0</v>
      </c>
      <c r="K84" s="179">
        <v>0</v>
      </c>
      <c r="L84" s="80">
        <f t="shared" si="25"/>
        <v>0</v>
      </c>
      <c r="M84" s="179">
        <v>0</v>
      </c>
      <c r="N84" s="80">
        <f t="shared" si="26"/>
        <v>0</v>
      </c>
      <c r="O84" s="179">
        <v>0</v>
      </c>
      <c r="P84" s="80">
        <f t="shared" si="27"/>
        <v>0</v>
      </c>
      <c r="Q84" s="179">
        <v>0</v>
      </c>
      <c r="R84" s="80">
        <f t="shared" si="28"/>
        <v>0</v>
      </c>
      <c r="S84" s="179">
        <v>0</v>
      </c>
      <c r="T84" s="80">
        <f t="shared" si="29"/>
        <v>0</v>
      </c>
      <c r="U84" s="179">
        <v>0</v>
      </c>
      <c r="V84" s="80">
        <f t="shared" si="30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1"/>
        <v>0</v>
      </c>
      <c r="E85" s="179">
        <v>0</v>
      </c>
      <c r="F85" s="80">
        <f t="shared" si="22"/>
        <v>0</v>
      </c>
      <c r="G85" s="179">
        <v>0</v>
      </c>
      <c r="H85" s="80">
        <f t="shared" si="23"/>
        <v>0</v>
      </c>
      <c r="I85" s="179">
        <v>0</v>
      </c>
      <c r="J85" s="80">
        <f t="shared" si="24"/>
        <v>0</v>
      </c>
      <c r="K85" s="179">
        <v>0</v>
      </c>
      <c r="L85" s="80">
        <f t="shared" si="25"/>
        <v>0</v>
      </c>
      <c r="M85" s="179">
        <v>0</v>
      </c>
      <c r="N85" s="80">
        <f t="shared" si="26"/>
        <v>0</v>
      </c>
      <c r="O85" s="179">
        <v>0</v>
      </c>
      <c r="P85" s="80">
        <f t="shared" si="27"/>
        <v>0</v>
      </c>
      <c r="Q85" s="179">
        <v>0</v>
      </c>
      <c r="R85" s="80">
        <f t="shared" si="28"/>
        <v>0</v>
      </c>
      <c r="S85" s="179">
        <v>0</v>
      </c>
      <c r="T85" s="80">
        <f t="shared" si="29"/>
        <v>0</v>
      </c>
      <c r="U85" s="179">
        <v>0</v>
      </c>
      <c r="V85" s="80">
        <f t="shared" si="30"/>
        <v>0</v>
      </c>
      <c r="X85" s="200"/>
    </row>
    <row r="86" spans="1:24" ht="12.75" customHeight="1">
      <c r="A86" s="2" t="s">
        <v>417</v>
      </c>
      <c r="B86" s="35"/>
      <c r="C86" s="179">
        <v>1867.7760000000001</v>
      </c>
      <c r="D86" s="80">
        <f t="shared" si="21"/>
        <v>4.0000000000000001E-3</v>
      </c>
      <c r="E86" s="179">
        <v>0</v>
      </c>
      <c r="F86" s="80">
        <f t="shared" si="22"/>
        <v>0</v>
      </c>
      <c r="G86" s="179">
        <v>0</v>
      </c>
      <c r="H86" s="80">
        <f t="shared" si="23"/>
        <v>0</v>
      </c>
      <c r="I86" s="179">
        <v>0</v>
      </c>
      <c r="J86" s="80">
        <f t="shared" si="24"/>
        <v>0</v>
      </c>
      <c r="K86" s="179">
        <v>0</v>
      </c>
      <c r="L86" s="80">
        <f t="shared" si="25"/>
        <v>0</v>
      </c>
      <c r="M86" s="179">
        <v>0</v>
      </c>
      <c r="N86" s="80">
        <f t="shared" si="26"/>
        <v>0</v>
      </c>
      <c r="O86" s="179">
        <v>0</v>
      </c>
      <c r="P86" s="80">
        <f t="shared" si="27"/>
        <v>0</v>
      </c>
      <c r="Q86" s="179">
        <v>0</v>
      </c>
      <c r="R86" s="80">
        <f t="shared" si="28"/>
        <v>0</v>
      </c>
      <c r="S86" s="179">
        <v>0</v>
      </c>
      <c r="T86" s="80">
        <f t="shared" si="29"/>
        <v>0</v>
      </c>
      <c r="U86" s="179">
        <v>0</v>
      </c>
      <c r="V86" s="80">
        <f t="shared" si="30"/>
        <v>0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1"/>
        <v>0</v>
      </c>
      <c r="E87" s="179">
        <v>0</v>
      </c>
      <c r="F87" s="80">
        <f t="shared" si="22"/>
        <v>0</v>
      </c>
      <c r="G87" s="179">
        <v>0</v>
      </c>
      <c r="H87" s="80">
        <f t="shared" si="23"/>
        <v>0</v>
      </c>
      <c r="I87" s="179">
        <v>0</v>
      </c>
      <c r="J87" s="80">
        <f t="shared" si="24"/>
        <v>0</v>
      </c>
      <c r="K87" s="179">
        <v>0</v>
      </c>
      <c r="L87" s="80">
        <f t="shared" si="25"/>
        <v>0</v>
      </c>
      <c r="M87" s="179">
        <v>0</v>
      </c>
      <c r="N87" s="80">
        <f t="shared" si="26"/>
        <v>0</v>
      </c>
      <c r="O87" s="179">
        <v>0</v>
      </c>
      <c r="P87" s="80">
        <f t="shared" si="27"/>
        <v>0</v>
      </c>
      <c r="Q87" s="179">
        <v>0</v>
      </c>
      <c r="R87" s="80">
        <f t="shared" si="28"/>
        <v>0</v>
      </c>
      <c r="S87" s="179">
        <v>0</v>
      </c>
      <c r="T87" s="80">
        <f t="shared" si="29"/>
        <v>0</v>
      </c>
      <c r="U87" s="179">
        <v>0</v>
      </c>
      <c r="V87" s="80">
        <f t="shared" si="30"/>
        <v>0</v>
      </c>
      <c r="X87" s="200"/>
    </row>
    <row r="88" spans="1:24" ht="12.75" customHeight="1">
      <c r="A88" s="2" t="s">
        <v>419</v>
      </c>
      <c r="B88" s="35"/>
      <c r="C88" s="179">
        <v>2381.4144000000006</v>
      </c>
      <c r="D88" s="80">
        <f t="shared" si="21"/>
        <v>5.1000000000000012E-3</v>
      </c>
      <c r="E88" s="179">
        <v>0</v>
      </c>
      <c r="F88" s="80">
        <f t="shared" si="22"/>
        <v>0</v>
      </c>
      <c r="G88" s="179">
        <v>0</v>
      </c>
      <c r="H88" s="80">
        <f t="shared" si="23"/>
        <v>0</v>
      </c>
      <c r="I88" s="179">
        <v>0</v>
      </c>
      <c r="J88" s="80">
        <f t="shared" si="24"/>
        <v>0</v>
      </c>
      <c r="K88" s="179">
        <v>0</v>
      </c>
      <c r="L88" s="80">
        <f t="shared" si="25"/>
        <v>0</v>
      </c>
      <c r="M88" s="179">
        <v>0</v>
      </c>
      <c r="N88" s="80">
        <f t="shared" si="26"/>
        <v>0</v>
      </c>
      <c r="O88" s="179">
        <v>0</v>
      </c>
      <c r="P88" s="80">
        <f t="shared" si="27"/>
        <v>0</v>
      </c>
      <c r="Q88" s="179">
        <v>0</v>
      </c>
      <c r="R88" s="80">
        <f t="shared" si="28"/>
        <v>0</v>
      </c>
      <c r="S88" s="179">
        <v>0</v>
      </c>
      <c r="T88" s="80">
        <f t="shared" si="29"/>
        <v>0</v>
      </c>
      <c r="U88" s="179">
        <v>0</v>
      </c>
      <c r="V88" s="80">
        <f t="shared" si="30"/>
        <v>0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1"/>
        <v>0</v>
      </c>
      <c r="E89" s="179">
        <v>0</v>
      </c>
      <c r="F89" s="80">
        <f t="shared" si="22"/>
        <v>0</v>
      </c>
      <c r="G89" s="179">
        <v>0</v>
      </c>
      <c r="H89" s="80">
        <f t="shared" si="23"/>
        <v>0</v>
      </c>
      <c r="I89" s="179">
        <v>0</v>
      </c>
      <c r="J89" s="80">
        <f t="shared" si="24"/>
        <v>0</v>
      </c>
      <c r="K89" s="179">
        <v>0</v>
      </c>
      <c r="L89" s="80">
        <f t="shared" si="25"/>
        <v>0</v>
      </c>
      <c r="M89" s="179">
        <v>0</v>
      </c>
      <c r="N89" s="80">
        <f t="shared" si="26"/>
        <v>0</v>
      </c>
      <c r="O89" s="179">
        <v>0</v>
      </c>
      <c r="P89" s="80">
        <f t="shared" si="27"/>
        <v>0</v>
      </c>
      <c r="Q89" s="179">
        <v>0</v>
      </c>
      <c r="R89" s="80">
        <f t="shared" si="28"/>
        <v>0</v>
      </c>
      <c r="S89" s="179">
        <v>0</v>
      </c>
      <c r="T89" s="80">
        <f t="shared" si="29"/>
        <v>0</v>
      </c>
      <c r="U89" s="179">
        <v>0</v>
      </c>
      <c r="V89" s="80">
        <f t="shared" si="30"/>
        <v>0</v>
      </c>
      <c r="X89" s="200"/>
    </row>
    <row r="90" spans="1:24" ht="12.75" customHeight="1">
      <c r="A90" s="2" t="s">
        <v>421</v>
      </c>
      <c r="B90" s="35"/>
      <c r="C90" s="179">
        <v>93.388800000000018</v>
      </c>
      <c r="D90" s="80">
        <f t="shared" si="21"/>
        <v>2.0000000000000004E-4</v>
      </c>
      <c r="E90" s="179">
        <v>0</v>
      </c>
      <c r="F90" s="80">
        <f t="shared" si="22"/>
        <v>0</v>
      </c>
      <c r="G90" s="179">
        <v>0</v>
      </c>
      <c r="H90" s="80">
        <f t="shared" si="23"/>
        <v>0</v>
      </c>
      <c r="I90" s="179">
        <v>0</v>
      </c>
      <c r="J90" s="80">
        <f t="shared" si="24"/>
        <v>0</v>
      </c>
      <c r="K90" s="179">
        <v>0</v>
      </c>
      <c r="L90" s="80">
        <f t="shared" si="25"/>
        <v>0</v>
      </c>
      <c r="M90" s="179">
        <v>0</v>
      </c>
      <c r="N90" s="80">
        <f t="shared" si="26"/>
        <v>0</v>
      </c>
      <c r="O90" s="179">
        <v>0</v>
      </c>
      <c r="P90" s="80">
        <f t="shared" si="27"/>
        <v>0</v>
      </c>
      <c r="Q90" s="179">
        <v>0</v>
      </c>
      <c r="R90" s="80">
        <f t="shared" si="28"/>
        <v>0</v>
      </c>
      <c r="S90" s="179">
        <v>0</v>
      </c>
      <c r="T90" s="80">
        <f t="shared" si="29"/>
        <v>0</v>
      </c>
      <c r="U90" s="179">
        <v>0</v>
      </c>
      <c r="V90" s="80">
        <f t="shared" si="30"/>
        <v>0</v>
      </c>
      <c r="X90" s="200"/>
    </row>
    <row r="91" spans="1:24" ht="12.75" customHeight="1">
      <c r="A91" s="2" t="s">
        <v>422</v>
      </c>
      <c r="C91" s="179">
        <v>0</v>
      </c>
      <c r="D91" s="80">
        <f t="shared" si="21"/>
        <v>0</v>
      </c>
      <c r="E91" s="179">
        <v>0</v>
      </c>
      <c r="F91" s="80">
        <f t="shared" si="22"/>
        <v>0</v>
      </c>
      <c r="G91" s="179">
        <v>0</v>
      </c>
      <c r="H91" s="80">
        <f t="shared" si="23"/>
        <v>0</v>
      </c>
      <c r="I91" s="179">
        <v>0</v>
      </c>
      <c r="J91" s="80">
        <f t="shared" si="24"/>
        <v>0</v>
      </c>
      <c r="K91" s="179">
        <v>0</v>
      </c>
      <c r="L91" s="80">
        <f t="shared" si="25"/>
        <v>0</v>
      </c>
      <c r="M91" s="179">
        <v>0</v>
      </c>
      <c r="N91" s="80">
        <f t="shared" si="26"/>
        <v>0</v>
      </c>
      <c r="O91" s="179">
        <v>0</v>
      </c>
      <c r="P91" s="80">
        <f t="shared" si="27"/>
        <v>0</v>
      </c>
      <c r="Q91" s="179">
        <v>0</v>
      </c>
      <c r="R91" s="80">
        <f t="shared" si="28"/>
        <v>0</v>
      </c>
      <c r="S91" s="179">
        <v>0</v>
      </c>
      <c r="T91" s="80">
        <f t="shared" si="29"/>
        <v>0</v>
      </c>
      <c r="U91" s="179">
        <v>0</v>
      </c>
      <c r="V91" s="80">
        <f t="shared" si="30"/>
        <v>0</v>
      </c>
      <c r="X91" s="200"/>
    </row>
    <row r="92" spans="1:24" ht="12.75" customHeight="1">
      <c r="A92" s="2" t="s">
        <v>423</v>
      </c>
      <c r="B92" s="35"/>
      <c r="C92" s="179">
        <v>2428.1088</v>
      </c>
      <c r="D92" s="80">
        <f t="shared" si="21"/>
        <v>5.1999999999999998E-3</v>
      </c>
      <c r="E92" s="179">
        <v>0</v>
      </c>
      <c r="F92" s="80">
        <f t="shared" si="22"/>
        <v>0</v>
      </c>
      <c r="G92" s="179">
        <v>0</v>
      </c>
      <c r="H92" s="80">
        <f t="shared" si="23"/>
        <v>0</v>
      </c>
      <c r="I92" s="179">
        <v>0</v>
      </c>
      <c r="J92" s="80">
        <f t="shared" si="24"/>
        <v>0</v>
      </c>
      <c r="K92" s="179">
        <v>0</v>
      </c>
      <c r="L92" s="80">
        <f t="shared" si="25"/>
        <v>0</v>
      </c>
      <c r="M92" s="179">
        <v>0</v>
      </c>
      <c r="N92" s="80">
        <f t="shared" si="26"/>
        <v>0</v>
      </c>
      <c r="O92" s="179">
        <v>0</v>
      </c>
      <c r="P92" s="80">
        <f t="shared" si="27"/>
        <v>0</v>
      </c>
      <c r="Q92" s="179">
        <v>0</v>
      </c>
      <c r="R92" s="80">
        <f t="shared" si="28"/>
        <v>0</v>
      </c>
      <c r="S92" s="179">
        <v>0</v>
      </c>
      <c r="T92" s="80">
        <f t="shared" si="29"/>
        <v>0</v>
      </c>
      <c r="U92" s="179">
        <v>0</v>
      </c>
      <c r="V92" s="80">
        <f t="shared" si="30"/>
        <v>0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1"/>
        <v>0</v>
      </c>
      <c r="E93" s="179">
        <v>0</v>
      </c>
      <c r="F93" s="80">
        <f t="shared" si="22"/>
        <v>0</v>
      </c>
      <c r="G93" s="179">
        <v>0</v>
      </c>
      <c r="H93" s="80">
        <f t="shared" si="23"/>
        <v>0</v>
      </c>
      <c r="I93" s="179">
        <v>0</v>
      </c>
      <c r="J93" s="80">
        <f t="shared" si="24"/>
        <v>0</v>
      </c>
      <c r="K93" s="179">
        <v>0</v>
      </c>
      <c r="L93" s="80">
        <f t="shared" si="25"/>
        <v>0</v>
      </c>
      <c r="M93" s="179">
        <v>0</v>
      </c>
      <c r="N93" s="80">
        <f t="shared" si="26"/>
        <v>0</v>
      </c>
      <c r="O93" s="179">
        <v>0</v>
      </c>
      <c r="P93" s="80">
        <f t="shared" si="27"/>
        <v>0</v>
      </c>
      <c r="Q93" s="179">
        <v>0</v>
      </c>
      <c r="R93" s="80">
        <f t="shared" si="28"/>
        <v>0</v>
      </c>
      <c r="S93" s="179">
        <v>0</v>
      </c>
      <c r="T93" s="80">
        <f t="shared" si="29"/>
        <v>0</v>
      </c>
      <c r="U93" s="179">
        <v>0</v>
      </c>
      <c r="V93" s="80">
        <f t="shared" si="30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1"/>
        <v>0</v>
      </c>
      <c r="E94" s="179">
        <v>0</v>
      </c>
      <c r="F94" s="80">
        <f t="shared" si="22"/>
        <v>0</v>
      </c>
      <c r="G94" s="179">
        <v>0</v>
      </c>
      <c r="H94" s="80">
        <f t="shared" si="23"/>
        <v>0</v>
      </c>
      <c r="I94" s="179">
        <v>0</v>
      </c>
      <c r="J94" s="80">
        <f t="shared" si="24"/>
        <v>0</v>
      </c>
      <c r="K94" s="179">
        <v>0</v>
      </c>
      <c r="L94" s="80">
        <f t="shared" si="25"/>
        <v>0</v>
      </c>
      <c r="M94" s="179">
        <v>0</v>
      </c>
      <c r="N94" s="80">
        <f t="shared" si="26"/>
        <v>0</v>
      </c>
      <c r="O94" s="179">
        <v>0</v>
      </c>
      <c r="P94" s="80">
        <f t="shared" si="27"/>
        <v>0</v>
      </c>
      <c r="Q94" s="179">
        <v>0</v>
      </c>
      <c r="R94" s="80">
        <f t="shared" si="28"/>
        <v>0</v>
      </c>
      <c r="S94" s="179">
        <v>0</v>
      </c>
      <c r="T94" s="80">
        <f t="shared" si="29"/>
        <v>0</v>
      </c>
      <c r="U94" s="179">
        <v>0</v>
      </c>
      <c r="V94" s="80">
        <f t="shared" si="30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1"/>
        <v>0</v>
      </c>
      <c r="E95" s="179">
        <v>0</v>
      </c>
      <c r="F95" s="80">
        <f t="shared" si="22"/>
        <v>0</v>
      </c>
      <c r="G95" s="179">
        <v>0</v>
      </c>
      <c r="H95" s="80">
        <f t="shared" si="23"/>
        <v>0</v>
      </c>
      <c r="I95" s="179">
        <v>0</v>
      </c>
      <c r="J95" s="80">
        <f t="shared" si="24"/>
        <v>0</v>
      </c>
      <c r="K95" s="179">
        <v>0</v>
      </c>
      <c r="L95" s="80">
        <f t="shared" si="25"/>
        <v>0</v>
      </c>
      <c r="M95" s="179">
        <v>0</v>
      </c>
      <c r="N95" s="80">
        <f t="shared" si="26"/>
        <v>0</v>
      </c>
      <c r="O95" s="179">
        <v>0</v>
      </c>
      <c r="P95" s="80">
        <f t="shared" si="27"/>
        <v>0</v>
      </c>
      <c r="Q95" s="179">
        <v>0</v>
      </c>
      <c r="R95" s="80">
        <f t="shared" si="28"/>
        <v>0</v>
      </c>
      <c r="S95" s="179">
        <v>0</v>
      </c>
      <c r="T95" s="80">
        <f t="shared" si="29"/>
        <v>0</v>
      </c>
      <c r="U95" s="179">
        <v>0</v>
      </c>
      <c r="V95" s="80">
        <f t="shared" si="30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1"/>
        <v>0</v>
      </c>
      <c r="E96" s="179">
        <v>0</v>
      </c>
      <c r="F96" s="80">
        <f t="shared" si="22"/>
        <v>0</v>
      </c>
      <c r="G96" s="179">
        <v>0</v>
      </c>
      <c r="H96" s="80">
        <f t="shared" si="23"/>
        <v>0</v>
      </c>
      <c r="I96" s="179">
        <v>0</v>
      </c>
      <c r="J96" s="80">
        <f t="shared" si="24"/>
        <v>0</v>
      </c>
      <c r="K96" s="179">
        <v>0</v>
      </c>
      <c r="L96" s="80">
        <f t="shared" si="25"/>
        <v>0</v>
      </c>
      <c r="M96" s="179">
        <v>0</v>
      </c>
      <c r="N96" s="80">
        <f t="shared" si="26"/>
        <v>0</v>
      </c>
      <c r="O96" s="179">
        <v>0</v>
      </c>
      <c r="P96" s="80">
        <f t="shared" si="27"/>
        <v>0</v>
      </c>
      <c r="Q96" s="179">
        <v>0</v>
      </c>
      <c r="R96" s="80">
        <f t="shared" si="28"/>
        <v>0</v>
      </c>
      <c r="S96" s="179">
        <v>0</v>
      </c>
      <c r="T96" s="80">
        <f t="shared" si="29"/>
        <v>0</v>
      </c>
      <c r="U96" s="179">
        <v>0</v>
      </c>
      <c r="V96" s="80">
        <f t="shared" si="30"/>
        <v>0</v>
      </c>
      <c r="X96" s="200"/>
    </row>
    <row r="97" spans="1:24" ht="12.75" customHeight="1">
      <c r="A97" s="2" t="s">
        <v>428</v>
      </c>
      <c r="B97" s="35"/>
      <c r="C97" s="179">
        <v>6413.4881999999998</v>
      </c>
      <c r="D97" s="80">
        <f t="shared" si="21"/>
        <v>1.3735026469983553E-2</v>
      </c>
      <c r="E97" s="179">
        <v>0</v>
      </c>
      <c r="F97" s="80">
        <f t="shared" si="22"/>
        <v>0</v>
      </c>
      <c r="G97" s="179">
        <v>0</v>
      </c>
      <c r="H97" s="80">
        <f t="shared" si="23"/>
        <v>0</v>
      </c>
      <c r="I97" s="179">
        <v>0</v>
      </c>
      <c r="J97" s="80">
        <f t="shared" si="24"/>
        <v>0</v>
      </c>
      <c r="K97" s="179">
        <v>0</v>
      </c>
      <c r="L97" s="80">
        <f t="shared" si="25"/>
        <v>0</v>
      </c>
      <c r="M97" s="179">
        <v>0</v>
      </c>
      <c r="N97" s="80">
        <f t="shared" si="26"/>
        <v>0</v>
      </c>
      <c r="O97" s="179">
        <v>0</v>
      </c>
      <c r="P97" s="80">
        <f t="shared" si="27"/>
        <v>0</v>
      </c>
      <c r="Q97" s="179">
        <v>0</v>
      </c>
      <c r="R97" s="80">
        <f t="shared" si="28"/>
        <v>0</v>
      </c>
      <c r="S97" s="179">
        <v>0</v>
      </c>
      <c r="T97" s="80">
        <f t="shared" si="29"/>
        <v>0</v>
      </c>
      <c r="U97" s="179">
        <v>0</v>
      </c>
      <c r="V97" s="80">
        <f t="shared" si="30"/>
        <v>0</v>
      </c>
      <c r="X97" s="200"/>
    </row>
    <row r="98" spans="1:24" ht="12.75" customHeight="1">
      <c r="A98" s="117" t="s">
        <v>431</v>
      </c>
      <c r="B98" s="35"/>
      <c r="C98" s="179">
        <v>560.33279999999991</v>
      </c>
      <c r="D98" s="80">
        <f t="shared" si="21"/>
        <v>1.1999999999999999E-3</v>
      </c>
      <c r="E98" s="179">
        <v>0</v>
      </c>
      <c r="F98" s="80">
        <f t="shared" si="22"/>
        <v>0</v>
      </c>
      <c r="G98" s="179">
        <v>0</v>
      </c>
      <c r="H98" s="80">
        <f t="shared" si="23"/>
        <v>0</v>
      </c>
      <c r="I98" s="179">
        <v>0</v>
      </c>
      <c r="J98" s="80">
        <f t="shared" si="24"/>
        <v>0</v>
      </c>
      <c r="K98" s="179">
        <v>0</v>
      </c>
      <c r="L98" s="80">
        <f t="shared" si="25"/>
        <v>0</v>
      </c>
      <c r="M98" s="179">
        <v>0</v>
      </c>
      <c r="N98" s="80">
        <f t="shared" si="26"/>
        <v>0</v>
      </c>
      <c r="O98" s="179">
        <v>0</v>
      </c>
      <c r="P98" s="80">
        <f t="shared" si="27"/>
        <v>0</v>
      </c>
      <c r="Q98" s="179">
        <v>0</v>
      </c>
      <c r="R98" s="80">
        <f t="shared" si="28"/>
        <v>0</v>
      </c>
      <c r="S98" s="179">
        <v>0</v>
      </c>
      <c r="T98" s="80">
        <f t="shared" si="29"/>
        <v>0</v>
      </c>
      <c r="U98" s="179">
        <v>0</v>
      </c>
      <c r="V98" s="80">
        <f t="shared" si="30"/>
        <v>0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1"/>
        <v>0</v>
      </c>
      <c r="E99" s="179">
        <v>0</v>
      </c>
      <c r="F99" s="80">
        <f t="shared" si="22"/>
        <v>0</v>
      </c>
      <c r="G99" s="179">
        <v>0</v>
      </c>
      <c r="H99" s="80">
        <f t="shared" si="23"/>
        <v>0</v>
      </c>
      <c r="I99" s="179">
        <v>0</v>
      </c>
      <c r="J99" s="80">
        <f t="shared" si="24"/>
        <v>0</v>
      </c>
      <c r="K99" s="179">
        <v>0</v>
      </c>
      <c r="L99" s="80">
        <f t="shared" si="25"/>
        <v>0</v>
      </c>
      <c r="M99" s="179">
        <v>0</v>
      </c>
      <c r="N99" s="80">
        <f t="shared" si="26"/>
        <v>0</v>
      </c>
      <c r="O99" s="179">
        <v>0</v>
      </c>
      <c r="P99" s="80">
        <f t="shared" si="27"/>
        <v>0</v>
      </c>
      <c r="Q99" s="179">
        <v>0</v>
      </c>
      <c r="R99" s="80">
        <f t="shared" si="28"/>
        <v>0</v>
      </c>
      <c r="S99" s="179">
        <v>0</v>
      </c>
      <c r="T99" s="80">
        <f t="shared" si="29"/>
        <v>0</v>
      </c>
      <c r="U99" s="179">
        <v>0</v>
      </c>
      <c r="V99" s="80">
        <f t="shared" si="30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1"/>
        <v>0</v>
      </c>
      <c r="E100" s="179">
        <v>0</v>
      </c>
      <c r="F100" s="80">
        <f t="shared" si="22"/>
        <v>0</v>
      </c>
      <c r="G100" s="179">
        <v>0</v>
      </c>
      <c r="H100" s="80">
        <f t="shared" si="23"/>
        <v>0</v>
      </c>
      <c r="I100" s="179">
        <v>0</v>
      </c>
      <c r="J100" s="80">
        <f t="shared" si="24"/>
        <v>0</v>
      </c>
      <c r="K100" s="179">
        <v>0</v>
      </c>
      <c r="L100" s="80">
        <f t="shared" si="25"/>
        <v>0</v>
      </c>
      <c r="M100" s="179">
        <v>0</v>
      </c>
      <c r="N100" s="80">
        <f t="shared" si="26"/>
        <v>0</v>
      </c>
      <c r="O100" s="179">
        <v>0</v>
      </c>
      <c r="P100" s="80">
        <f t="shared" si="27"/>
        <v>0</v>
      </c>
      <c r="Q100" s="179">
        <v>0</v>
      </c>
      <c r="R100" s="80">
        <f t="shared" si="28"/>
        <v>0</v>
      </c>
      <c r="S100" s="179">
        <v>0</v>
      </c>
      <c r="T100" s="80">
        <f t="shared" si="29"/>
        <v>0</v>
      </c>
      <c r="U100" s="179">
        <v>0</v>
      </c>
      <c r="V100" s="80">
        <f t="shared" si="30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1"/>
        <v>0</v>
      </c>
      <c r="E101" s="179"/>
      <c r="F101" s="80">
        <f t="shared" si="22"/>
        <v>0</v>
      </c>
      <c r="G101" s="179"/>
      <c r="H101" s="80">
        <f t="shared" si="23"/>
        <v>0</v>
      </c>
      <c r="I101" s="179">
        <v>0</v>
      </c>
      <c r="J101" s="80">
        <f t="shared" si="24"/>
        <v>0</v>
      </c>
      <c r="K101" s="179">
        <v>0</v>
      </c>
      <c r="L101" s="80">
        <f t="shared" si="25"/>
        <v>0</v>
      </c>
      <c r="M101" s="179">
        <v>0</v>
      </c>
      <c r="N101" s="80">
        <f t="shared" si="26"/>
        <v>0</v>
      </c>
      <c r="O101" s="179">
        <v>0</v>
      </c>
      <c r="P101" s="80">
        <f t="shared" si="27"/>
        <v>0</v>
      </c>
      <c r="Q101" s="179">
        <v>0</v>
      </c>
      <c r="R101" s="80">
        <f t="shared" si="28"/>
        <v>0</v>
      </c>
      <c r="S101" s="179">
        <v>0</v>
      </c>
      <c r="T101" s="80">
        <f t="shared" si="29"/>
        <v>0</v>
      </c>
      <c r="U101" s="179">
        <v>0</v>
      </c>
      <c r="V101" s="80">
        <f t="shared" si="30"/>
        <v>0</v>
      </c>
      <c r="X101" s="200"/>
    </row>
    <row r="102" spans="1:24" ht="12.75" customHeight="1">
      <c r="A102" s="117" t="s">
        <v>433</v>
      </c>
      <c r="B102" s="35"/>
      <c r="C102" s="179">
        <v>4669.4400000000005</v>
      </c>
      <c r="D102" s="80">
        <f t="shared" si="21"/>
        <v>1.0000000000000002E-2</v>
      </c>
      <c r="E102" s="179">
        <v>0</v>
      </c>
      <c r="F102" s="80">
        <f t="shared" si="22"/>
        <v>0</v>
      </c>
      <c r="G102" s="179">
        <v>0</v>
      </c>
      <c r="H102" s="80">
        <f t="shared" si="23"/>
        <v>0</v>
      </c>
      <c r="I102" s="179">
        <v>0</v>
      </c>
      <c r="J102" s="80">
        <f t="shared" si="24"/>
        <v>0</v>
      </c>
      <c r="K102" s="179">
        <v>0</v>
      </c>
      <c r="L102" s="80">
        <f t="shared" si="25"/>
        <v>0</v>
      </c>
      <c r="M102" s="179">
        <v>0</v>
      </c>
      <c r="N102" s="80">
        <f t="shared" si="26"/>
        <v>0</v>
      </c>
      <c r="O102" s="179">
        <v>0</v>
      </c>
      <c r="P102" s="80">
        <f t="shared" si="27"/>
        <v>0</v>
      </c>
      <c r="Q102" s="179">
        <v>0</v>
      </c>
      <c r="R102" s="80">
        <f t="shared" si="28"/>
        <v>0</v>
      </c>
      <c r="S102" s="179">
        <v>0</v>
      </c>
      <c r="T102" s="80">
        <f t="shared" si="29"/>
        <v>0</v>
      </c>
      <c r="U102" s="179">
        <v>0</v>
      </c>
      <c r="V102" s="80">
        <f t="shared" si="30"/>
        <v>0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1"/>
        <v>0</v>
      </c>
      <c r="E103" s="179">
        <v>0</v>
      </c>
      <c r="F103" s="80">
        <f t="shared" si="22"/>
        <v>0</v>
      </c>
      <c r="G103" s="179">
        <v>0</v>
      </c>
      <c r="H103" s="80">
        <f t="shared" si="23"/>
        <v>0</v>
      </c>
      <c r="I103" s="179">
        <v>0</v>
      </c>
      <c r="J103" s="80">
        <f t="shared" si="24"/>
        <v>0</v>
      </c>
      <c r="K103" s="179">
        <v>0</v>
      </c>
      <c r="L103" s="80">
        <f t="shared" si="25"/>
        <v>0</v>
      </c>
      <c r="M103" s="179">
        <v>0</v>
      </c>
      <c r="N103" s="80">
        <f t="shared" si="26"/>
        <v>0</v>
      </c>
      <c r="O103" s="179">
        <v>0</v>
      </c>
      <c r="P103" s="80">
        <f t="shared" si="27"/>
        <v>0</v>
      </c>
      <c r="Q103" s="179">
        <v>0</v>
      </c>
      <c r="R103" s="80">
        <f t="shared" si="28"/>
        <v>0</v>
      </c>
      <c r="S103" s="179">
        <v>0</v>
      </c>
      <c r="T103" s="80">
        <f t="shared" si="29"/>
        <v>0</v>
      </c>
      <c r="U103" s="179">
        <v>0</v>
      </c>
      <c r="V103" s="80">
        <f t="shared" si="30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1"/>
        <v>0</v>
      </c>
      <c r="E104" s="179">
        <v>0</v>
      </c>
      <c r="F104" s="80">
        <f t="shared" si="22"/>
        <v>0</v>
      </c>
      <c r="G104" s="179">
        <v>0</v>
      </c>
      <c r="H104" s="80">
        <f t="shared" si="23"/>
        <v>0</v>
      </c>
      <c r="I104" s="179">
        <v>0</v>
      </c>
      <c r="J104" s="80">
        <f t="shared" si="24"/>
        <v>0</v>
      </c>
      <c r="K104" s="179">
        <v>0</v>
      </c>
      <c r="L104" s="80">
        <f t="shared" si="25"/>
        <v>0</v>
      </c>
      <c r="M104" s="179">
        <v>0</v>
      </c>
      <c r="N104" s="80">
        <f t="shared" si="26"/>
        <v>0</v>
      </c>
      <c r="O104" s="179">
        <v>0</v>
      </c>
      <c r="P104" s="80">
        <f t="shared" si="27"/>
        <v>0</v>
      </c>
      <c r="Q104" s="179">
        <v>0</v>
      </c>
      <c r="R104" s="80">
        <f t="shared" si="28"/>
        <v>0</v>
      </c>
      <c r="S104" s="179">
        <v>0</v>
      </c>
      <c r="T104" s="80">
        <f t="shared" si="29"/>
        <v>0</v>
      </c>
      <c r="U104" s="179">
        <v>0</v>
      </c>
      <c r="V104" s="80">
        <f t="shared" si="30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83100.838585072168</v>
      </c>
      <c r="D105" s="83">
        <f t="shared" ref="D105" si="31">IFERROR(C105/C$28,0)</f>
        <v>0.1779674620191547</v>
      </c>
      <c r="E105" s="82">
        <f>SUM(E52:E104)</f>
        <v>0</v>
      </c>
      <c r="F105" s="83">
        <f t="shared" ref="F105" si="32">IFERROR(E105/E$28,0)</f>
        <v>0</v>
      </c>
      <c r="G105" s="82">
        <f>SUM(G52:G104)</f>
        <v>0</v>
      </c>
      <c r="H105" s="83">
        <f t="shared" ref="H105" si="33">IFERROR(G105/G$28,0)</f>
        <v>0</v>
      </c>
      <c r="I105" s="82">
        <f>SUM(I52:I104)</f>
        <v>0</v>
      </c>
      <c r="J105" s="83">
        <f t="shared" ref="J105" si="34">IFERROR(I105/I$28,0)</f>
        <v>0</v>
      </c>
      <c r="K105" s="82">
        <f>SUM(K52:K104)</f>
        <v>0</v>
      </c>
      <c r="L105" s="83">
        <f t="shared" ref="L105" si="35">IFERROR(K105/K$28,0)</f>
        <v>0</v>
      </c>
      <c r="M105" s="82">
        <f>SUM(M52:M104)</f>
        <v>0</v>
      </c>
      <c r="N105" s="83">
        <f t="shared" ref="N105" si="36">IFERROR(M105/M$28,0)</f>
        <v>0</v>
      </c>
      <c r="O105" s="82">
        <f>SUM(O52:O104)</f>
        <v>0</v>
      </c>
      <c r="P105" s="83">
        <f t="shared" ref="P105" si="37">IFERROR(O105/O$28,0)</f>
        <v>0</v>
      </c>
      <c r="Q105" s="82">
        <f>SUM(Q52:Q104)</f>
        <v>0</v>
      </c>
      <c r="R105" s="83">
        <f t="shared" ref="R105" si="38">IFERROR(Q105/Q$28,0)</f>
        <v>0</v>
      </c>
      <c r="S105" s="82">
        <f>SUM(S52:S104)</f>
        <v>0</v>
      </c>
      <c r="T105" s="83">
        <f t="shared" ref="T105" si="39">IFERROR(S105/S$28,0)</f>
        <v>0</v>
      </c>
      <c r="U105" s="82">
        <f>SUM(U52:U104)</f>
        <v>0</v>
      </c>
      <c r="V105" s="83">
        <f t="shared" si="30"/>
        <v>0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67913.937414927845</v>
      </c>
      <c r="D107" s="83">
        <f>IFERROR(C107/C$28,0)</f>
        <v>0.14544343093588918</v>
      </c>
      <c r="E107" s="82">
        <f>E28-E33-E46-E105</f>
        <v>0</v>
      </c>
      <c r="F107" s="83">
        <f>IFERROR(E107/E$28,0)</f>
        <v>0</v>
      </c>
      <c r="G107" s="82">
        <f>G28-G33-G46-G105</f>
        <v>0</v>
      </c>
      <c r="H107" s="83">
        <f>IFERROR(G107/G$28,0)</f>
        <v>0</v>
      </c>
      <c r="I107" s="82">
        <f>I28-I33-I46-I105</f>
        <v>0</v>
      </c>
      <c r="J107" s="83">
        <f>IFERROR(I107/I$28,0)</f>
        <v>0</v>
      </c>
      <c r="K107" s="82">
        <f>K28-K33-K46-K105</f>
        <v>0</v>
      </c>
      <c r="L107" s="83">
        <f>IFERROR(K107/K$28,0)</f>
        <v>0</v>
      </c>
      <c r="M107" s="82">
        <f>M28-M33-M46-M105</f>
        <v>0</v>
      </c>
      <c r="N107" s="83">
        <f>IFERROR(M107/M$28,0)</f>
        <v>0</v>
      </c>
      <c r="O107" s="82">
        <f>O28-O33-O46-O105</f>
        <v>0</v>
      </c>
      <c r="P107" s="83">
        <f>IFERROR(O107/O$28,0)</f>
        <v>0</v>
      </c>
      <c r="Q107" s="82">
        <f>Q28-Q33-Q46-Q105</f>
        <v>0</v>
      </c>
      <c r="R107" s="83">
        <f>IFERROR(Q107/Q$28,0)</f>
        <v>0</v>
      </c>
      <c r="S107" s="82">
        <f>S28-S33-S46-S105</f>
        <v>0</v>
      </c>
      <c r="T107" s="83">
        <f>IFERROR(S107/S$28,0)</f>
        <v>0</v>
      </c>
      <c r="U107" s="82">
        <f>U28-U33-U46-U105</f>
        <v>0</v>
      </c>
      <c r="V107" s="83">
        <f>IFERROR(U107/U$28,0)</f>
        <v>0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 tint="0.59999389629810485"/>
  </sheetPr>
  <dimension ref="A1:X119"/>
  <sheetViews>
    <sheetView topLeftCell="A36" zoomScale="70" zoomScaleNormal="70" workbookViewId="0" xr3:uid="{731C365F-4EDE-5636-9D2D-917179ED8537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42.425781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43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Jamba Juice (Graham Center)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220</v>
      </c>
      <c r="E8" s="109">
        <f>+C8</f>
        <v>220</v>
      </c>
      <c r="G8" s="109">
        <f>+E8</f>
        <v>220</v>
      </c>
      <c r="I8" s="109">
        <f>+G8</f>
        <v>220</v>
      </c>
      <c r="K8" s="109">
        <f>+I8</f>
        <v>220</v>
      </c>
      <c r="M8" s="109">
        <f>+K8</f>
        <v>220</v>
      </c>
      <c r="O8" s="109">
        <f>+M8</f>
        <v>220</v>
      </c>
      <c r="Q8" s="109">
        <f>+O8</f>
        <v>220</v>
      </c>
      <c r="S8" s="109">
        <f>+Q8</f>
        <v>220</v>
      </c>
      <c r="U8" s="109">
        <f>+S8</f>
        <v>220</v>
      </c>
    </row>
    <row r="10" spans="1:22" ht="12.75" customHeight="1">
      <c r="A10" s="2" t="s">
        <v>449</v>
      </c>
      <c r="C10" s="109">
        <f>+C14/C8/C12</f>
        <v>438.38181818181812</v>
      </c>
      <c r="E10" s="109">
        <f>+E14/E8/E12</f>
        <v>475.13462147608493</v>
      </c>
      <c r="G10" s="109">
        <f>+G14/G8/G12</f>
        <v>482.9545454545455</v>
      </c>
      <c r="I10" s="109">
        <f>+I14/I8/I12</f>
        <v>491.75988656057984</v>
      </c>
      <c r="K10" s="109">
        <f>+K14/K8/K12</f>
        <v>499.86245878473864</v>
      </c>
      <c r="M10" s="109">
        <f>+M14/M8/M12</f>
        <v>508.10459708965743</v>
      </c>
      <c r="O10" s="109">
        <f>+O14/O8/O12</f>
        <v>516.48875870887264</v>
      </c>
      <c r="Q10" s="109">
        <f>+Q14/Q8/Q12</f>
        <v>525.01744487832184</v>
      </c>
      <c r="S10" s="109">
        <f>+S14/S8/S12</f>
        <v>533.69320163355121</v>
      </c>
      <c r="U10" s="109">
        <f>+U14/U8/U12</f>
        <v>542.5186206215152</v>
      </c>
    </row>
    <row r="12" spans="1:22" ht="12.75" customHeight="1">
      <c r="A12" s="2" t="s">
        <v>450</v>
      </c>
      <c r="C12" s="110">
        <v>5.68</v>
      </c>
      <c r="E12" s="110">
        <v>5.74</v>
      </c>
      <c r="G12" s="110">
        <v>5.76</v>
      </c>
      <c r="I12" s="110">
        <v>5.77</v>
      </c>
      <c r="K12" s="110">
        <v>5.79</v>
      </c>
      <c r="M12" s="110">
        <v>5.81</v>
      </c>
      <c r="O12" s="110">
        <v>5.83</v>
      </c>
      <c r="Q12" s="110">
        <v>5.85</v>
      </c>
      <c r="S12" s="110">
        <v>5.87</v>
      </c>
      <c r="U12" s="110">
        <v>5.89</v>
      </c>
    </row>
    <row r="14" spans="1:22" ht="12.75" customHeight="1">
      <c r="A14" s="2" t="s">
        <v>451</v>
      </c>
      <c r="C14" s="121">
        <v>547801.91999999993</v>
      </c>
      <c r="E14" s="121">
        <v>600000</v>
      </c>
      <c r="G14" s="121">
        <f>+E14*1.02</f>
        <v>612000</v>
      </c>
      <c r="I14" s="121">
        <f>+G14*1.02</f>
        <v>624240</v>
      </c>
      <c r="K14" s="121">
        <f>+I14*1.02</f>
        <v>636724.80000000005</v>
      </c>
      <c r="M14" s="121">
        <f>+K14*1.02</f>
        <v>649459.29600000009</v>
      </c>
      <c r="O14" s="121">
        <f>+M14*1.02</f>
        <v>662448.48192000005</v>
      </c>
      <c r="Q14" s="121">
        <f>+O14*1.02</f>
        <v>675697.45155840006</v>
      </c>
      <c r="S14" s="121">
        <f>+Q14*1.02</f>
        <v>689211.40058956807</v>
      </c>
      <c r="U14" s="121">
        <f>+S14*1.02</f>
        <v>702995.62860135944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+C14-C20-C21</f>
        <v>463549.98470399994</v>
      </c>
      <c r="D19" s="80">
        <f>IFERROR(C19/C$28,0)</f>
        <v>0.84620000000000006</v>
      </c>
      <c r="E19" s="208">
        <f>+E14-E20-E21</f>
        <v>258780</v>
      </c>
      <c r="F19" s="80">
        <f>IFERROR(E19/E$28,0)</f>
        <v>0.43130000000000002</v>
      </c>
      <c r="G19" s="208">
        <f>+G14-G20-G21</f>
        <v>517874.4</v>
      </c>
      <c r="H19" s="80">
        <f>IFERROR(G19/G$28,0)</f>
        <v>0.84620000000000006</v>
      </c>
      <c r="I19" s="208">
        <f>+I14-I20-I21</f>
        <v>528231.88800000004</v>
      </c>
      <c r="J19" s="80">
        <f>IFERROR(I19/I$28,0)</f>
        <v>0.84620000000000006</v>
      </c>
      <c r="K19" s="208">
        <f>+K14-K20-K21</f>
        <v>538796.52576000011</v>
      </c>
      <c r="L19" s="80">
        <f>IFERROR(K19/K$28,0)</f>
        <v>0.84620000000000006</v>
      </c>
      <c r="M19" s="208">
        <f>+M14-M20-M21</f>
        <v>549572.45627520012</v>
      </c>
      <c r="N19" s="80">
        <f>IFERROR(M19/M$28,0)</f>
        <v>0.84620000000000006</v>
      </c>
      <c r="O19" s="208">
        <f>+O14-O20-O21</f>
        <v>560563.90540070401</v>
      </c>
      <c r="P19" s="80">
        <f>IFERROR(O19/O$28,0)</f>
        <v>0.84619999999999995</v>
      </c>
      <c r="Q19" s="208">
        <f>+Q14-Q20-Q21</f>
        <v>571775.18350871815</v>
      </c>
      <c r="R19" s="80">
        <f>IFERROR(Q19/Q$28,0)</f>
        <v>0.84620000000000006</v>
      </c>
      <c r="S19" s="208">
        <f>+S14-S20-S21</f>
        <v>583210.68717889255</v>
      </c>
      <c r="T19" s="80">
        <f>IFERROR(S19/S$28,0)</f>
        <v>0.84620000000000006</v>
      </c>
      <c r="U19" s="208">
        <f>+U14-U20-U21</f>
        <v>594874.90092247038</v>
      </c>
      <c r="V19" s="80">
        <f>IFERROR(U19/U$28,0)</f>
        <v>0.84620000000000006</v>
      </c>
    </row>
    <row r="20" spans="1:24" ht="12.75" customHeight="1">
      <c r="A20" s="2" t="s">
        <v>357</v>
      </c>
      <c r="B20" s="35"/>
      <c r="C20" s="111">
        <f>+C14*12.38%</f>
        <v>67817.877695999996</v>
      </c>
      <c r="D20" s="80">
        <f>IFERROR(C20/C$28,0)</f>
        <v>0.12380000000000001</v>
      </c>
      <c r="E20" s="111">
        <f>+E14*53.87%</f>
        <v>323220</v>
      </c>
      <c r="F20" s="80">
        <f>IFERROR(E20/E$28,0)</f>
        <v>0.53869999999999996</v>
      </c>
      <c r="G20" s="111">
        <f>+G14*12.38%</f>
        <v>75765.600000000006</v>
      </c>
      <c r="H20" s="80">
        <f>IFERROR(G20/G$28,0)</f>
        <v>0.12380000000000001</v>
      </c>
      <c r="I20" s="111">
        <f>+I14*12.38%</f>
        <v>77280.912000000011</v>
      </c>
      <c r="J20" s="80">
        <f>IFERROR(I20/I$28,0)</f>
        <v>0.12380000000000002</v>
      </c>
      <c r="K20" s="111">
        <f>+K14*12.38%</f>
        <v>78826.530240000007</v>
      </c>
      <c r="L20" s="80">
        <f>IFERROR(K20/K$28,0)</f>
        <v>0.12380000000000001</v>
      </c>
      <c r="M20" s="111">
        <f>+M14*12.38%</f>
        <v>80403.060844800013</v>
      </c>
      <c r="N20" s="80">
        <f>IFERROR(M20/M$28,0)</f>
        <v>0.12380000000000001</v>
      </c>
      <c r="O20" s="111">
        <f>+O14*12.38%</f>
        <v>82011.122061696005</v>
      </c>
      <c r="P20" s="80">
        <f>IFERROR(O20/O$28,0)</f>
        <v>0.12379999999999999</v>
      </c>
      <c r="Q20" s="111">
        <f>+Q14*12.38%</f>
        <v>83651.344502929933</v>
      </c>
      <c r="R20" s="80">
        <f>IFERROR(Q20/Q$28,0)</f>
        <v>0.12380000000000001</v>
      </c>
      <c r="S20" s="111">
        <f>+S14*12.38%</f>
        <v>85324.371392988527</v>
      </c>
      <c r="T20" s="80">
        <f>IFERROR(S20/S$28,0)</f>
        <v>0.12379999999999999</v>
      </c>
      <c r="U20" s="111">
        <f>+U14*12.38%</f>
        <v>87030.858820848298</v>
      </c>
      <c r="V20" s="80">
        <f>IFERROR(U20/U$28,0)</f>
        <v>0.12379999999999999</v>
      </c>
    </row>
    <row r="21" spans="1:24" ht="12.75" customHeight="1">
      <c r="A21" s="191" t="s">
        <v>358</v>
      </c>
      <c r="B21" s="203"/>
      <c r="C21" s="111">
        <f>+C14*0.03</f>
        <v>16434.057599999996</v>
      </c>
      <c r="D21" s="80">
        <f>IFERROR(C21/C$28,0)</f>
        <v>0.03</v>
      </c>
      <c r="E21" s="111">
        <f>+E14*0.03</f>
        <v>18000</v>
      </c>
      <c r="F21" s="80">
        <f>IFERROR(E21/E$28,0)</f>
        <v>0.03</v>
      </c>
      <c r="G21" s="111">
        <f>+G14*0.03</f>
        <v>18360</v>
      </c>
      <c r="H21" s="80">
        <f>IFERROR(G21/G$28,0)</f>
        <v>0.03</v>
      </c>
      <c r="I21" s="111">
        <f>+I14*0.03</f>
        <v>18727.2</v>
      </c>
      <c r="J21" s="80">
        <f>IFERROR(I21/I$28,0)</f>
        <v>3.0000000000000002E-2</v>
      </c>
      <c r="K21" s="111">
        <f>+K14*0.03</f>
        <v>19101.744000000002</v>
      </c>
      <c r="L21" s="80">
        <f>IFERROR(K21/K$28,0)</f>
        <v>3.0000000000000002E-2</v>
      </c>
      <c r="M21" s="111">
        <f>+M14*0.03</f>
        <v>19483.778880000002</v>
      </c>
      <c r="N21" s="80">
        <f>IFERROR(M21/M$28,0)</f>
        <v>0.03</v>
      </c>
      <c r="O21" s="111">
        <f>+O14*0.03</f>
        <v>19873.454457600001</v>
      </c>
      <c r="P21" s="80">
        <f>IFERROR(O21/O$28,0)</f>
        <v>0.03</v>
      </c>
      <c r="Q21" s="111">
        <f>+Q14*0.03</f>
        <v>20270.923546752001</v>
      </c>
      <c r="R21" s="80">
        <f>IFERROR(Q21/Q$28,0)</f>
        <v>0.03</v>
      </c>
      <c r="S21" s="111">
        <f>+S14*0.03</f>
        <v>20676.342017687042</v>
      </c>
      <c r="T21" s="80">
        <f>IFERROR(S21/S$28,0)</f>
        <v>0.03</v>
      </c>
      <c r="U21" s="111">
        <f>+U14*0.03</f>
        <v>21089.868858040783</v>
      </c>
      <c r="V21" s="80">
        <f>IFERROR(U21/U$28,0)</f>
        <v>0.03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0">IFERROR(C23/C$28,0)</f>
        <v>0</v>
      </c>
      <c r="E23" s="79"/>
      <c r="F23" s="80">
        <f t="shared" ref="F23:F28" si="1">IFERROR(E23/E$28,0)</f>
        <v>0</v>
      </c>
      <c r="G23" s="79"/>
      <c r="H23" s="80">
        <f t="shared" ref="H23:H28" si="2">IFERROR(G23/G$28,0)</f>
        <v>0</v>
      </c>
      <c r="I23" s="79"/>
      <c r="J23" s="80">
        <f t="shared" ref="J23:J28" si="3">IFERROR(I23/I$28,0)</f>
        <v>0</v>
      </c>
      <c r="K23" s="79"/>
      <c r="L23" s="80">
        <f t="shared" ref="L23:L28" si="4">IFERROR(K23/K$28,0)</f>
        <v>0</v>
      </c>
      <c r="M23" s="79"/>
      <c r="N23" s="80">
        <f t="shared" ref="N23:N28" si="5">IFERROR(M23/M$28,0)</f>
        <v>0</v>
      </c>
      <c r="O23" s="79"/>
      <c r="P23" s="80">
        <f t="shared" ref="P23:P28" si="6">IFERROR(O23/O$28,0)</f>
        <v>0</v>
      </c>
      <c r="Q23" s="79"/>
      <c r="R23" s="80">
        <f t="shared" ref="R23:R28" si="7">IFERROR(Q23/Q$28,0)</f>
        <v>0</v>
      </c>
      <c r="S23" s="79"/>
      <c r="T23" s="80">
        <f t="shared" ref="T23:T28" si="8">IFERROR(S23/S$28,0)</f>
        <v>0</v>
      </c>
      <c r="U23" s="79"/>
      <c r="V23" s="80">
        <f t="shared" ref="V23:V28" si="9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0"/>
        <v>0</v>
      </c>
      <c r="E24" s="79"/>
      <c r="F24" s="80">
        <f t="shared" si="1"/>
        <v>0</v>
      </c>
      <c r="G24" s="79"/>
      <c r="H24" s="80">
        <f t="shared" si="2"/>
        <v>0</v>
      </c>
      <c r="I24" s="79"/>
      <c r="J24" s="80">
        <f t="shared" si="3"/>
        <v>0</v>
      </c>
      <c r="K24" s="79"/>
      <c r="L24" s="80">
        <f t="shared" si="4"/>
        <v>0</v>
      </c>
      <c r="M24" s="79"/>
      <c r="N24" s="80">
        <f t="shared" si="5"/>
        <v>0</v>
      </c>
      <c r="O24" s="79"/>
      <c r="P24" s="80">
        <f t="shared" si="6"/>
        <v>0</v>
      </c>
      <c r="Q24" s="79"/>
      <c r="R24" s="80">
        <f t="shared" si="7"/>
        <v>0</v>
      </c>
      <c r="S24" s="79"/>
      <c r="T24" s="80">
        <f t="shared" si="8"/>
        <v>0</v>
      </c>
      <c r="U24" s="79"/>
      <c r="V24" s="80">
        <f t="shared" si="9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0"/>
        <v>0</v>
      </c>
      <c r="E25" s="111"/>
      <c r="F25" s="80">
        <f t="shared" si="1"/>
        <v>0</v>
      </c>
      <c r="G25" s="111"/>
      <c r="H25" s="80">
        <f t="shared" si="2"/>
        <v>0</v>
      </c>
      <c r="I25" s="111"/>
      <c r="J25" s="80">
        <f t="shared" si="3"/>
        <v>0</v>
      </c>
      <c r="K25" s="111"/>
      <c r="L25" s="80">
        <f t="shared" si="4"/>
        <v>0</v>
      </c>
      <c r="M25" s="111"/>
      <c r="N25" s="80">
        <f t="shared" si="5"/>
        <v>0</v>
      </c>
      <c r="O25" s="111"/>
      <c r="P25" s="80">
        <f t="shared" si="6"/>
        <v>0</v>
      </c>
      <c r="Q25" s="111"/>
      <c r="R25" s="80">
        <f t="shared" si="7"/>
        <v>0</v>
      </c>
      <c r="S25" s="111"/>
      <c r="T25" s="80">
        <f t="shared" si="8"/>
        <v>0</v>
      </c>
      <c r="U25" s="111"/>
      <c r="V25" s="80">
        <f t="shared" si="9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0"/>
        <v>0</v>
      </c>
      <c r="E26" s="79"/>
      <c r="F26" s="80">
        <f t="shared" si="1"/>
        <v>0</v>
      </c>
      <c r="G26" s="79"/>
      <c r="H26" s="80">
        <f t="shared" si="2"/>
        <v>0</v>
      </c>
      <c r="I26" s="79"/>
      <c r="J26" s="80">
        <f t="shared" si="3"/>
        <v>0</v>
      </c>
      <c r="K26" s="79"/>
      <c r="L26" s="80">
        <f t="shared" si="4"/>
        <v>0</v>
      </c>
      <c r="M26" s="79"/>
      <c r="N26" s="80">
        <f t="shared" si="5"/>
        <v>0</v>
      </c>
      <c r="O26" s="79"/>
      <c r="P26" s="80">
        <f t="shared" si="6"/>
        <v>0</v>
      </c>
      <c r="Q26" s="79"/>
      <c r="R26" s="80">
        <f t="shared" si="7"/>
        <v>0</v>
      </c>
      <c r="S26" s="79"/>
      <c r="T26" s="80">
        <f t="shared" si="8"/>
        <v>0</v>
      </c>
      <c r="U26" s="79"/>
      <c r="V26" s="80">
        <f t="shared" si="9"/>
        <v>0</v>
      </c>
    </row>
    <row r="27" spans="1:24" ht="12.75" customHeight="1">
      <c r="A27" s="2" t="s">
        <v>364</v>
      </c>
      <c r="B27" s="35"/>
      <c r="C27" s="112"/>
      <c r="D27" s="80">
        <f t="shared" si="0"/>
        <v>0</v>
      </c>
      <c r="E27" s="112"/>
      <c r="F27" s="80">
        <f t="shared" si="1"/>
        <v>0</v>
      </c>
      <c r="G27" s="112"/>
      <c r="H27" s="80">
        <f t="shared" si="2"/>
        <v>0</v>
      </c>
      <c r="I27" s="112"/>
      <c r="J27" s="80">
        <f t="shared" si="3"/>
        <v>0</v>
      </c>
      <c r="K27" s="112"/>
      <c r="L27" s="80">
        <f t="shared" si="4"/>
        <v>0</v>
      </c>
      <c r="M27" s="112"/>
      <c r="N27" s="80">
        <f t="shared" si="5"/>
        <v>0</v>
      </c>
      <c r="O27" s="112"/>
      <c r="P27" s="80">
        <f t="shared" si="6"/>
        <v>0</v>
      </c>
      <c r="Q27" s="112"/>
      <c r="R27" s="80">
        <f t="shared" si="7"/>
        <v>0</v>
      </c>
      <c r="S27" s="112"/>
      <c r="T27" s="80">
        <f t="shared" si="8"/>
        <v>0</v>
      </c>
      <c r="U27" s="112"/>
      <c r="V27" s="80">
        <f t="shared" si="9"/>
        <v>0</v>
      </c>
    </row>
    <row r="28" spans="1:24" ht="12.75" customHeight="1">
      <c r="A28" s="1" t="s">
        <v>365</v>
      </c>
      <c r="B28" s="53"/>
      <c r="C28" s="82">
        <f>SUM(C19:C27)</f>
        <v>547801.91999999993</v>
      </c>
      <c r="D28" s="83">
        <f t="shared" si="0"/>
        <v>1</v>
      </c>
      <c r="E28" s="82">
        <f>SUM(E19:E27)</f>
        <v>600000</v>
      </c>
      <c r="F28" s="83">
        <f t="shared" si="1"/>
        <v>1</v>
      </c>
      <c r="G28" s="82">
        <f>SUM(G19:G27)</f>
        <v>612000</v>
      </c>
      <c r="H28" s="83">
        <f t="shared" si="2"/>
        <v>1</v>
      </c>
      <c r="I28" s="82">
        <f>SUM(I19:I27)</f>
        <v>624240</v>
      </c>
      <c r="J28" s="83">
        <f t="shared" si="3"/>
        <v>1</v>
      </c>
      <c r="K28" s="82">
        <f>SUM(K19:K27)</f>
        <v>636724.80000000005</v>
      </c>
      <c r="L28" s="83">
        <f t="shared" si="4"/>
        <v>1</v>
      </c>
      <c r="M28" s="82">
        <f>SUM(M19:M27)</f>
        <v>649459.29600000009</v>
      </c>
      <c r="N28" s="83">
        <f t="shared" si="5"/>
        <v>1</v>
      </c>
      <c r="O28" s="82">
        <f>SUM(O19:O27)</f>
        <v>662448.48192000005</v>
      </c>
      <c r="P28" s="83">
        <f t="shared" si="6"/>
        <v>1</v>
      </c>
      <c r="Q28" s="82">
        <f>SUM(Q19:Q27)</f>
        <v>675697.45155840006</v>
      </c>
      <c r="R28" s="83">
        <f t="shared" si="7"/>
        <v>1</v>
      </c>
      <c r="S28" s="82">
        <f>SUM(S19:S27)</f>
        <v>689211.40058956807</v>
      </c>
      <c r="T28" s="83">
        <f t="shared" si="8"/>
        <v>1</v>
      </c>
      <c r="U28" s="82">
        <f>SUM(U19:U27)</f>
        <v>702995.62860135944</v>
      </c>
      <c r="V28" s="83">
        <f t="shared" si="9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0.26100000000000001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142976.30111999999</v>
      </c>
      <c r="D31" s="80">
        <f>IFERROR(C31/C$28,0)</f>
        <v>0.26100000000000001</v>
      </c>
      <c r="E31" s="179">
        <f>$C$30*E14</f>
        <v>156600</v>
      </c>
      <c r="F31" s="80">
        <f>IFERROR(E31/E$28,0)</f>
        <v>0.26100000000000001</v>
      </c>
      <c r="G31" s="179">
        <f>$C$30*G14</f>
        <v>159732</v>
      </c>
      <c r="H31" s="80">
        <f>IFERROR(G31/G$28,0)</f>
        <v>0.26100000000000001</v>
      </c>
      <c r="I31" s="179">
        <f>$C$30*I14</f>
        <v>162926.64000000001</v>
      </c>
      <c r="J31" s="80">
        <f>IFERROR(I31/I$28,0)</f>
        <v>0.26100000000000001</v>
      </c>
      <c r="K31" s="179">
        <f>$C$30*K14</f>
        <v>166185.17280000003</v>
      </c>
      <c r="L31" s="80">
        <f>IFERROR(K31/K$28,0)</f>
        <v>0.26100000000000001</v>
      </c>
      <c r="M31" s="179">
        <f>$C$30*M14</f>
        <v>169508.87625600002</v>
      </c>
      <c r="N31" s="80">
        <f>IFERROR(M31/M$28,0)</f>
        <v>0.26100000000000001</v>
      </c>
      <c r="O31" s="179">
        <f>$C$30*O14</f>
        <v>172899.05378112002</v>
      </c>
      <c r="P31" s="80">
        <f>IFERROR(O31/O$28,0)</f>
        <v>0.26100000000000001</v>
      </c>
      <c r="Q31" s="179">
        <f>$C$30*Q14</f>
        <v>176357.03485674242</v>
      </c>
      <c r="R31" s="80">
        <f>IFERROR(Q31/Q$28,0)</f>
        <v>0.26100000000000001</v>
      </c>
      <c r="S31" s="179">
        <f>$C$30*S14</f>
        <v>179884.17555387728</v>
      </c>
      <c r="T31" s="80">
        <f>IFERROR(S31/S$28,0)</f>
        <v>0.26100000000000001</v>
      </c>
      <c r="U31" s="179">
        <f>$C$30*U14</f>
        <v>183481.85906495483</v>
      </c>
      <c r="V31" s="80">
        <f>IFERROR(U31/U$28,0)</f>
        <v>0.26100000000000001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142976.30111999999</v>
      </c>
      <c r="D33" s="83">
        <f>IFERROR(C33/C$28,0)</f>
        <v>0.26100000000000001</v>
      </c>
      <c r="E33" s="82">
        <f>SUM(E31:E32)</f>
        <v>156600</v>
      </c>
      <c r="F33" s="83">
        <f>IFERROR(E33/E$28,0)</f>
        <v>0.26100000000000001</v>
      </c>
      <c r="G33" s="82">
        <f>SUM(G31:G32)</f>
        <v>159732</v>
      </c>
      <c r="H33" s="83">
        <f>IFERROR(G33/G$28,0)</f>
        <v>0.26100000000000001</v>
      </c>
      <c r="I33" s="82">
        <f>SUM(I31:I32)</f>
        <v>162926.64000000001</v>
      </c>
      <c r="J33" s="83">
        <f>IFERROR(I33/I$28,0)</f>
        <v>0.26100000000000001</v>
      </c>
      <c r="K33" s="82">
        <f>SUM(K31:K32)</f>
        <v>166185.17280000003</v>
      </c>
      <c r="L33" s="83">
        <f>IFERROR(K33/K$28,0)</f>
        <v>0.26100000000000001</v>
      </c>
      <c r="M33" s="82">
        <f>SUM(M31:M32)</f>
        <v>169508.87625600002</v>
      </c>
      <c r="N33" s="83">
        <f>IFERROR(M33/M$28,0)</f>
        <v>0.26100000000000001</v>
      </c>
      <c r="O33" s="82">
        <f>SUM(O31:O32)</f>
        <v>172899.05378112002</v>
      </c>
      <c r="P33" s="83">
        <f>IFERROR(O33/O$28,0)</f>
        <v>0.26100000000000001</v>
      </c>
      <c r="Q33" s="82">
        <f>SUM(Q31:Q32)</f>
        <v>176357.03485674242</v>
      </c>
      <c r="R33" s="83">
        <f>IFERROR(Q33/Q$28,0)</f>
        <v>0.26100000000000001</v>
      </c>
      <c r="S33" s="82">
        <f>SUM(S31:S32)</f>
        <v>179884.17555387728</v>
      </c>
      <c r="T33" s="83">
        <f>IFERROR(S33/S$28,0)</f>
        <v>0.26100000000000001</v>
      </c>
      <c r="U33" s="82">
        <f>SUM(U31:U32)</f>
        <v>183481.85906495483</v>
      </c>
      <c r="V33" s="83">
        <f>IFERROR(U33/U$28,0)</f>
        <v>0.26100000000000001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/>
      <c r="D36" s="80">
        <f t="shared" ref="D36:D46" si="10">IFERROR(C36/C$28,0)</f>
        <v>0</v>
      </c>
      <c r="E36" s="179"/>
      <c r="F36" s="80">
        <f t="shared" ref="F36:F46" si="11">IFERROR(E36/E$28,0)</f>
        <v>0</v>
      </c>
      <c r="G36" s="179"/>
      <c r="H36" s="80">
        <f t="shared" ref="H36:H46" si="12">IFERROR(G36/G$28,0)</f>
        <v>0</v>
      </c>
      <c r="I36" s="179"/>
      <c r="J36" s="80">
        <f t="shared" ref="J36:J46" si="13">IFERROR(I36/I$28,0)</f>
        <v>0</v>
      </c>
      <c r="K36" s="179"/>
      <c r="L36" s="80">
        <f t="shared" ref="L36:L46" si="14">IFERROR(K36/K$28,0)</f>
        <v>0</v>
      </c>
      <c r="M36" s="179"/>
      <c r="N36" s="80">
        <f t="shared" ref="N36:N46" si="15">IFERROR(M36/M$28,0)</f>
        <v>0</v>
      </c>
      <c r="O36" s="179"/>
      <c r="P36" s="80">
        <f t="shared" ref="P36:P46" si="16">IFERROR(O36/O$28,0)</f>
        <v>0</v>
      </c>
      <c r="Q36" s="179"/>
      <c r="R36" s="80">
        <f t="shared" ref="R36:R46" si="17">IFERROR(Q36/Q$28,0)</f>
        <v>0</v>
      </c>
      <c r="S36" s="179"/>
      <c r="T36" s="80">
        <f t="shared" ref="T36:T46" si="18">IFERROR(S36/S$28,0)</f>
        <v>0</v>
      </c>
      <c r="U36" s="179"/>
      <c r="V36" s="80">
        <f t="shared" ref="V36:V46" si="19">IFERROR(U36/U$28,0)</f>
        <v>0</v>
      </c>
    </row>
    <row r="37" spans="1:22" ht="12.75" customHeight="1">
      <c r="A37" s="2" t="s">
        <v>372</v>
      </c>
      <c r="B37" s="35"/>
      <c r="C37" s="179">
        <v>50586</v>
      </c>
      <c r="D37" s="80">
        <f t="shared" si="10"/>
        <v>9.2343597481367001E-2</v>
      </c>
      <c r="E37" s="179">
        <f>+C37*1.112</f>
        <v>56251.632000000005</v>
      </c>
      <c r="F37" s="80">
        <f t="shared" si="11"/>
        <v>9.3752720000000012E-2</v>
      </c>
      <c r="G37" s="179">
        <f>+E37*1.035</f>
        <v>58220.439120000003</v>
      </c>
      <c r="H37" s="80">
        <f t="shared" si="12"/>
        <v>9.5131436470588235E-2</v>
      </c>
      <c r="I37" s="179">
        <f>+G37*1.032</f>
        <v>60083.493171840004</v>
      </c>
      <c r="J37" s="80">
        <f t="shared" si="13"/>
        <v>9.6250629840830451E-2</v>
      </c>
      <c r="K37" s="179">
        <f>+I37*1.025</f>
        <v>61585.580501135999</v>
      </c>
      <c r="L37" s="80">
        <f t="shared" si="14"/>
        <v>9.672244665377569E-2</v>
      </c>
      <c r="M37" s="179">
        <f>+K37*1.025</f>
        <v>63125.220013664395</v>
      </c>
      <c r="N37" s="80">
        <f t="shared" si="15"/>
        <v>9.7196576294235365E-2</v>
      </c>
      <c r="O37" s="179">
        <f>+M37*1.025</f>
        <v>64703.350514006001</v>
      </c>
      <c r="P37" s="80">
        <f t="shared" si="16"/>
        <v>9.7673030099599253E-2</v>
      </c>
      <c r="Q37" s="179">
        <f>+O37*1.025</f>
        <v>66320.934276856147</v>
      </c>
      <c r="R37" s="80">
        <f t="shared" si="17"/>
        <v>9.8151819462832579E-2</v>
      </c>
      <c r="S37" s="179">
        <f>+Q37*1.025</f>
        <v>67978.957633777551</v>
      </c>
      <c r="T37" s="80">
        <f t="shared" si="18"/>
        <v>9.863295583274842E-2</v>
      </c>
      <c r="U37" s="179">
        <f>+S37*1.025</f>
        <v>69678.43157462198</v>
      </c>
      <c r="V37" s="80">
        <f t="shared" si="19"/>
        <v>9.911645071428149E-2</v>
      </c>
    </row>
    <row r="38" spans="1:22" ht="12.75" customHeight="1">
      <c r="A38" s="2" t="s">
        <v>373</v>
      </c>
      <c r="B38" s="35"/>
      <c r="C38" s="179"/>
      <c r="D38" s="80">
        <f t="shared" si="10"/>
        <v>0</v>
      </c>
      <c r="E38" s="179">
        <f t="shared" ref="E38:E39" si="20">+C38*1.112</f>
        <v>0</v>
      </c>
      <c r="F38" s="80">
        <f t="shared" si="11"/>
        <v>0</v>
      </c>
      <c r="G38" s="179">
        <f>+E38*1.035</f>
        <v>0</v>
      </c>
      <c r="H38" s="80">
        <f t="shared" si="12"/>
        <v>0</v>
      </c>
      <c r="I38" s="179">
        <f>+G38*1.032</f>
        <v>0</v>
      </c>
      <c r="J38" s="80">
        <f t="shared" si="13"/>
        <v>0</v>
      </c>
      <c r="K38" s="179">
        <f>+I38*1.025</f>
        <v>0</v>
      </c>
      <c r="L38" s="80">
        <f t="shared" si="14"/>
        <v>0</v>
      </c>
      <c r="M38" s="179">
        <f>+K38*1.025</f>
        <v>0</v>
      </c>
      <c r="N38" s="80">
        <f t="shared" si="15"/>
        <v>0</v>
      </c>
      <c r="O38" s="179">
        <f>+M38*1.025</f>
        <v>0</v>
      </c>
      <c r="P38" s="80">
        <f t="shared" si="16"/>
        <v>0</v>
      </c>
      <c r="Q38" s="179">
        <f>+O38*1.025</f>
        <v>0</v>
      </c>
      <c r="R38" s="80">
        <f t="shared" si="17"/>
        <v>0</v>
      </c>
      <c r="S38" s="179">
        <f>+Q38*1.025</f>
        <v>0</v>
      </c>
      <c r="T38" s="80">
        <f t="shared" si="18"/>
        <v>0</v>
      </c>
      <c r="U38" s="179">
        <f>+S38*1.025</f>
        <v>0</v>
      </c>
      <c r="V38" s="80">
        <f t="shared" si="19"/>
        <v>0</v>
      </c>
    </row>
    <row r="39" spans="1:22" ht="12.75" customHeight="1">
      <c r="A39" s="2" t="s">
        <v>374</v>
      </c>
      <c r="B39" s="35"/>
      <c r="C39" s="179">
        <v>98670</v>
      </c>
      <c r="D39" s="80">
        <f t="shared" si="10"/>
        <v>0.18011985062045788</v>
      </c>
      <c r="E39" s="179">
        <f t="shared" si="20"/>
        <v>109721.04000000001</v>
      </c>
      <c r="F39" s="80">
        <f t="shared" si="11"/>
        <v>0.18286840000000001</v>
      </c>
      <c r="G39" s="179">
        <f>+E39*1.035</f>
        <v>113561.2764</v>
      </c>
      <c r="H39" s="80">
        <f t="shared" si="12"/>
        <v>0.18555764117647058</v>
      </c>
      <c r="I39" s="179">
        <f>+G39*1.032</f>
        <v>117195.23724480001</v>
      </c>
      <c r="J39" s="80">
        <f t="shared" si="13"/>
        <v>0.18774067224913496</v>
      </c>
      <c r="K39" s="179">
        <f>+I39*1.025</f>
        <v>120125.11817592</v>
      </c>
      <c r="L39" s="80">
        <f t="shared" si="14"/>
        <v>0.1886609696621209</v>
      </c>
      <c r="M39" s="179">
        <f>+K39*1.025</f>
        <v>123128.24613031799</v>
      </c>
      <c r="N39" s="80">
        <f t="shared" si="15"/>
        <v>0.18958577833693518</v>
      </c>
      <c r="O39" s="179">
        <f>+M39*1.025</f>
        <v>126206.45228357593</v>
      </c>
      <c r="P39" s="80">
        <f t="shared" si="16"/>
        <v>0.19051512038760643</v>
      </c>
      <c r="Q39" s="179">
        <f>+O39*1.025</f>
        <v>129361.61359066531</v>
      </c>
      <c r="R39" s="80">
        <f t="shared" si="17"/>
        <v>0.19144901803656525</v>
      </c>
      <c r="S39" s="179">
        <f>+Q39*1.025</f>
        <v>132595.65393043193</v>
      </c>
      <c r="T39" s="80">
        <f t="shared" si="18"/>
        <v>0.19238749361517585</v>
      </c>
      <c r="U39" s="179">
        <f>+S39*1.025</f>
        <v>135910.54527869271</v>
      </c>
      <c r="V39" s="80">
        <f t="shared" si="19"/>
        <v>0.19333056956426981</v>
      </c>
    </row>
    <row r="40" spans="1:22" ht="12.75" customHeight="1">
      <c r="A40" s="2" t="s">
        <v>375</v>
      </c>
      <c r="B40" s="35"/>
      <c r="C40" s="179">
        <f>C36*0.124</f>
        <v>0</v>
      </c>
      <c r="D40" s="80">
        <f t="shared" si="10"/>
        <v>0</v>
      </c>
      <c r="E40" s="179">
        <f>E36*0.124</f>
        <v>0</v>
      </c>
      <c r="F40" s="80">
        <f t="shared" si="11"/>
        <v>0</v>
      </c>
      <c r="G40" s="179">
        <f>G36*0.124</f>
        <v>0</v>
      </c>
      <c r="H40" s="80">
        <f t="shared" si="12"/>
        <v>0</v>
      </c>
      <c r="I40" s="179">
        <f>I36*0.124</f>
        <v>0</v>
      </c>
      <c r="J40" s="80">
        <f t="shared" si="13"/>
        <v>0</v>
      </c>
      <c r="K40" s="179">
        <f>K36*0.124</f>
        <v>0</v>
      </c>
      <c r="L40" s="80">
        <f t="shared" si="14"/>
        <v>0</v>
      </c>
      <c r="M40" s="179">
        <f>M36*0.124</f>
        <v>0</v>
      </c>
      <c r="N40" s="80">
        <f t="shared" si="15"/>
        <v>0</v>
      </c>
      <c r="O40" s="179">
        <f>O36*0.124</f>
        <v>0</v>
      </c>
      <c r="P40" s="80">
        <f t="shared" si="16"/>
        <v>0</v>
      </c>
      <c r="Q40" s="179">
        <f>Q36*0.124</f>
        <v>0</v>
      </c>
      <c r="R40" s="80">
        <f t="shared" si="17"/>
        <v>0</v>
      </c>
      <c r="S40" s="179">
        <f>S36*0.124</f>
        <v>0</v>
      </c>
      <c r="T40" s="80">
        <f t="shared" si="18"/>
        <v>0</v>
      </c>
      <c r="U40" s="179">
        <f>U36*0.124</f>
        <v>0</v>
      </c>
      <c r="V40" s="80">
        <f t="shared" si="19"/>
        <v>0</v>
      </c>
    </row>
    <row r="41" spans="1:22" ht="12.75" customHeight="1">
      <c r="A41" s="2" t="s">
        <v>376</v>
      </c>
      <c r="B41" s="35"/>
      <c r="C41" s="179">
        <f>C37*0.124</f>
        <v>6272.6639999999998</v>
      </c>
      <c r="D41" s="80">
        <f t="shared" si="10"/>
        <v>1.1450606087689507E-2</v>
      </c>
      <c r="E41" s="179">
        <f>E37*0.124</f>
        <v>6975.2023680000002</v>
      </c>
      <c r="F41" s="80">
        <f t="shared" si="11"/>
        <v>1.162533728E-2</v>
      </c>
      <c r="G41" s="179">
        <f>G37*0.124</f>
        <v>7219.3344508800001</v>
      </c>
      <c r="H41" s="80">
        <f t="shared" si="12"/>
        <v>1.179629812235294E-2</v>
      </c>
      <c r="I41" s="179">
        <f>I37*0.124</f>
        <v>7450.3531533081605</v>
      </c>
      <c r="J41" s="80">
        <f t="shared" si="13"/>
        <v>1.1935078100262977E-2</v>
      </c>
      <c r="K41" s="179">
        <f>K37*0.124</f>
        <v>7636.6119821408638</v>
      </c>
      <c r="L41" s="80">
        <f t="shared" si="14"/>
        <v>1.1993583385068186E-2</v>
      </c>
      <c r="M41" s="179">
        <f>M37*0.124</f>
        <v>7827.5272816943852</v>
      </c>
      <c r="N41" s="80">
        <f t="shared" si="15"/>
        <v>1.2052375460485185E-2</v>
      </c>
      <c r="O41" s="179">
        <f>O37*0.124</f>
        <v>8023.2154637367439</v>
      </c>
      <c r="P41" s="80">
        <f t="shared" si="16"/>
        <v>1.2111455732350307E-2</v>
      </c>
      <c r="Q41" s="179">
        <f>Q37*0.124</f>
        <v>8223.7958503301616</v>
      </c>
      <c r="R41" s="80">
        <f t="shared" si="17"/>
        <v>1.2170825613391239E-2</v>
      </c>
      <c r="S41" s="179">
        <f>S37*0.124</f>
        <v>8429.3907465884167</v>
      </c>
      <c r="T41" s="80">
        <f t="shared" si="18"/>
        <v>1.2230486523260805E-2</v>
      </c>
      <c r="U41" s="179">
        <f>U37*0.124</f>
        <v>8640.1255152531248</v>
      </c>
      <c r="V41" s="80">
        <f t="shared" si="19"/>
        <v>1.2290439888570905E-2</v>
      </c>
    </row>
    <row r="42" spans="1:22" ht="12.75" customHeight="1">
      <c r="A42" s="2" t="s">
        <v>377</v>
      </c>
      <c r="B42" s="35"/>
      <c r="C42" s="179"/>
      <c r="D42" s="80">
        <f t="shared" si="10"/>
        <v>0</v>
      </c>
      <c r="E42" s="179"/>
      <c r="F42" s="80">
        <f t="shared" si="11"/>
        <v>0</v>
      </c>
      <c r="G42" s="179"/>
      <c r="H42" s="80">
        <f t="shared" si="12"/>
        <v>0</v>
      </c>
      <c r="I42" s="179"/>
      <c r="J42" s="80">
        <f t="shared" si="13"/>
        <v>0</v>
      </c>
      <c r="K42" s="179"/>
      <c r="L42" s="80">
        <f t="shared" si="14"/>
        <v>0</v>
      </c>
      <c r="M42" s="179"/>
      <c r="N42" s="80">
        <f t="shared" si="15"/>
        <v>0</v>
      </c>
      <c r="O42" s="179"/>
      <c r="P42" s="80">
        <f t="shared" si="16"/>
        <v>0</v>
      </c>
      <c r="Q42" s="179"/>
      <c r="R42" s="80">
        <f t="shared" si="17"/>
        <v>0</v>
      </c>
      <c r="S42" s="179"/>
      <c r="T42" s="80">
        <f t="shared" si="18"/>
        <v>0</v>
      </c>
      <c r="U42" s="179"/>
      <c r="V42" s="80">
        <f t="shared" si="19"/>
        <v>0</v>
      </c>
    </row>
    <row r="43" spans="1:22" ht="12.75" customHeight="1">
      <c r="A43" s="2" t="s">
        <v>378</v>
      </c>
      <c r="B43" s="35"/>
      <c r="C43" s="179"/>
      <c r="D43" s="80">
        <f t="shared" si="10"/>
        <v>0</v>
      </c>
      <c r="E43" s="179"/>
      <c r="F43" s="80">
        <f t="shared" si="11"/>
        <v>0</v>
      </c>
      <c r="G43" s="179"/>
      <c r="H43" s="80">
        <f t="shared" si="12"/>
        <v>0</v>
      </c>
      <c r="I43" s="179"/>
      <c r="J43" s="80">
        <f t="shared" si="13"/>
        <v>0</v>
      </c>
      <c r="K43" s="179"/>
      <c r="L43" s="80">
        <f t="shared" si="14"/>
        <v>0</v>
      </c>
      <c r="M43" s="179"/>
      <c r="N43" s="80">
        <f t="shared" si="15"/>
        <v>0</v>
      </c>
      <c r="O43" s="179"/>
      <c r="P43" s="80">
        <f t="shared" si="16"/>
        <v>0</v>
      </c>
      <c r="Q43" s="179"/>
      <c r="R43" s="80">
        <f t="shared" si="17"/>
        <v>0</v>
      </c>
      <c r="S43" s="179"/>
      <c r="T43" s="80">
        <f t="shared" si="18"/>
        <v>0</v>
      </c>
      <c r="U43" s="179"/>
      <c r="V43" s="80">
        <f t="shared" si="19"/>
        <v>0</v>
      </c>
    </row>
    <row r="44" spans="1:22" ht="12.75" customHeight="1">
      <c r="A44" s="2" t="s">
        <v>379</v>
      </c>
      <c r="B44" s="35"/>
      <c r="C44" s="179"/>
      <c r="D44" s="80">
        <f t="shared" si="10"/>
        <v>0</v>
      </c>
      <c r="E44" s="179"/>
      <c r="F44" s="80">
        <f t="shared" si="11"/>
        <v>0</v>
      </c>
      <c r="G44" s="179"/>
      <c r="H44" s="80">
        <f t="shared" si="12"/>
        <v>0</v>
      </c>
      <c r="I44" s="179"/>
      <c r="J44" s="80">
        <f t="shared" si="13"/>
        <v>0</v>
      </c>
      <c r="K44" s="179"/>
      <c r="L44" s="80">
        <f t="shared" si="14"/>
        <v>0</v>
      </c>
      <c r="M44" s="179"/>
      <c r="N44" s="80">
        <f t="shared" si="15"/>
        <v>0</v>
      </c>
      <c r="O44" s="179"/>
      <c r="P44" s="80">
        <f t="shared" si="16"/>
        <v>0</v>
      </c>
      <c r="Q44" s="179"/>
      <c r="R44" s="80">
        <f t="shared" si="17"/>
        <v>0</v>
      </c>
      <c r="S44" s="179"/>
      <c r="T44" s="80">
        <f t="shared" si="18"/>
        <v>0</v>
      </c>
      <c r="U44" s="179"/>
      <c r="V44" s="80">
        <f t="shared" si="19"/>
        <v>0</v>
      </c>
    </row>
    <row r="45" spans="1:22" ht="12.75" customHeight="1">
      <c r="A45" s="2" t="s">
        <v>380</v>
      </c>
      <c r="B45" s="35"/>
      <c r="C45" s="182">
        <f>SUM(C36:C39)*0.094</f>
        <v>14030.064</v>
      </c>
      <c r="D45" s="80">
        <f t="shared" si="10"/>
        <v>2.5611564121571537E-2</v>
      </c>
      <c r="E45" s="182">
        <f>SUM(E36:E39)*0.094</f>
        <v>15601.431168000003</v>
      </c>
      <c r="F45" s="80">
        <f t="shared" si="11"/>
        <v>2.6002385280000005E-2</v>
      </c>
      <c r="G45" s="182">
        <f>SUM(G36:G39)*0.094</f>
        <v>16147.48125888</v>
      </c>
      <c r="H45" s="80">
        <f t="shared" si="12"/>
        <v>2.6384773298823529E-2</v>
      </c>
      <c r="I45" s="182">
        <f>SUM(I36:I39)*0.094</f>
        <v>16664.200659164158</v>
      </c>
      <c r="J45" s="80">
        <f t="shared" si="13"/>
        <v>2.6695182396456744E-2</v>
      </c>
      <c r="K45" s="182">
        <f>SUM(K36:K39)*0.094</f>
        <v>17080.805675643263</v>
      </c>
      <c r="L45" s="80">
        <f t="shared" si="14"/>
        <v>2.6826041133694276E-2</v>
      </c>
      <c r="M45" s="182">
        <f>SUM(M36:M39)*0.094</f>
        <v>17507.825817534344</v>
      </c>
      <c r="N45" s="80">
        <f t="shared" si="15"/>
        <v>2.6957541335330029E-2</v>
      </c>
      <c r="O45" s="182">
        <f>SUM(O36:O39)*0.094</f>
        <v>17945.521462972702</v>
      </c>
      <c r="P45" s="80">
        <f t="shared" si="16"/>
        <v>2.7089686145797334E-2</v>
      </c>
      <c r="Q45" s="182">
        <f>SUM(Q36:Q39)*0.094</f>
        <v>18394.159499547019</v>
      </c>
      <c r="R45" s="80">
        <f t="shared" si="17"/>
        <v>2.7222478724943398E-2</v>
      </c>
      <c r="S45" s="182">
        <f>SUM(S36:S39)*0.094</f>
        <v>18854.013487035692</v>
      </c>
      <c r="T45" s="80">
        <f t="shared" si="18"/>
        <v>2.7355922248104882E-2</v>
      </c>
      <c r="U45" s="182">
        <f>SUM(U36:U39)*0.094</f>
        <v>19325.363824211578</v>
      </c>
      <c r="V45" s="80">
        <f t="shared" si="19"/>
        <v>2.749001990618382E-2</v>
      </c>
    </row>
    <row r="46" spans="1:22" ht="12.75" customHeight="1">
      <c r="A46" s="1" t="s">
        <v>381</v>
      </c>
      <c r="B46" s="53"/>
      <c r="C46" s="82">
        <f>SUM(C36:C45)</f>
        <v>169558.728</v>
      </c>
      <c r="D46" s="83">
        <f t="shared" si="10"/>
        <v>0.30952561831108594</v>
      </c>
      <c r="E46" s="82">
        <f>SUM(E36:E45)</f>
        <v>188549.30553600003</v>
      </c>
      <c r="F46" s="83">
        <f t="shared" si="11"/>
        <v>0.31424884256000007</v>
      </c>
      <c r="G46" s="82">
        <f>SUM(G36:G45)</f>
        <v>195148.53122976</v>
      </c>
      <c r="H46" s="83">
        <f t="shared" si="12"/>
        <v>0.3188701490682353</v>
      </c>
      <c r="I46" s="82">
        <f>SUM(I36:I45)</f>
        <v>201393.28422911232</v>
      </c>
      <c r="J46" s="83">
        <f t="shared" si="13"/>
        <v>0.32262156258668512</v>
      </c>
      <c r="K46" s="82">
        <f>SUM(K36:K45)</f>
        <v>206428.11633484013</v>
      </c>
      <c r="L46" s="83">
        <f t="shared" si="14"/>
        <v>0.32420304083465906</v>
      </c>
      <c r="M46" s="82">
        <f>SUM(M36:M45)</f>
        <v>211588.8192432111</v>
      </c>
      <c r="N46" s="83">
        <f t="shared" si="15"/>
        <v>0.32579227142698575</v>
      </c>
      <c r="O46" s="82">
        <f>SUM(O36:O45)</f>
        <v>216878.53972429139</v>
      </c>
      <c r="P46" s="83">
        <f t="shared" si="16"/>
        <v>0.32738929236535336</v>
      </c>
      <c r="Q46" s="82">
        <f>SUM(Q36:Q45)</f>
        <v>222300.50321739863</v>
      </c>
      <c r="R46" s="83">
        <f t="shared" si="17"/>
        <v>0.32899414183773246</v>
      </c>
      <c r="S46" s="82">
        <f>SUM(S36:S45)</f>
        <v>227858.01579783359</v>
      </c>
      <c r="T46" s="83">
        <f t="shared" si="18"/>
        <v>0.33060685821928998</v>
      </c>
      <c r="U46" s="82">
        <f>SUM(U36:U45)</f>
        <v>233554.46619277939</v>
      </c>
      <c r="V46" s="83">
        <f t="shared" si="19"/>
        <v>0.33222748007330605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1">IFERROR(C52/C$28,0)</f>
        <v>0</v>
      </c>
      <c r="E52" s="179">
        <v>0</v>
      </c>
      <c r="F52" s="80">
        <f t="shared" ref="F52:F104" si="22">IFERROR(E52/E$28,0)</f>
        <v>0</v>
      </c>
      <c r="G52" s="179">
        <v>0</v>
      </c>
      <c r="H52" s="80">
        <f t="shared" ref="H52:H104" si="23">IFERROR(G52/G$28,0)</f>
        <v>0</v>
      </c>
      <c r="I52" s="179">
        <v>0</v>
      </c>
      <c r="J52" s="80">
        <f t="shared" ref="J52:J104" si="24">IFERROR(I52/I$28,0)</f>
        <v>0</v>
      </c>
      <c r="K52" s="179">
        <v>0</v>
      </c>
      <c r="L52" s="80">
        <f t="shared" ref="L52:L104" si="25">IFERROR(K52/K$28,0)</f>
        <v>0</v>
      </c>
      <c r="M52" s="179">
        <v>0</v>
      </c>
      <c r="N52" s="80">
        <f t="shared" ref="N52:N104" si="26">IFERROR(M52/M$28,0)</f>
        <v>0</v>
      </c>
      <c r="O52" s="179">
        <v>0</v>
      </c>
      <c r="P52" s="80">
        <f t="shared" ref="P52:P104" si="27">IFERROR(O52/O$28,0)</f>
        <v>0</v>
      </c>
      <c r="Q52" s="179">
        <v>0</v>
      </c>
      <c r="R52" s="80">
        <f t="shared" ref="R52:R104" si="28">IFERROR(Q52/Q$28,0)</f>
        <v>0</v>
      </c>
      <c r="S52" s="179">
        <v>0</v>
      </c>
      <c r="T52" s="80">
        <f t="shared" ref="T52:T104" si="29">IFERROR(S52/S$28,0)</f>
        <v>0</v>
      </c>
      <c r="U52" s="179">
        <v>0</v>
      </c>
      <c r="V52" s="80">
        <f t="shared" ref="V52:V105" si="30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1"/>
        <v>0</v>
      </c>
      <c r="E53" s="179">
        <v>0</v>
      </c>
      <c r="F53" s="80">
        <f t="shared" si="22"/>
        <v>0</v>
      </c>
      <c r="G53" s="179">
        <v>0</v>
      </c>
      <c r="H53" s="80">
        <f t="shared" si="23"/>
        <v>0</v>
      </c>
      <c r="I53" s="179">
        <v>0</v>
      </c>
      <c r="J53" s="80">
        <f t="shared" si="24"/>
        <v>0</v>
      </c>
      <c r="K53" s="179">
        <v>0</v>
      </c>
      <c r="L53" s="80">
        <f t="shared" si="25"/>
        <v>0</v>
      </c>
      <c r="M53" s="179">
        <v>0</v>
      </c>
      <c r="N53" s="80">
        <f t="shared" si="26"/>
        <v>0</v>
      </c>
      <c r="O53" s="179">
        <v>0</v>
      </c>
      <c r="P53" s="80">
        <f t="shared" si="27"/>
        <v>0</v>
      </c>
      <c r="Q53" s="179">
        <v>0</v>
      </c>
      <c r="R53" s="80">
        <f t="shared" si="28"/>
        <v>0</v>
      </c>
      <c r="S53" s="179">
        <v>0</v>
      </c>
      <c r="T53" s="80">
        <f t="shared" si="29"/>
        <v>0</v>
      </c>
      <c r="U53" s="179">
        <v>0</v>
      </c>
      <c r="V53" s="80">
        <f t="shared" si="30"/>
        <v>0</v>
      </c>
      <c r="X53" s="200"/>
    </row>
    <row r="54" spans="1:24" ht="12.75" customHeight="1">
      <c r="A54" s="2" t="s">
        <v>385</v>
      </c>
      <c r="B54" s="35"/>
      <c r="C54" s="179">
        <v>383.46134399999994</v>
      </c>
      <c r="D54" s="80">
        <f t="shared" si="21"/>
        <v>6.9999999999999999E-4</v>
      </c>
      <c r="E54" s="179">
        <v>420.00000000000006</v>
      </c>
      <c r="F54" s="80">
        <f t="shared" si="22"/>
        <v>7.000000000000001E-4</v>
      </c>
      <c r="G54" s="179">
        <v>428.40000000000003</v>
      </c>
      <c r="H54" s="80">
        <f t="shared" si="23"/>
        <v>7.000000000000001E-4</v>
      </c>
      <c r="I54" s="179">
        <v>436.96799999999996</v>
      </c>
      <c r="J54" s="80">
        <f t="shared" si="24"/>
        <v>6.9999999999999988E-4</v>
      </c>
      <c r="K54" s="179">
        <v>445.70735999999999</v>
      </c>
      <c r="L54" s="80">
        <f t="shared" si="25"/>
        <v>6.9999999999999999E-4</v>
      </c>
      <c r="M54" s="179">
        <v>454.62150720000011</v>
      </c>
      <c r="N54" s="80">
        <f t="shared" si="26"/>
        <v>7.000000000000001E-4</v>
      </c>
      <c r="O54" s="179">
        <v>463.71393734399999</v>
      </c>
      <c r="P54" s="80">
        <f t="shared" si="27"/>
        <v>6.9999999999999988E-4</v>
      </c>
      <c r="Q54" s="179">
        <v>472.98821609087997</v>
      </c>
      <c r="R54" s="80">
        <f t="shared" si="28"/>
        <v>6.9999999999999988E-4</v>
      </c>
      <c r="S54" s="179">
        <v>482.44798041269763</v>
      </c>
      <c r="T54" s="80">
        <f t="shared" si="29"/>
        <v>6.9999999999999999E-4</v>
      </c>
      <c r="U54" s="179">
        <v>492.09694002095159</v>
      </c>
      <c r="V54" s="80">
        <f t="shared" si="30"/>
        <v>6.9999999999999999E-4</v>
      </c>
      <c r="X54" s="200"/>
    </row>
    <row r="55" spans="1:24" ht="12.75" customHeight="1">
      <c r="A55" s="2" t="s">
        <v>386</v>
      </c>
      <c r="B55" s="35"/>
      <c r="C55" s="179">
        <v>27390.095999999998</v>
      </c>
      <c r="D55" s="80">
        <f t="shared" si="21"/>
        <v>0.05</v>
      </c>
      <c r="E55" s="179">
        <v>30000</v>
      </c>
      <c r="F55" s="80">
        <f t="shared" si="22"/>
        <v>0.05</v>
      </c>
      <c r="G55" s="179">
        <v>30600</v>
      </c>
      <c r="H55" s="80">
        <f t="shared" si="23"/>
        <v>0.05</v>
      </c>
      <c r="I55" s="179">
        <v>31212</v>
      </c>
      <c r="J55" s="80">
        <f t="shared" si="24"/>
        <v>0.05</v>
      </c>
      <c r="K55" s="179">
        <v>31836.240000000005</v>
      </c>
      <c r="L55" s="80">
        <f t="shared" si="25"/>
        <v>0.05</v>
      </c>
      <c r="M55" s="179">
        <v>32472.964800000005</v>
      </c>
      <c r="N55" s="80">
        <f t="shared" si="26"/>
        <v>0.05</v>
      </c>
      <c r="O55" s="179">
        <v>33122.424096000002</v>
      </c>
      <c r="P55" s="80">
        <f t="shared" si="27"/>
        <v>0.05</v>
      </c>
      <c r="Q55" s="179">
        <v>33784.872577920003</v>
      </c>
      <c r="R55" s="80">
        <f t="shared" si="28"/>
        <v>0.05</v>
      </c>
      <c r="S55" s="179">
        <v>34460.570029478404</v>
      </c>
      <c r="T55" s="80">
        <f t="shared" si="29"/>
        <v>0.05</v>
      </c>
      <c r="U55" s="179">
        <v>35149.781430067975</v>
      </c>
      <c r="V55" s="80">
        <f t="shared" si="30"/>
        <v>0.05</v>
      </c>
      <c r="X55" s="200"/>
    </row>
    <row r="56" spans="1:24" ht="12.75" customHeight="1">
      <c r="A56" s="2" t="s">
        <v>387</v>
      </c>
      <c r="B56" s="35"/>
      <c r="C56" s="179">
        <v>279.3789792</v>
      </c>
      <c r="D56" s="80">
        <f t="shared" si="21"/>
        <v>5.1000000000000004E-4</v>
      </c>
      <c r="E56" s="179">
        <v>306.00000000000006</v>
      </c>
      <c r="F56" s="80">
        <f t="shared" si="22"/>
        <v>5.1000000000000015E-4</v>
      </c>
      <c r="G56" s="179">
        <v>312.12000000000006</v>
      </c>
      <c r="H56" s="80">
        <f t="shared" si="23"/>
        <v>5.1000000000000015E-4</v>
      </c>
      <c r="I56" s="179">
        <v>318.36240000000004</v>
      </c>
      <c r="J56" s="80">
        <f t="shared" si="24"/>
        <v>5.1000000000000004E-4</v>
      </c>
      <c r="K56" s="179">
        <v>324.729648</v>
      </c>
      <c r="L56" s="80">
        <f t="shared" si="25"/>
        <v>5.0999999999999993E-4</v>
      </c>
      <c r="M56" s="179">
        <v>331.22424096000009</v>
      </c>
      <c r="N56" s="80">
        <f t="shared" si="26"/>
        <v>5.1000000000000004E-4</v>
      </c>
      <c r="O56" s="179">
        <v>337.84872577920004</v>
      </c>
      <c r="P56" s="80">
        <f t="shared" si="27"/>
        <v>5.1000000000000004E-4</v>
      </c>
      <c r="Q56" s="179">
        <v>344.60570029478407</v>
      </c>
      <c r="R56" s="80">
        <f t="shared" si="28"/>
        <v>5.1000000000000004E-4</v>
      </c>
      <c r="S56" s="179">
        <v>351.49781430067975</v>
      </c>
      <c r="T56" s="80">
        <f t="shared" si="29"/>
        <v>5.1000000000000004E-4</v>
      </c>
      <c r="U56" s="179">
        <v>358.52777058669329</v>
      </c>
      <c r="V56" s="80">
        <f t="shared" si="30"/>
        <v>5.0999999999999993E-4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1"/>
        <v>0</v>
      </c>
      <c r="E57" s="179">
        <v>0</v>
      </c>
      <c r="F57" s="80">
        <f t="shared" si="22"/>
        <v>0</v>
      </c>
      <c r="G57" s="179">
        <v>0</v>
      </c>
      <c r="H57" s="80">
        <f t="shared" si="23"/>
        <v>0</v>
      </c>
      <c r="I57" s="179">
        <v>0</v>
      </c>
      <c r="J57" s="80">
        <f t="shared" si="24"/>
        <v>0</v>
      </c>
      <c r="K57" s="179">
        <v>0</v>
      </c>
      <c r="L57" s="80">
        <f t="shared" si="25"/>
        <v>0</v>
      </c>
      <c r="M57" s="179">
        <v>0</v>
      </c>
      <c r="N57" s="80">
        <f t="shared" si="26"/>
        <v>0</v>
      </c>
      <c r="O57" s="179">
        <v>0</v>
      </c>
      <c r="P57" s="80">
        <f t="shared" si="27"/>
        <v>0</v>
      </c>
      <c r="Q57" s="179">
        <v>0</v>
      </c>
      <c r="R57" s="80">
        <f t="shared" si="28"/>
        <v>0</v>
      </c>
      <c r="S57" s="179">
        <v>0</v>
      </c>
      <c r="T57" s="80">
        <f t="shared" si="29"/>
        <v>0</v>
      </c>
      <c r="U57" s="179">
        <v>0</v>
      </c>
      <c r="V57" s="80">
        <f t="shared" si="30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1"/>
        <v>0</v>
      </c>
      <c r="E58" s="179">
        <v>0</v>
      </c>
      <c r="F58" s="80">
        <f t="shared" si="22"/>
        <v>0</v>
      </c>
      <c r="G58" s="179">
        <v>0</v>
      </c>
      <c r="H58" s="80">
        <f t="shared" si="23"/>
        <v>0</v>
      </c>
      <c r="I58" s="179">
        <v>0</v>
      </c>
      <c r="J58" s="80">
        <f t="shared" si="24"/>
        <v>0</v>
      </c>
      <c r="K58" s="179">
        <v>0</v>
      </c>
      <c r="L58" s="80">
        <f t="shared" si="25"/>
        <v>0</v>
      </c>
      <c r="M58" s="179">
        <v>0</v>
      </c>
      <c r="N58" s="80">
        <f t="shared" si="26"/>
        <v>0</v>
      </c>
      <c r="O58" s="179">
        <v>0</v>
      </c>
      <c r="P58" s="80">
        <f t="shared" si="27"/>
        <v>0</v>
      </c>
      <c r="Q58" s="179">
        <v>0</v>
      </c>
      <c r="R58" s="80">
        <f t="shared" si="28"/>
        <v>0</v>
      </c>
      <c r="S58" s="179">
        <v>0</v>
      </c>
      <c r="T58" s="80">
        <f t="shared" si="29"/>
        <v>0</v>
      </c>
      <c r="U58" s="179">
        <v>0</v>
      </c>
      <c r="V58" s="80">
        <f t="shared" si="30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1"/>
        <v>0</v>
      </c>
      <c r="E59" s="179">
        <v>0</v>
      </c>
      <c r="F59" s="80">
        <f t="shared" si="22"/>
        <v>0</v>
      </c>
      <c r="G59" s="179">
        <v>0</v>
      </c>
      <c r="H59" s="80">
        <f t="shared" si="23"/>
        <v>0</v>
      </c>
      <c r="I59" s="179">
        <v>0</v>
      </c>
      <c r="J59" s="80">
        <f t="shared" si="24"/>
        <v>0</v>
      </c>
      <c r="K59" s="179">
        <v>0</v>
      </c>
      <c r="L59" s="80">
        <f t="shared" si="25"/>
        <v>0</v>
      </c>
      <c r="M59" s="179">
        <v>0</v>
      </c>
      <c r="N59" s="80">
        <f t="shared" si="26"/>
        <v>0</v>
      </c>
      <c r="O59" s="179">
        <v>0</v>
      </c>
      <c r="P59" s="80">
        <f t="shared" si="27"/>
        <v>0</v>
      </c>
      <c r="Q59" s="179">
        <v>0</v>
      </c>
      <c r="R59" s="80">
        <f t="shared" si="28"/>
        <v>0</v>
      </c>
      <c r="S59" s="179">
        <v>0</v>
      </c>
      <c r="T59" s="80">
        <f t="shared" si="29"/>
        <v>0</v>
      </c>
      <c r="U59" s="179">
        <v>0</v>
      </c>
      <c r="V59" s="80">
        <f t="shared" si="30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1"/>
        <v>0</v>
      </c>
      <c r="E60" s="179">
        <v>0</v>
      </c>
      <c r="F60" s="80">
        <f t="shared" si="22"/>
        <v>0</v>
      </c>
      <c r="G60" s="179">
        <v>0</v>
      </c>
      <c r="H60" s="80">
        <f t="shared" si="23"/>
        <v>0</v>
      </c>
      <c r="I60" s="179">
        <v>0</v>
      </c>
      <c r="J60" s="80">
        <f t="shared" si="24"/>
        <v>0</v>
      </c>
      <c r="K60" s="179">
        <v>0</v>
      </c>
      <c r="L60" s="80">
        <f t="shared" si="25"/>
        <v>0</v>
      </c>
      <c r="M60" s="179">
        <v>0</v>
      </c>
      <c r="N60" s="80">
        <f t="shared" si="26"/>
        <v>0</v>
      </c>
      <c r="O60" s="179">
        <v>0</v>
      </c>
      <c r="P60" s="80">
        <f t="shared" si="27"/>
        <v>0</v>
      </c>
      <c r="Q60" s="179">
        <v>0</v>
      </c>
      <c r="R60" s="80">
        <f t="shared" si="28"/>
        <v>0</v>
      </c>
      <c r="S60" s="179">
        <v>0</v>
      </c>
      <c r="T60" s="80">
        <f t="shared" si="29"/>
        <v>0</v>
      </c>
      <c r="U60" s="179">
        <v>0</v>
      </c>
      <c r="V60" s="80">
        <f t="shared" si="30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1"/>
        <v>0</v>
      </c>
      <c r="E61" s="179">
        <v>0</v>
      </c>
      <c r="F61" s="80">
        <f t="shared" si="22"/>
        <v>0</v>
      </c>
      <c r="G61" s="179">
        <v>0</v>
      </c>
      <c r="H61" s="80">
        <f t="shared" si="23"/>
        <v>0</v>
      </c>
      <c r="I61" s="179">
        <v>0</v>
      </c>
      <c r="J61" s="80">
        <f t="shared" si="24"/>
        <v>0</v>
      </c>
      <c r="K61" s="179">
        <v>0</v>
      </c>
      <c r="L61" s="80">
        <f t="shared" si="25"/>
        <v>0</v>
      </c>
      <c r="M61" s="179">
        <v>0</v>
      </c>
      <c r="N61" s="80">
        <f t="shared" si="26"/>
        <v>0</v>
      </c>
      <c r="O61" s="179">
        <v>0</v>
      </c>
      <c r="P61" s="80">
        <f t="shared" si="27"/>
        <v>0</v>
      </c>
      <c r="Q61" s="179">
        <v>0</v>
      </c>
      <c r="R61" s="80">
        <f t="shared" si="28"/>
        <v>0</v>
      </c>
      <c r="S61" s="179">
        <v>0</v>
      </c>
      <c r="T61" s="80">
        <f t="shared" si="29"/>
        <v>0</v>
      </c>
      <c r="U61" s="179">
        <v>0</v>
      </c>
      <c r="V61" s="80">
        <f t="shared" si="30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1"/>
        <v>0</v>
      </c>
      <c r="E62" s="179">
        <v>0</v>
      </c>
      <c r="F62" s="80">
        <f t="shared" si="22"/>
        <v>0</v>
      </c>
      <c r="G62" s="179">
        <v>0</v>
      </c>
      <c r="H62" s="80">
        <f t="shared" si="23"/>
        <v>0</v>
      </c>
      <c r="I62" s="179">
        <v>0</v>
      </c>
      <c r="J62" s="80">
        <f t="shared" si="24"/>
        <v>0</v>
      </c>
      <c r="K62" s="179">
        <v>0</v>
      </c>
      <c r="L62" s="80">
        <f t="shared" si="25"/>
        <v>0</v>
      </c>
      <c r="M62" s="179">
        <v>0</v>
      </c>
      <c r="N62" s="80">
        <f t="shared" si="26"/>
        <v>0</v>
      </c>
      <c r="O62" s="179">
        <v>0</v>
      </c>
      <c r="P62" s="80">
        <f t="shared" si="27"/>
        <v>0</v>
      </c>
      <c r="Q62" s="179">
        <v>0</v>
      </c>
      <c r="R62" s="80">
        <f t="shared" si="28"/>
        <v>0</v>
      </c>
      <c r="S62" s="179">
        <v>0</v>
      </c>
      <c r="T62" s="80">
        <f t="shared" si="29"/>
        <v>0</v>
      </c>
      <c r="U62" s="179">
        <v>0</v>
      </c>
      <c r="V62" s="80">
        <f t="shared" si="30"/>
        <v>0</v>
      </c>
      <c r="X62" s="200"/>
    </row>
    <row r="63" spans="1:24" ht="12.75" customHeight="1">
      <c r="A63" s="2" t="s">
        <v>394</v>
      </c>
      <c r="B63" s="35"/>
      <c r="C63" s="179">
        <v>7517.1765409122081</v>
      </c>
      <c r="D63" s="80">
        <f t="shared" si="21"/>
        <v>1.3722435549171148E-2</v>
      </c>
      <c r="E63" s="179">
        <v>4654.3922722971784</v>
      </c>
      <c r="F63" s="80">
        <f t="shared" si="22"/>
        <v>7.7573204538286308E-3</v>
      </c>
      <c r="G63" s="179">
        <v>5448.3577974814534</v>
      </c>
      <c r="H63" s="80">
        <f t="shared" si="23"/>
        <v>8.9025454207213289E-3</v>
      </c>
      <c r="I63" s="179">
        <v>5508.705852070816</v>
      </c>
      <c r="J63" s="80">
        <f t="shared" si="24"/>
        <v>8.8246601500557732E-3</v>
      </c>
      <c r="K63" s="179">
        <v>5554.171233273807</v>
      </c>
      <c r="L63" s="80">
        <f t="shared" si="25"/>
        <v>8.723032671687685E-3</v>
      </c>
      <c r="M63" s="179">
        <v>5653.3462977387226</v>
      </c>
      <c r="N63" s="80">
        <f t="shared" si="26"/>
        <v>8.7046968648497435E-3</v>
      </c>
      <c r="O63" s="179">
        <v>5754.6102538621481</v>
      </c>
      <c r="P63" s="80">
        <f t="shared" si="27"/>
        <v>8.686879675810168E-3</v>
      </c>
      <c r="Q63" s="179">
        <v>5857.8050732339761</v>
      </c>
      <c r="R63" s="80">
        <f t="shared" si="28"/>
        <v>8.669272112428102E-3</v>
      </c>
      <c r="S63" s="179">
        <v>5962.7741383818484</v>
      </c>
      <c r="T63" s="80">
        <f t="shared" si="29"/>
        <v>8.6515895315735451E-3</v>
      </c>
      <c r="U63" s="179">
        <v>6301.760882104315</v>
      </c>
      <c r="V63" s="80">
        <f t="shared" si="30"/>
        <v>8.9641537240308933E-3</v>
      </c>
      <c r="X63" s="200"/>
    </row>
    <row r="64" spans="1:24" ht="12.75" customHeight="1">
      <c r="A64" s="2" t="s">
        <v>395</v>
      </c>
      <c r="B64" s="35"/>
      <c r="C64" s="179">
        <v>2629.4492159999991</v>
      </c>
      <c r="D64" s="80">
        <f t="shared" si="21"/>
        <v>4.7999999999999987E-3</v>
      </c>
      <c r="E64" s="179">
        <v>2880</v>
      </c>
      <c r="F64" s="80">
        <f t="shared" si="22"/>
        <v>4.7999999999999996E-3</v>
      </c>
      <c r="G64" s="179">
        <v>2937.6</v>
      </c>
      <c r="H64" s="80">
        <f t="shared" si="23"/>
        <v>4.7999999999999996E-3</v>
      </c>
      <c r="I64" s="179">
        <v>2996.3519999999999</v>
      </c>
      <c r="J64" s="80">
        <f t="shared" si="24"/>
        <v>4.7999999999999996E-3</v>
      </c>
      <c r="K64" s="179">
        <v>3056.2790399999994</v>
      </c>
      <c r="L64" s="80">
        <f t="shared" si="25"/>
        <v>4.7999999999999987E-3</v>
      </c>
      <c r="M64" s="179">
        <v>3117.4046208000004</v>
      </c>
      <c r="N64" s="80">
        <f t="shared" si="26"/>
        <v>4.7999999999999996E-3</v>
      </c>
      <c r="O64" s="179">
        <v>3179.7527132159998</v>
      </c>
      <c r="P64" s="80">
        <f t="shared" si="27"/>
        <v>4.7999999999999996E-3</v>
      </c>
      <c r="Q64" s="179">
        <v>3243.3477674803194</v>
      </c>
      <c r="R64" s="80">
        <f t="shared" si="28"/>
        <v>4.7999999999999987E-3</v>
      </c>
      <c r="S64" s="179">
        <v>3308.2147228299268</v>
      </c>
      <c r="T64" s="80">
        <f t="shared" si="29"/>
        <v>4.8000000000000004E-3</v>
      </c>
      <c r="U64" s="179">
        <v>3374.3790172865251</v>
      </c>
      <c r="V64" s="80">
        <f t="shared" si="30"/>
        <v>4.7999999999999996E-3</v>
      </c>
      <c r="X64" s="200"/>
    </row>
    <row r="65" spans="1:24" ht="12.75" customHeight="1">
      <c r="A65" s="2" t="s">
        <v>396</v>
      </c>
      <c r="B65" s="35"/>
      <c r="C65" s="179">
        <v>273.90095999999994</v>
      </c>
      <c r="D65" s="80">
        <f t="shared" si="21"/>
        <v>5.0000000000000001E-4</v>
      </c>
      <c r="E65" s="179">
        <v>300</v>
      </c>
      <c r="F65" s="80">
        <f t="shared" si="22"/>
        <v>5.0000000000000001E-4</v>
      </c>
      <c r="G65" s="179">
        <v>306.00000000000006</v>
      </c>
      <c r="H65" s="80">
        <f t="shared" si="23"/>
        <v>5.0000000000000012E-4</v>
      </c>
      <c r="I65" s="179">
        <v>312.12000000000006</v>
      </c>
      <c r="J65" s="80">
        <f t="shared" si="24"/>
        <v>5.0000000000000012E-4</v>
      </c>
      <c r="K65" s="179">
        <v>318.36240000000004</v>
      </c>
      <c r="L65" s="80">
        <f t="shared" si="25"/>
        <v>5.0000000000000001E-4</v>
      </c>
      <c r="M65" s="179">
        <v>324.72964800000005</v>
      </c>
      <c r="N65" s="80">
        <f t="shared" si="26"/>
        <v>5.0000000000000001E-4</v>
      </c>
      <c r="O65" s="179">
        <v>331.22424096000003</v>
      </c>
      <c r="P65" s="80">
        <f t="shared" si="27"/>
        <v>5.0000000000000001E-4</v>
      </c>
      <c r="Q65" s="179">
        <v>337.84872577920004</v>
      </c>
      <c r="R65" s="80">
        <f t="shared" si="28"/>
        <v>5.0000000000000001E-4</v>
      </c>
      <c r="S65" s="179">
        <v>344.60570029478407</v>
      </c>
      <c r="T65" s="80">
        <f t="shared" si="29"/>
        <v>5.0000000000000001E-4</v>
      </c>
      <c r="U65" s="179">
        <v>351.49781430067969</v>
      </c>
      <c r="V65" s="80">
        <f t="shared" si="30"/>
        <v>5.0000000000000001E-4</v>
      </c>
      <c r="X65" s="200"/>
    </row>
    <row r="66" spans="1:24" ht="12.75" customHeight="1">
      <c r="A66" s="2" t="s">
        <v>397</v>
      </c>
      <c r="B66" s="35"/>
      <c r="C66" s="179">
        <v>1533.8453759999998</v>
      </c>
      <c r="D66" s="80">
        <f t="shared" si="21"/>
        <v>2.8E-3</v>
      </c>
      <c r="E66" s="179">
        <v>1680.0000000000002</v>
      </c>
      <c r="F66" s="80">
        <f t="shared" si="22"/>
        <v>2.8000000000000004E-3</v>
      </c>
      <c r="G66" s="179">
        <v>1713.6000000000001</v>
      </c>
      <c r="H66" s="80">
        <f t="shared" si="23"/>
        <v>2.8000000000000004E-3</v>
      </c>
      <c r="I66" s="179">
        <v>1747.8719999999998</v>
      </c>
      <c r="J66" s="80">
        <f t="shared" si="24"/>
        <v>2.7999999999999995E-3</v>
      </c>
      <c r="K66" s="179">
        <v>1782.82944</v>
      </c>
      <c r="L66" s="80">
        <f t="shared" si="25"/>
        <v>2.8E-3</v>
      </c>
      <c r="M66" s="179">
        <v>1818.4860288000004</v>
      </c>
      <c r="N66" s="80">
        <f t="shared" si="26"/>
        <v>2.8000000000000004E-3</v>
      </c>
      <c r="O66" s="179">
        <v>1854.8557493759999</v>
      </c>
      <c r="P66" s="80">
        <f t="shared" si="27"/>
        <v>2.7999999999999995E-3</v>
      </c>
      <c r="Q66" s="179">
        <v>1891.9528643635199</v>
      </c>
      <c r="R66" s="80">
        <f t="shared" si="28"/>
        <v>2.7999999999999995E-3</v>
      </c>
      <c r="S66" s="179">
        <v>1929.7919216507905</v>
      </c>
      <c r="T66" s="80">
        <f t="shared" si="29"/>
        <v>2.8E-3</v>
      </c>
      <c r="U66" s="179">
        <v>1968.3877600838064</v>
      </c>
      <c r="V66" s="80">
        <f t="shared" si="30"/>
        <v>2.8E-3</v>
      </c>
      <c r="X66" s="200"/>
    </row>
    <row r="67" spans="1:24" ht="12.75" customHeight="1">
      <c r="A67" s="2" t="s">
        <v>398</v>
      </c>
      <c r="B67" s="35"/>
      <c r="C67" s="179">
        <v>8217.0287999999982</v>
      </c>
      <c r="D67" s="80">
        <f t="shared" si="21"/>
        <v>1.4999999999999999E-2</v>
      </c>
      <c r="E67" s="179">
        <v>9000</v>
      </c>
      <c r="F67" s="80">
        <f t="shared" si="22"/>
        <v>1.4999999999999999E-2</v>
      </c>
      <c r="G67" s="179">
        <v>9180</v>
      </c>
      <c r="H67" s="80">
        <f t="shared" si="23"/>
        <v>1.4999999999999999E-2</v>
      </c>
      <c r="I67" s="179">
        <v>9363.6</v>
      </c>
      <c r="J67" s="80">
        <f t="shared" si="24"/>
        <v>1.5000000000000001E-2</v>
      </c>
      <c r="K67" s="179">
        <v>9550.8719999999994</v>
      </c>
      <c r="L67" s="80">
        <f t="shared" si="25"/>
        <v>1.4999999999999998E-2</v>
      </c>
      <c r="M67" s="179">
        <v>9741.8894400000027</v>
      </c>
      <c r="N67" s="80">
        <f t="shared" si="26"/>
        <v>1.5000000000000001E-2</v>
      </c>
      <c r="O67" s="179">
        <v>9936.7272288000004</v>
      </c>
      <c r="P67" s="80">
        <f t="shared" si="27"/>
        <v>1.4999999999999999E-2</v>
      </c>
      <c r="Q67" s="179">
        <v>10135.461773376001</v>
      </c>
      <c r="R67" s="80">
        <f t="shared" si="28"/>
        <v>1.4999999999999999E-2</v>
      </c>
      <c r="S67" s="179">
        <v>10338.171008843521</v>
      </c>
      <c r="T67" s="80">
        <f t="shared" si="29"/>
        <v>1.4999999999999999E-2</v>
      </c>
      <c r="U67" s="179">
        <v>10544.934429020392</v>
      </c>
      <c r="V67" s="80">
        <f t="shared" si="30"/>
        <v>1.4999999999999999E-2</v>
      </c>
      <c r="X67" s="200"/>
    </row>
    <row r="68" spans="1:24" ht="12.75" customHeight="1">
      <c r="A68" s="2" t="s">
        <v>399</v>
      </c>
      <c r="B68" s="35"/>
      <c r="C68" s="179">
        <v>931.26326399999982</v>
      </c>
      <c r="D68" s="80">
        <f t="shared" si="21"/>
        <v>1.6999999999999999E-3</v>
      </c>
      <c r="E68" s="179">
        <v>1020</v>
      </c>
      <c r="F68" s="80">
        <f t="shared" si="22"/>
        <v>1.6999999999999999E-3</v>
      </c>
      <c r="G68" s="179">
        <v>1040.4000000000001</v>
      </c>
      <c r="H68" s="80">
        <f t="shared" si="23"/>
        <v>1.7000000000000001E-3</v>
      </c>
      <c r="I68" s="179">
        <v>1061.2080000000001</v>
      </c>
      <c r="J68" s="80">
        <f t="shared" si="24"/>
        <v>1.7000000000000001E-3</v>
      </c>
      <c r="K68" s="179">
        <v>1082.4321599999998</v>
      </c>
      <c r="L68" s="80">
        <f t="shared" si="25"/>
        <v>1.6999999999999997E-3</v>
      </c>
      <c r="M68" s="179">
        <v>1104.0808032000002</v>
      </c>
      <c r="N68" s="80">
        <f t="shared" si="26"/>
        <v>1.7000000000000001E-3</v>
      </c>
      <c r="O68" s="179">
        <v>1126.1624192640002</v>
      </c>
      <c r="P68" s="80">
        <f t="shared" si="27"/>
        <v>1.7000000000000001E-3</v>
      </c>
      <c r="Q68" s="179">
        <v>1148.68566764928</v>
      </c>
      <c r="R68" s="80">
        <f t="shared" si="28"/>
        <v>1.6999999999999999E-3</v>
      </c>
      <c r="S68" s="179">
        <v>1171.6593810022657</v>
      </c>
      <c r="T68" s="80">
        <f t="shared" si="29"/>
        <v>1.6999999999999999E-3</v>
      </c>
      <c r="U68" s="179">
        <v>1195.0925686223109</v>
      </c>
      <c r="V68" s="80">
        <f t="shared" si="30"/>
        <v>1.6999999999999997E-3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1"/>
        <v>0</v>
      </c>
      <c r="E69" s="179">
        <v>0</v>
      </c>
      <c r="F69" s="80">
        <f t="shared" si="22"/>
        <v>0</v>
      </c>
      <c r="G69" s="179">
        <v>0</v>
      </c>
      <c r="H69" s="80">
        <f t="shared" si="23"/>
        <v>0</v>
      </c>
      <c r="I69" s="179">
        <v>0</v>
      </c>
      <c r="J69" s="80">
        <f t="shared" si="24"/>
        <v>0</v>
      </c>
      <c r="K69" s="179">
        <v>0</v>
      </c>
      <c r="L69" s="80">
        <f t="shared" si="25"/>
        <v>0</v>
      </c>
      <c r="M69" s="179">
        <v>0</v>
      </c>
      <c r="N69" s="80">
        <f t="shared" si="26"/>
        <v>0</v>
      </c>
      <c r="O69" s="179">
        <v>0</v>
      </c>
      <c r="P69" s="80">
        <f t="shared" si="27"/>
        <v>0</v>
      </c>
      <c r="Q69" s="179">
        <v>0</v>
      </c>
      <c r="R69" s="80">
        <f t="shared" si="28"/>
        <v>0</v>
      </c>
      <c r="S69" s="179">
        <v>0</v>
      </c>
      <c r="T69" s="80">
        <f t="shared" si="29"/>
        <v>0</v>
      </c>
      <c r="U69" s="179">
        <v>0</v>
      </c>
      <c r="V69" s="80">
        <f t="shared" si="30"/>
        <v>0</v>
      </c>
      <c r="X69" s="200"/>
    </row>
    <row r="70" spans="1:24" ht="12.75" customHeight="1">
      <c r="A70" s="2" t="s">
        <v>401</v>
      </c>
      <c r="B70" s="35"/>
      <c r="C70" s="179">
        <v>54.780192</v>
      </c>
      <c r="D70" s="80">
        <f t="shared" si="21"/>
        <v>1.0000000000000002E-4</v>
      </c>
      <c r="E70" s="179">
        <v>60.000000000000007</v>
      </c>
      <c r="F70" s="80">
        <f t="shared" si="22"/>
        <v>1.0000000000000002E-4</v>
      </c>
      <c r="G70" s="179">
        <v>61.2</v>
      </c>
      <c r="H70" s="80">
        <f t="shared" si="23"/>
        <v>1E-4</v>
      </c>
      <c r="I70" s="179">
        <v>62.424000000000007</v>
      </c>
      <c r="J70" s="80">
        <f t="shared" si="24"/>
        <v>1E-4</v>
      </c>
      <c r="K70" s="179">
        <v>63.67248</v>
      </c>
      <c r="L70" s="80">
        <f t="shared" si="25"/>
        <v>9.9999999999999991E-5</v>
      </c>
      <c r="M70" s="179">
        <v>64.945929600000014</v>
      </c>
      <c r="N70" s="80">
        <f t="shared" si="26"/>
        <v>1E-4</v>
      </c>
      <c r="O70" s="179">
        <v>66.244848192000006</v>
      </c>
      <c r="P70" s="80">
        <f t="shared" si="27"/>
        <v>1E-4</v>
      </c>
      <c r="Q70" s="179">
        <v>67.56974515584001</v>
      </c>
      <c r="R70" s="80">
        <f t="shared" si="28"/>
        <v>1E-4</v>
      </c>
      <c r="S70" s="179">
        <v>68.921140058956809</v>
      </c>
      <c r="T70" s="80">
        <f t="shared" si="29"/>
        <v>1E-4</v>
      </c>
      <c r="U70" s="179">
        <v>70.29956286013595</v>
      </c>
      <c r="V70" s="80">
        <f t="shared" si="30"/>
        <v>1E-4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1"/>
        <v>0</v>
      </c>
      <c r="E71" s="179">
        <v>0</v>
      </c>
      <c r="F71" s="80">
        <f t="shared" si="22"/>
        <v>0</v>
      </c>
      <c r="G71" s="179">
        <v>0</v>
      </c>
      <c r="H71" s="80">
        <f t="shared" si="23"/>
        <v>0</v>
      </c>
      <c r="I71" s="179">
        <v>0</v>
      </c>
      <c r="J71" s="80">
        <f t="shared" si="24"/>
        <v>0</v>
      </c>
      <c r="K71" s="179">
        <v>0</v>
      </c>
      <c r="L71" s="80">
        <f t="shared" si="25"/>
        <v>0</v>
      </c>
      <c r="M71" s="179">
        <v>0</v>
      </c>
      <c r="N71" s="80">
        <f t="shared" si="26"/>
        <v>0</v>
      </c>
      <c r="O71" s="179">
        <v>0</v>
      </c>
      <c r="P71" s="80">
        <f t="shared" si="27"/>
        <v>0</v>
      </c>
      <c r="Q71" s="179">
        <v>0</v>
      </c>
      <c r="R71" s="80">
        <f t="shared" si="28"/>
        <v>0</v>
      </c>
      <c r="S71" s="179">
        <v>0</v>
      </c>
      <c r="T71" s="80">
        <f t="shared" si="29"/>
        <v>0</v>
      </c>
      <c r="U71" s="179">
        <v>0</v>
      </c>
      <c r="V71" s="80">
        <f t="shared" si="30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1"/>
        <v>0</v>
      </c>
      <c r="E72" s="179">
        <v>0</v>
      </c>
      <c r="F72" s="80">
        <f t="shared" si="22"/>
        <v>0</v>
      </c>
      <c r="G72" s="179">
        <v>0</v>
      </c>
      <c r="H72" s="80">
        <f t="shared" si="23"/>
        <v>0</v>
      </c>
      <c r="I72" s="179">
        <v>0</v>
      </c>
      <c r="J72" s="80">
        <f t="shared" si="24"/>
        <v>0</v>
      </c>
      <c r="K72" s="179">
        <v>0</v>
      </c>
      <c r="L72" s="80">
        <f t="shared" si="25"/>
        <v>0</v>
      </c>
      <c r="M72" s="179">
        <v>0</v>
      </c>
      <c r="N72" s="80">
        <f t="shared" si="26"/>
        <v>0</v>
      </c>
      <c r="O72" s="179">
        <v>0</v>
      </c>
      <c r="P72" s="80">
        <f t="shared" si="27"/>
        <v>0</v>
      </c>
      <c r="Q72" s="179">
        <v>0</v>
      </c>
      <c r="R72" s="80">
        <f t="shared" si="28"/>
        <v>0</v>
      </c>
      <c r="S72" s="179">
        <v>0</v>
      </c>
      <c r="T72" s="80">
        <f t="shared" si="29"/>
        <v>0</v>
      </c>
      <c r="U72" s="179">
        <v>0</v>
      </c>
      <c r="V72" s="80">
        <f t="shared" si="30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1"/>
        <v>0</v>
      </c>
      <c r="E73" s="179">
        <v>0</v>
      </c>
      <c r="F73" s="80">
        <f t="shared" si="22"/>
        <v>0</v>
      </c>
      <c r="G73" s="179">
        <v>0</v>
      </c>
      <c r="H73" s="80">
        <f t="shared" si="23"/>
        <v>0</v>
      </c>
      <c r="I73" s="179">
        <v>0</v>
      </c>
      <c r="J73" s="80">
        <f t="shared" si="24"/>
        <v>0</v>
      </c>
      <c r="K73" s="179">
        <v>0</v>
      </c>
      <c r="L73" s="80">
        <f t="shared" si="25"/>
        <v>0</v>
      </c>
      <c r="M73" s="179">
        <v>0</v>
      </c>
      <c r="N73" s="80">
        <f t="shared" si="26"/>
        <v>0</v>
      </c>
      <c r="O73" s="179">
        <v>0</v>
      </c>
      <c r="P73" s="80">
        <f t="shared" si="27"/>
        <v>0</v>
      </c>
      <c r="Q73" s="179">
        <v>0</v>
      </c>
      <c r="R73" s="80">
        <f t="shared" si="28"/>
        <v>0</v>
      </c>
      <c r="S73" s="179">
        <v>0</v>
      </c>
      <c r="T73" s="80">
        <f t="shared" si="29"/>
        <v>0</v>
      </c>
      <c r="U73" s="179">
        <v>0</v>
      </c>
      <c r="V73" s="80">
        <f t="shared" si="30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1"/>
        <v>0</v>
      </c>
      <c r="E74" s="179">
        <v>0</v>
      </c>
      <c r="F74" s="80">
        <f t="shared" si="22"/>
        <v>0</v>
      </c>
      <c r="G74" s="179">
        <v>0</v>
      </c>
      <c r="H74" s="80">
        <f t="shared" si="23"/>
        <v>0</v>
      </c>
      <c r="I74" s="179">
        <v>0</v>
      </c>
      <c r="J74" s="80">
        <f t="shared" si="24"/>
        <v>0</v>
      </c>
      <c r="K74" s="179">
        <v>0</v>
      </c>
      <c r="L74" s="80">
        <f t="shared" si="25"/>
        <v>0</v>
      </c>
      <c r="M74" s="179">
        <v>0</v>
      </c>
      <c r="N74" s="80">
        <f t="shared" si="26"/>
        <v>0</v>
      </c>
      <c r="O74" s="179">
        <v>0</v>
      </c>
      <c r="P74" s="80">
        <f t="shared" si="27"/>
        <v>0</v>
      </c>
      <c r="Q74" s="179">
        <v>0</v>
      </c>
      <c r="R74" s="80">
        <f t="shared" si="28"/>
        <v>0</v>
      </c>
      <c r="S74" s="179">
        <v>0</v>
      </c>
      <c r="T74" s="80">
        <f t="shared" si="29"/>
        <v>0</v>
      </c>
      <c r="U74" s="179">
        <v>0</v>
      </c>
      <c r="V74" s="80">
        <f t="shared" si="30"/>
        <v>0</v>
      </c>
      <c r="X74" s="200"/>
    </row>
    <row r="75" spans="1:24" ht="12.75" customHeight="1">
      <c r="A75" s="2" t="s">
        <v>406</v>
      </c>
      <c r="B75" s="35"/>
      <c r="C75" s="179">
        <v>2739.0095999999994</v>
      </c>
      <c r="D75" s="80">
        <f t="shared" si="21"/>
        <v>4.9999999999999992E-3</v>
      </c>
      <c r="E75" s="179">
        <v>3000</v>
      </c>
      <c r="F75" s="80">
        <f t="shared" si="22"/>
        <v>5.0000000000000001E-3</v>
      </c>
      <c r="G75" s="179">
        <v>3060</v>
      </c>
      <c r="H75" s="80">
        <f t="shared" si="23"/>
        <v>5.0000000000000001E-3</v>
      </c>
      <c r="I75" s="179">
        <v>3121.2000000000003</v>
      </c>
      <c r="J75" s="80">
        <f t="shared" si="24"/>
        <v>5.0000000000000001E-3</v>
      </c>
      <c r="K75" s="179">
        <v>3183.6240000000003</v>
      </c>
      <c r="L75" s="80">
        <f t="shared" si="25"/>
        <v>5.0000000000000001E-3</v>
      </c>
      <c r="M75" s="179">
        <v>3247.2964800000004</v>
      </c>
      <c r="N75" s="80">
        <f t="shared" si="26"/>
        <v>5.0000000000000001E-3</v>
      </c>
      <c r="O75" s="179">
        <v>3312.2424096000009</v>
      </c>
      <c r="P75" s="80">
        <f t="shared" si="27"/>
        <v>5.000000000000001E-3</v>
      </c>
      <c r="Q75" s="179">
        <v>3378.487257792</v>
      </c>
      <c r="R75" s="80">
        <f t="shared" si="28"/>
        <v>4.9999999999999992E-3</v>
      </c>
      <c r="S75" s="179">
        <v>3446.0570029478408</v>
      </c>
      <c r="T75" s="80">
        <f t="shared" si="29"/>
        <v>5.000000000000001E-3</v>
      </c>
      <c r="U75" s="179">
        <v>3514.9781430067969</v>
      </c>
      <c r="V75" s="80">
        <f t="shared" si="30"/>
        <v>4.9999999999999992E-3</v>
      </c>
      <c r="X75" s="200"/>
    </row>
    <row r="76" spans="1:24" ht="12.75" customHeight="1">
      <c r="A76" s="2" t="s">
        <v>407</v>
      </c>
      <c r="B76" s="35"/>
      <c r="C76" s="179">
        <v>219.120768</v>
      </c>
      <c r="D76" s="80">
        <f t="shared" si="21"/>
        <v>4.0000000000000007E-4</v>
      </c>
      <c r="E76" s="179">
        <v>240.00000000000003</v>
      </c>
      <c r="F76" s="80">
        <f t="shared" si="22"/>
        <v>4.0000000000000007E-4</v>
      </c>
      <c r="G76" s="179">
        <v>244.8</v>
      </c>
      <c r="H76" s="80">
        <f t="shared" si="23"/>
        <v>4.0000000000000002E-4</v>
      </c>
      <c r="I76" s="179">
        <v>249.69600000000003</v>
      </c>
      <c r="J76" s="80">
        <f t="shared" si="24"/>
        <v>4.0000000000000002E-4</v>
      </c>
      <c r="K76" s="179">
        <v>254.68992</v>
      </c>
      <c r="L76" s="80">
        <f t="shared" si="25"/>
        <v>3.9999999999999996E-4</v>
      </c>
      <c r="M76" s="179">
        <v>259.78371840000005</v>
      </c>
      <c r="N76" s="80">
        <f t="shared" si="26"/>
        <v>4.0000000000000002E-4</v>
      </c>
      <c r="O76" s="179">
        <v>264.97939276800003</v>
      </c>
      <c r="P76" s="80">
        <f t="shared" si="27"/>
        <v>4.0000000000000002E-4</v>
      </c>
      <c r="Q76" s="179">
        <v>270.27898062336004</v>
      </c>
      <c r="R76" s="80">
        <f t="shared" si="28"/>
        <v>4.0000000000000002E-4</v>
      </c>
      <c r="S76" s="179">
        <v>275.68456023582723</v>
      </c>
      <c r="T76" s="80">
        <f t="shared" si="29"/>
        <v>4.0000000000000002E-4</v>
      </c>
      <c r="U76" s="179">
        <v>281.1982514405438</v>
      </c>
      <c r="V76" s="80">
        <f t="shared" si="30"/>
        <v>4.0000000000000002E-4</v>
      </c>
      <c r="X76" s="200"/>
    </row>
    <row r="77" spans="1:24" ht="12.75" customHeight="1">
      <c r="A77" s="2" t="s">
        <v>408</v>
      </c>
      <c r="B77" s="35"/>
      <c r="C77" s="179">
        <v>712.14249599999982</v>
      </c>
      <c r="D77" s="80">
        <f t="shared" si="21"/>
        <v>1.2999999999999999E-3</v>
      </c>
      <c r="E77" s="179">
        <v>780</v>
      </c>
      <c r="F77" s="80">
        <f t="shared" si="22"/>
        <v>1.2999999999999999E-3</v>
      </c>
      <c r="G77" s="179">
        <v>795.59999999999991</v>
      </c>
      <c r="H77" s="80">
        <f t="shared" si="23"/>
        <v>1.2999999999999999E-3</v>
      </c>
      <c r="I77" s="179">
        <v>811.51199999999994</v>
      </c>
      <c r="J77" s="80">
        <f t="shared" si="24"/>
        <v>1.2999999999999999E-3</v>
      </c>
      <c r="K77" s="179">
        <v>827.74223999999992</v>
      </c>
      <c r="L77" s="80">
        <f t="shared" si="25"/>
        <v>1.2999999999999997E-3</v>
      </c>
      <c r="M77" s="179">
        <v>844.29708480000011</v>
      </c>
      <c r="N77" s="80">
        <f t="shared" si="26"/>
        <v>1.2999999999999999E-3</v>
      </c>
      <c r="O77" s="179">
        <v>861.18302649600002</v>
      </c>
      <c r="P77" s="80">
        <f t="shared" si="27"/>
        <v>1.2999999999999999E-3</v>
      </c>
      <c r="Q77" s="179">
        <v>878.40668702592006</v>
      </c>
      <c r="R77" s="80">
        <f t="shared" si="28"/>
        <v>1.2999999999999999E-3</v>
      </c>
      <c r="S77" s="179">
        <v>895.97482076643848</v>
      </c>
      <c r="T77" s="80">
        <f t="shared" si="29"/>
        <v>1.2999999999999999E-3</v>
      </c>
      <c r="U77" s="179">
        <v>913.89431718176729</v>
      </c>
      <c r="V77" s="80">
        <f t="shared" si="30"/>
        <v>1.2999999999999999E-3</v>
      </c>
      <c r="X77" s="200"/>
    </row>
    <row r="78" spans="1:24" ht="12.75" customHeight="1">
      <c r="A78" s="2" t="s">
        <v>409</v>
      </c>
      <c r="B78" s="35"/>
      <c r="C78" s="179">
        <v>12051.642239999997</v>
      </c>
      <c r="D78" s="80">
        <f t="shared" si="21"/>
        <v>2.1999999999999999E-2</v>
      </c>
      <c r="E78" s="179">
        <v>13200</v>
      </c>
      <c r="F78" s="80">
        <f t="shared" si="22"/>
        <v>2.1999999999999999E-2</v>
      </c>
      <c r="G78" s="179">
        <v>13464</v>
      </c>
      <c r="H78" s="80">
        <f t="shared" si="23"/>
        <v>2.1999999999999999E-2</v>
      </c>
      <c r="I78" s="179">
        <v>13733.279999999999</v>
      </c>
      <c r="J78" s="80">
        <f t="shared" si="24"/>
        <v>2.1999999999999999E-2</v>
      </c>
      <c r="K78" s="179">
        <v>14007.945599999999</v>
      </c>
      <c r="L78" s="80">
        <f t="shared" si="25"/>
        <v>2.1999999999999995E-2</v>
      </c>
      <c r="M78" s="179">
        <v>14288.104512000002</v>
      </c>
      <c r="N78" s="80">
        <f t="shared" si="26"/>
        <v>2.1999999999999999E-2</v>
      </c>
      <c r="O78" s="179">
        <v>14573.866602239999</v>
      </c>
      <c r="P78" s="80">
        <f t="shared" si="27"/>
        <v>2.1999999999999999E-2</v>
      </c>
      <c r="Q78" s="179">
        <v>14865.343934284798</v>
      </c>
      <c r="R78" s="80">
        <f t="shared" si="28"/>
        <v>2.1999999999999995E-2</v>
      </c>
      <c r="S78" s="179">
        <v>15162.650812970496</v>
      </c>
      <c r="T78" s="80">
        <f t="shared" si="29"/>
        <v>2.1999999999999999E-2</v>
      </c>
      <c r="U78" s="179">
        <v>15465.903829229908</v>
      </c>
      <c r="V78" s="80">
        <f t="shared" si="30"/>
        <v>2.2000000000000002E-2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1"/>
        <v>0</v>
      </c>
      <c r="E79" s="179">
        <v>0</v>
      </c>
      <c r="F79" s="80">
        <f t="shared" si="22"/>
        <v>0</v>
      </c>
      <c r="G79" s="179">
        <v>0</v>
      </c>
      <c r="H79" s="80">
        <f t="shared" si="23"/>
        <v>0</v>
      </c>
      <c r="I79" s="179">
        <v>0</v>
      </c>
      <c r="J79" s="80">
        <f t="shared" si="24"/>
        <v>0</v>
      </c>
      <c r="K79" s="179">
        <v>0</v>
      </c>
      <c r="L79" s="80">
        <f t="shared" si="25"/>
        <v>0</v>
      </c>
      <c r="M79" s="179">
        <v>0</v>
      </c>
      <c r="N79" s="80">
        <f t="shared" si="26"/>
        <v>0</v>
      </c>
      <c r="O79" s="179">
        <v>0</v>
      </c>
      <c r="P79" s="80">
        <f t="shared" si="27"/>
        <v>0</v>
      </c>
      <c r="Q79" s="179">
        <v>0</v>
      </c>
      <c r="R79" s="80">
        <f t="shared" si="28"/>
        <v>0</v>
      </c>
      <c r="S79" s="179">
        <v>0</v>
      </c>
      <c r="T79" s="80">
        <f t="shared" si="29"/>
        <v>0</v>
      </c>
      <c r="U79" s="179">
        <v>0</v>
      </c>
      <c r="V79" s="80">
        <f t="shared" si="30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1"/>
        <v>0</v>
      </c>
      <c r="E80" s="179">
        <v>0</v>
      </c>
      <c r="F80" s="80">
        <f t="shared" si="22"/>
        <v>0</v>
      </c>
      <c r="G80" s="179">
        <v>0</v>
      </c>
      <c r="H80" s="80">
        <f t="shared" si="23"/>
        <v>0</v>
      </c>
      <c r="I80" s="179">
        <v>0</v>
      </c>
      <c r="J80" s="80">
        <f t="shared" si="24"/>
        <v>0</v>
      </c>
      <c r="K80" s="179">
        <v>0</v>
      </c>
      <c r="L80" s="80">
        <f t="shared" si="25"/>
        <v>0</v>
      </c>
      <c r="M80" s="179">
        <v>0</v>
      </c>
      <c r="N80" s="80">
        <f t="shared" si="26"/>
        <v>0</v>
      </c>
      <c r="O80" s="179">
        <v>0</v>
      </c>
      <c r="P80" s="80">
        <f t="shared" si="27"/>
        <v>0</v>
      </c>
      <c r="Q80" s="179">
        <v>0</v>
      </c>
      <c r="R80" s="80">
        <f t="shared" si="28"/>
        <v>0</v>
      </c>
      <c r="S80" s="179">
        <v>0</v>
      </c>
      <c r="T80" s="80">
        <f t="shared" si="29"/>
        <v>0</v>
      </c>
      <c r="U80" s="179">
        <v>0</v>
      </c>
      <c r="V80" s="80">
        <f t="shared" si="30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1"/>
        <v>0</v>
      </c>
      <c r="E81" s="179">
        <v>0</v>
      </c>
      <c r="F81" s="80">
        <f t="shared" si="22"/>
        <v>0</v>
      </c>
      <c r="G81" s="179">
        <v>0</v>
      </c>
      <c r="H81" s="80">
        <f t="shared" si="23"/>
        <v>0</v>
      </c>
      <c r="I81" s="179">
        <v>0</v>
      </c>
      <c r="J81" s="80">
        <f t="shared" si="24"/>
        <v>0</v>
      </c>
      <c r="K81" s="179">
        <v>0</v>
      </c>
      <c r="L81" s="80">
        <f t="shared" si="25"/>
        <v>0</v>
      </c>
      <c r="M81" s="179">
        <v>0</v>
      </c>
      <c r="N81" s="80">
        <f t="shared" si="26"/>
        <v>0</v>
      </c>
      <c r="O81" s="179">
        <v>0</v>
      </c>
      <c r="P81" s="80">
        <f t="shared" si="27"/>
        <v>0</v>
      </c>
      <c r="Q81" s="179">
        <v>0</v>
      </c>
      <c r="R81" s="80">
        <f t="shared" si="28"/>
        <v>0</v>
      </c>
      <c r="S81" s="179">
        <v>0</v>
      </c>
      <c r="T81" s="80">
        <f t="shared" si="29"/>
        <v>0</v>
      </c>
      <c r="U81" s="179">
        <v>0</v>
      </c>
      <c r="V81" s="80">
        <f t="shared" si="30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1"/>
        <v>0</v>
      </c>
      <c r="E82" s="179">
        <v>0</v>
      </c>
      <c r="F82" s="80">
        <f t="shared" si="22"/>
        <v>0</v>
      </c>
      <c r="G82" s="179">
        <v>0</v>
      </c>
      <c r="H82" s="80">
        <f t="shared" si="23"/>
        <v>0</v>
      </c>
      <c r="I82" s="179">
        <v>0</v>
      </c>
      <c r="J82" s="80">
        <f t="shared" si="24"/>
        <v>0</v>
      </c>
      <c r="K82" s="179">
        <v>0</v>
      </c>
      <c r="L82" s="80">
        <f t="shared" si="25"/>
        <v>0</v>
      </c>
      <c r="M82" s="179">
        <v>0</v>
      </c>
      <c r="N82" s="80">
        <f t="shared" si="26"/>
        <v>0</v>
      </c>
      <c r="O82" s="179">
        <v>0</v>
      </c>
      <c r="P82" s="80">
        <f t="shared" si="27"/>
        <v>0</v>
      </c>
      <c r="Q82" s="179">
        <v>0</v>
      </c>
      <c r="R82" s="80">
        <f t="shared" si="28"/>
        <v>0</v>
      </c>
      <c r="S82" s="179">
        <v>0</v>
      </c>
      <c r="T82" s="80">
        <f t="shared" si="29"/>
        <v>0</v>
      </c>
      <c r="U82" s="179">
        <v>0</v>
      </c>
      <c r="V82" s="80">
        <f t="shared" si="30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1"/>
        <v>0</v>
      </c>
      <c r="E83" s="179">
        <v>0</v>
      </c>
      <c r="F83" s="80">
        <f t="shared" si="22"/>
        <v>0</v>
      </c>
      <c r="G83" s="179">
        <v>0</v>
      </c>
      <c r="H83" s="80">
        <f t="shared" si="23"/>
        <v>0</v>
      </c>
      <c r="I83" s="179">
        <v>0</v>
      </c>
      <c r="J83" s="80">
        <f t="shared" si="24"/>
        <v>0</v>
      </c>
      <c r="K83" s="179">
        <v>0</v>
      </c>
      <c r="L83" s="80">
        <f t="shared" si="25"/>
        <v>0</v>
      </c>
      <c r="M83" s="179">
        <v>0</v>
      </c>
      <c r="N83" s="80">
        <f t="shared" si="26"/>
        <v>0</v>
      </c>
      <c r="O83" s="179">
        <v>0</v>
      </c>
      <c r="P83" s="80">
        <f t="shared" si="27"/>
        <v>0</v>
      </c>
      <c r="Q83" s="179">
        <v>0</v>
      </c>
      <c r="R83" s="80">
        <f t="shared" si="28"/>
        <v>0</v>
      </c>
      <c r="S83" s="179">
        <v>0</v>
      </c>
      <c r="T83" s="80">
        <f t="shared" si="29"/>
        <v>0</v>
      </c>
      <c r="U83" s="179">
        <v>0</v>
      </c>
      <c r="V83" s="80">
        <f t="shared" si="30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1"/>
        <v>0</v>
      </c>
      <c r="E84" s="179">
        <v>0</v>
      </c>
      <c r="F84" s="80">
        <f t="shared" si="22"/>
        <v>0</v>
      </c>
      <c r="G84" s="179">
        <v>0</v>
      </c>
      <c r="H84" s="80">
        <f t="shared" si="23"/>
        <v>0</v>
      </c>
      <c r="I84" s="179">
        <v>0</v>
      </c>
      <c r="J84" s="80">
        <f t="shared" si="24"/>
        <v>0</v>
      </c>
      <c r="K84" s="179">
        <v>0</v>
      </c>
      <c r="L84" s="80">
        <f t="shared" si="25"/>
        <v>0</v>
      </c>
      <c r="M84" s="179">
        <v>0</v>
      </c>
      <c r="N84" s="80">
        <f t="shared" si="26"/>
        <v>0</v>
      </c>
      <c r="O84" s="179">
        <v>0</v>
      </c>
      <c r="P84" s="80">
        <f t="shared" si="27"/>
        <v>0</v>
      </c>
      <c r="Q84" s="179">
        <v>0</v>
      </c>
      <c r="R84" s="80">
        <f t="shared" si="28"/>
        <v>0</v>
      </c>
      <c r="S84" s="179">
        <v>0</v>
      </c>
      <c r="T84" s="80">
        <f t="shared" si="29"/>
        <v>0</v>
      </c>
      <c r="U84" s="179">
        <v>0</v>
      </c>
      <c r="V84" s="80">
        <f t="shared" si="30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1"/>
        <v>0</v>
      </c>
      <c r="E85" s="179">
        <v>0</v>
      </c>
      <c r="F85" s="80">
        <f t="shared" si="22"/>
        <v>0</v>
      </c>
      <c r="G85" s="179">
        <v>0</v>
      </c>
      <c r="H85" s="80">
        <f t="shared" si="23"/>
        <v>0</v>
      </c>
      <c r="I85" s="179">
        <v>0</v>
      </c>
      <c r="J85" s="80">
        <f t="shared" si="24"/>
        <v>0</v>
      </c>
      <c r="K85" s="179">
        <v>0</v>
      </c>
      <c r="L85" s="80">
        <f t="shared" si="25"/>
        <v>0</v>
      </c>
      <c r="M85" s="179">
        <v>0</v>
      </c>
      <c r="N85" s="80">
        <f t="shared" si="26"/>
        <v>0</v>
      </c>
      <c r="O85" s="179">
        <v>0</v>
      </c>
      <c r="P85" s="80">
        <f t="shared" si="27"/>
        <v>0</v>
      </c>
      <c r="Q85" s="179">
        <v>0</v>
      </c>
      <c r="R85" s="80">
        <f t="shared" si="28"/>
        <v>0</v>
      </c>
      <c r="S85" s="179">
        <v>0</v>
      </c>
      <c r="T85" s="80">
        <f t="shared" si="29"/>
        <v>0</v>
      </c>
      <c r="U85" s="179">
        <v>0</v>
      </c>
      <c r="V85" s="80">
        <f t="shared" si="30"/>
        <v>0</v>
      </c>
      <c r="X85" s="200"/>
    </row>
    <row r="86" spans="1:24" ht="12.75" customHeight="1">
      <c r="A86" s="2" t="s">
        <v>417</v>
      </c>
      <c r="B86" s="35"/>
      <c r="C86" s="179">
        <v>2191.2076799999995</v>
      </c>
      <c r="D86" s="80">
        <f t="shared" si="21"/>
        <v>4.0000000000000001E-3</v>
      </c>
      <c r="E86" s="179">
        <v>2400</v>
      </c>
      <c r="F86" s="80">
        <f t="shared" si="22"/>
        <v>4.0000000000000001E-3</v>
      </c>
      <c r="G86" s="179">
        <v>2448.0000000000005</v>
      </c>
      <c r="H86" s="80">
        <f t="shared" si="23"/>
        <v>4.000000000000001E-3</v>
      </c>
      <c r="I86" s="179">
        <v>2496.9600000000005</v>
      </c>
      <c r="J86" s="80">
        <f t="shared" si="24"/>
        <v>4.000000000000001E-3</v>
      </c>
      <c r="K86" s="179">
        <v>2546.8992000000003</v>
      </c>
      <c r="L86" s="80">
        <f t="shared" si="25"/>
        <v>4.0000000000000001E-3</v>
      </c>
      <c r="M86" s="179">
        <v>2597.8371840000004</v>
      </c>
      <c r="N86" s="80">
        <f t="shared" si="26"/>
        <v>4.0000000000000001E-3</v>
      </c>
      <c r="O86" s="179">
        <v>2649.7939276800003</v>
      </c>
      <c r="P86" s="80">
        <f t="shared" si="27"/>
        <v>4.0000000000000001E-3</v>
      </c>
      <c r="Q86" s="179">
        <v>2702.7898062336003</v>
      </c>
      <c r="R86" s="80">
        <f t="shared" si="28"/>
        <v>4.0000000000000001E-3</v>
      </c>
      <c r="S86" s="179">
        <v>2756.8456023582726</v>
      </c>
      <c r="T86" s="80">
        <f t="shared" si="29"/>
        <v>4.0000000000000001E-3</v>
      </c>
      <c r="U86" s="179">
        <v>2811.9825144054375</v>
      </c>
      <c r="V86" s="80">
        <f t="shared" si="30"/>
        <v>4.0000000000000001E-3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1"/>
        <v>0</v>
      </c>
      <c r="E87" s="179">
        <v>0</v>
      </c>
      <c r="F87" s="80">
        <f t="shared" si="22"/>
        <v>0</v>
      </c>
      <c r="G87" s="179">
        <v>0</v>
      </c>
      <c r="H87" s="80">
        <f t="shared" si="23"/>
        <v>0</v>
      </c>
      <c r="I87" s="179">
        <v>0</v>
      </c>
      <c r="J87" s="80">
        <f t="shared" si="24"/>
        <v>0</v>
      </c>
      <c r="K87" s="179">
        <v>0</v>
      </c>
      <c r="L87" s="80">
        <f t="shared" si="25"/>
        <v>0</v>
      </c>
      <c r="M87" s="179">
        <v>0</v>
      </c>
      <c r="N87" s="80">
        <f t="shared" si="26"/>
        <v>0</v>
      </c>
      <c r="O87" s="179">
        <v>0</v>
      </c>
      <c r="P87" s="80">
        <f t="shared" si="27"/>
        <v>0</v>
      </c>
      <c r="Q87" s="179">
        <v>0</v>
      </c>
      <c r="R87" s="80">
        <f t="shared" si="28"/>
        <v>0</v>
      </c>
      <c r="S87" s="179">
        <v>0</v>
      </c>
      <c r="T87" s="80">
        <f t="shared" si="29"/>
        <v>0</v>
      </c>
      <c r="U87" s="179">
        <v>0</v>
      </c>
      <c r="V87" s="80">
        <f t="shared" si="30"/>
        <v>0</v>
      </c>
      <c r="X87" s="200"/>
    </row>
    <row r="88" spans="1:24" ht="12.75" customHeight="1">
      <c r="A88" s="2" t="s">
        <v>419</v>
      </c>
      <c r="B88" s="35"/>
      <c r="C88" s="179">
        <v>2793.7897919999996</v>
      </c>
      <c r="D88" s="80">
        <f t="shared" si="21"/>
        <v>5.0999999999999995E-3</v>
      </c>
      <c r="E88" s="179">
        <v>3060.0000000000005</v>
      </c>
      <c r="F88" s="80">
        <f t="shared" si="22"/>
        <v>5.1000000000000004E-3</v>
      </c>
      <c r="G88" s="179">
        <v>3121.2000000000007</v>
      </c>
      <c r="H88" s="80">
        <f t="shared" si="23"/>
        <v>5.1000000000000012E-3</v>
      </c>
      <c r="I88" s="179">
        <v>3183.6240000000003</v>
      </c>
      <c r="J88" s="80">
        <f t="shared" si="24"/>
        <v>5.1000000000000004E-3</v>
      </c>
      <c r="K88" s="179">
        <v>3247.2964800000004</v>
      </c>
      <c r="L88" s="80">
        <f t="shared" si="25"/>
        <v>5.1000000000000004E-3</v>
      </c>
      <c r="M88" s="179">
        <v>3312.2424096000013</v>
      </c>
      <c r="N88" s="80">
        <f t="shared" si="26"/>
        <v>5.1000000000000012E-3</v>
      </c>
      <c r="O88" s="179">
        <v>3378.4872577920005</v>
      </c>
      <c r="P88" s="80">
        <f t="shared" si="27"/>
        <v>5.1000000000000004E-3</v>
      </c>
      <c r="Q88" s="179">
        <v>3446.0570029478404</v>
      </c>
      <c r="R88" s="80">
        <f t="shared" si="28"/>
        <v>5.1000000000000004E-3</v>
      </c>
      <c r="S88" s="179">
        <v>3514.9781430067978</v>
      </c>
      <c r="T88" s="80">
        <f t="shared" si="29"/>
        <v>5.1000000000000012E-3</v>
      </c>
      <c r="U88" s="179">
        <v>3585.2777058669335</v>
      </c>
      <c r="V88" s="80">
        <f t="shared" si="30"/>
        <v>5.1000000000000004E-3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1"/>
        <v>0</v>
      </c>
      <c r="E89" s="179">
        <v>0</v>
      </c>
      <c r="F89" s="80">
        <f t="shared" si="22"/>
        <v>0</v>
      </c>
      <c r="G89" s="179">
        <v>0</v>
      </c>
      <c r="H89" s="80">
        <f t="shared" si="23"/>
        <v>0</v>
      </c>
      <c r="I89" s="179">
        <v>0</v>
      </c>
      <c r="J89" s="80">
        <f t="shared" si="24"/>
        <v>0</v>
      </c>
      <c r="K89" s="179">
        <v>0</v>
      </c>
      <c r="L89" s="80">
        <f t="shared" si="25"/>
        <v>0</v>
      </c>
      <c r="M89" s="179">
        <v>0</v>
      </c>
      <c r="N89" s="80">
        <f t="shared" si="26"/>
        <v>0</v>
      </c>
      <c r="O89" s="179">
        <v>0</v>
      </c>
      <c r="P89" s="80">
        <f t="shared" si="27"/>
        <v>0</v>
      </c>
      <c r="Q89" s="179">
        <v>0</v>
      </c>
      <c r="R89" s="80">
        <f t="shared" si="28"/>
        <v>0</v>
      </c>
      <c r="S89" s="179">
        <v>0</v>
      </c>
      <c r="T89" s="80">
        <f t="shared" si="29"/>
        <v>0</v>
      </c>
      <c r="U89" s="179">
        <v>0</v>
      </c>
      <c r="V89" s="80">
        <f t="shared" si="30"/>
        <v>0</v>
      </c>
      <c r="X89" s="200"/>
    </row>
    <row r="90" spans="1:24" ht="12.75" customHeight="1">
      <c r="A90" s="2" t="s">
        <v>421</v>
      </c>
      <c r="B90" s="35"/>
      <c r="C90" s="179">
        <v>109.560384</v>
      </c>
      <c r="D90" s="80">
        <f t="shared" si="21"/>
        <v>2.0000000000000004E-4</v>
      </c>
      <c r="E90" s="179">
        <v>120.00000000000001</v>
      </c>
      <c r="F90" s="80">
        <f t="shared" si="22"/>
        <v>2.0000000000000004E-4</v>
      </c>
      <c r="G90" s="179">
        <v>122.4</v>
      </c>
      <c r="H90" s="80">
        <f t="shared" si="23"/>
        <v>2.0000000000000001E-4</v>
      </c>
      <c r="I90" s="179">
        <v>124.84800000000001</v>
      </c>
      <c r="J90" s="80">
        <f t="shared" si="24"/>
        <v>2.0000000000000001E-4</v>
      </c>
      <c r="K90" s="179">
        <v>127.34496</v>
      </c>
      <c r="L90" s="80">
        <f t="shared" si="25"/>
        <v>1.9999999999999998E-4</v>
      </c>
      <c r="M90" s="179">
        <v>129.89185920000003</v>
      </c>
      <c r="N90" s="80">
        <f t="shared" si="26"/>
        <v>2.0000000000000001E-4</v>
      </c>
      <c r="O90" s="179">
        <v>132.48969638400001</v>
      </c>
      <c r="P90" s="80">
        <f t="shared" si="27"/>
        <v>2.0000000000000001E-4</v>
      </c>
      <c r="Q90" s="179">
        <v>135.13949031168002</v>
      </c>
      <c r="R90" s="80">
        <f t="shared" si="28"/>
        <v>2.0000000000000001E-4</v>
      </c>
      <c r="S90" s="179">
        <v>137.84228011791362</v>
      </c>
      <c r="T90" s="80">
        <f t="shared" si="29"/>
        <v>2.0000000000000001E-4</v>
      </c>
      <c r="U90" s="179">
        <v>140.5991257202719</v>
      </c>
      <c r="V90" s="80">
        <f t="shared" si="30"/>
        <v>2.0000000000000001E-4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21"/>
        <v>0</v>
      </c>
      <c r="E91" s="179">
        <v>0</v>
      </c>
      <c r="F91" s="80">
        <f t="shared" si="22"/>
        <v>0</v>
      </c>
      <c r="G91" s="179">
        <v>0</v>
      </c>
      <c r="H91" s="80">
        <f t="shared" si="23"/>
        <v>0</v>
      </c>
      <c r="I91" s="179">
        <v>0</v>
      </c>
      <c r="J91" s="80">
        <f t="shared" si="24"/>
        <v>0</v>
      </c>
      <c r="K91" s="179">
        <v>0</v>
      </c>
      <c r="L91" s="80">
        <f t="shared" si="25"/>
        <v>0</v>
      </c>
      <c r="M91" s="179">
        <v>0</v>
      </c>
      <c r="N91" s="80">
        <f t="shared" si="26"/>
        <v>0</v>
      </c>
      <c r="O91" s="179">
        <v>0</v>
      </c>
      <c r="P91" s="80">
        <f t="shared" si="27"/>
        <v>0</v>
      </c>
      <c r="Q91" s="179">
        <v>0</v>
      </c>
      <c r="R91" s="80">
        <f t="shared" si="28"/>
        <v>0</v>
      </c>
      <c r="S91" s="179">
        <v>0</v>
      </c>
      <c r="T91" s="80">
        <f t="shared" si="29"/>
        <v>0</v>
      </c>
      <c r="U91" s="179">
        <v>0</v>
      </c>
      <c r="V91" s="80">
        <f t="shared" si="30"/>
        <v>0</v>
      </c>
      <c r="X91" s="200"/>
    </row>
    <row r="92" spans="1:24" ht="12.75" customHeight="1">
      <c r="A92" s="2" t="s">
        <v>423</v>
      </c>
      <c r="B92" s="35"/>
      <c r="C92" s="179">
        <v>2848.5699839999993</v>
      </c>
      <c r="D92" s="80">
        <f t="shared" si="21"/>
        <v>5.1999999999999998E-3</v>
      </c>
      <c r="E92" s="179">
        <v>3120</v>
      </c>
      <c r="F92" s="80">
        <f t="shared" si="22"/>
        <v>5.1999999999999998E-3</v>
      </c>
      <c r="G92" s="179">
        <v>3182.3999999999996</v>
      </c>
      <c r="H92" s="80">
        <f t="shared" si="23"/>
        <v>5.1999999999999998E-3</v>
      </c>
      <c r="I92" s="179">
        <v>3246.0479999999998</v>
      </c>
      <c r="J92" s="80">
        <f t="shared" si="24"/>
        <v>5.1999999999999998E-3</v>
      </c>
      <c r="K92" s="179">
        <v>3310.9689599999997</v>
      </c>
      <c r="L92" s="80">
        <f t="shared" si="25"/>
        <v>5.1999999999999989E-3</v>
      </c>
      <c r="M92" s="179">
        <v>3377.1883392000004</v>
      </c>
      <c r="N92" s="80">
        <f t="shared" si="26"/>
        <v>5.1999999999999998E-3</v>
      </c>
      <c r="O92" s="179">
        <v>3444.7321059840001</v>
      </c>
      <c r="P92" s="80">
        <f t="shared" si="27"/>
        <v>5.1999999999999998E-3</v>
      </c>
      <c r="Q92" s="179">
        <v>3513.6267481036803</v>
      </c>
      <c r="R92" s="80">
        <f t="shared" si="28"/>
        <v>5.1999999999999998E-3</v>
      </c>
      <c r="S92" s="179">
        <v>3583.8992830657539</v>
      </c>
      <c r="T92" s="80">
        <f t="shared" si="29"/>
        <v>5.1999999999999998E-3</v>
      </c>
      <c r="U92" s="179">
        <v>3655.5772687270692</v>
      </c>
      <c r="V92" s="80">
        <f t="shared" si="30"/>
        <v>5.1999999999999998E-3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1"/>
        <v>0</v>
      </c>
      <c r="E93" s="179">
        <v>0</v>
      </c>
      <c r="F93" s="80">
        <f t="shared" si="22"/>
        <v>0</v>
      </c>
      <c r="G93" s="179">
        <v>0</v>
      </c>
      <c r="H93" s="80">
        <f t="shared" si="23"/>
        <v>0</v>
      </c>
      <c r="I93" s="179">
        <v>0</v>
      </c>
      <c r="J93" s="80">
        <f t="shared" si="24"/>
        <v>0</v>
      </c>
      <c r="K93" s="179">
        <v>0</v>
      </c>
      <c r="L93" s="80">
        <f t="shared" si="25"/>
        <v>0</v>
      </c>
      <c r="M93" s="179">
        <v>0</v>
      </c>
      <c r="N93" s="80">
        <f t="shared" si="26"/>
        <v>0</v>
      </c>
      <c r="O93" s="179">
        <v>0</v>
      </c>
      <c r="P93" s="80">
        <f t="shared" si="27"/>
        <v>0</v>
      </c>
      <c r="Q93" s="179">
        <v>0</v>
      </c>
      <c r="R93" s="80">
        <f t="shared" si="28"/>
        <v>0</v>
      </c>
      <c r="S93" s="179">
        <v>0</v>
      </c>
      <c r="T93" s="80">
        <f t="shared" si="29"/>
        <v>0</v>
      </c>
      <c r="U93" s="179">
        <v>0</v>
      </c>
      <c r="V93" s="80">
        <f t="shared" si="30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1"/>
        <v>0</v>
      </c>
      <c r="E94" s="179">
        <v>0</v>
      </c>
      <c r="F94" s="80">
        <f t="shared" si="22"/>
        <v>0</v>
      </c>
      <c r="G94" s="179">
        <v>0</v>
      </c>
      <c r="H94" s="80">
        <f t="shared" si="23"/>
        <v>0</v>
      </c>
      <c r="I94" s="179">
        <v>0</v>
      </c>
      <c r="J94" s="80">
        <f t="shared" si="24"/>
        <v>0</v>
      </c>
      <c r="K94" s="179">
        <v>0</v>
      </c>
      <c r="L94" s="80">
        <f t="shared" si="25"/>
        <v>0</v>
      </c>
      <c r="M94" s="179">
        <v>0</v>
      </c>
      <c r="N94" s="80">
        <f t="shared" si="26"/>
        <v>0</v>
      </c>
      <c r="O94" s="179">
        <v>0</v>
      </c>
      <c r="P94" s="80">
        <f t="shared" si="27"/>
        <v>0</v>
      </c>
      <c r="Q94" s="179">
        <v>0</v>
      </c>
      <c r="R94" s="80">
        <f t="shared" si="28"/>
        <v>0</v>
      </c>
      <c r="S94" s="179">
        <v>0</v>
      </c>
      <c r="T94" s="80">
        <f t="shared" si="29"/>
        <v>0</v>
      </c>
      <c r="U94" s="179">
        <v>0</v>
      </c>
      <c r="V94" s="80">
        <f t="shared" si="30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1"/>
        <v>0</v>
      </c>
      <c r="E95" s="179">
        <v>0</v>
      </c>
      <c r="F95" s="80">
        <f t="shared" si="22"/>
        <v>0</v>
      </c>
      <c r="G95" s="179">
        <v>0</v>
      </c>
      <c r="H95" s="80">
        <f t="shared" si="23"/>
        <v>0</v>
      </c>
      <c r="I95" s="179">
        <v>0</v>
      </c>
      <c r="J95" s="80">
        <f t="shared" si="24"/>
        <v>0</v>
      </c>
      <c r="K95" s="179">
        <v>0</v>
      </c>
      <c r="L95" s="80">
        <f t="shared" si="25"/>
        <v>0</v>
      </c>
      <c r="M95" s="179">
        <v>0</v>
      </c>
      <c r="N95" s="80">
        <f t="shared" si="26"/>
        <v>0</v>
      </c>
      <c r="O95" s="179">
        <v>0</v>
      </c>
      <c r="P95" s="80">
        <f t="shared" si="27"/>
        <v>0</v>
      </c>
      <c r="Q95" s="179">
        <v>0</v>
      </c>
      <c r="R95" s="80">
        <f t="shared" si="28"/>
        <v>0</v>
      </c>
      <c r="S95" s="179">
        <v>0</v>
      </c>
      <c r="T95" s="80">
        <f t="shared" si="29"/>
        <v>0</v>
      </c>
      <c r="U95" s="179">
        <v>0</v>
      </c>
      <c r="V95" s="80">
        <f t="shared" si="30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1"/>
        <v>0</v>
      </c>
      <c r="E96" s="179">
        <v>0</v>
      </c>
      <c r="F96" s="80">
        <f t="shared" si="22"/>
        <v>0</v>
      </c>
      <c r="G96" s="179">
        <v>0</v>
      </c>
      <c r="H96" s="80">
        <f t="shared" si="23"/>
        <v>0</v>
      </c>
      <c r="I96" s="179">
        <v>0</v>
      </c>
      <c r="J96" s="80">
        <f t="shared" si="24"/>
        <v>0</v>
      </c>
      <c r="K96" s="179">
        <v>0</v>
      </c>
      <c r="L96" s="80">
        <f t="shared" si="25"/>
        <v>0</v>
      </c>
      <c r="M96" s="179">
        <v>0</v>
      </c>
      <c r="N96" s="80">
        <f t="shared" si="26"/>
        <v>0</v>
      </c>
      <c r="O96" s="179">
        <v>0</v>
      </c>
      <c r="P96" s="80">
        <f t="shared" si="27"/>
        <v>0</v>
      </c>
      <c r="Q96" s="179">
        <v>0</v>
      </c>
      <c r="R96" s="80">
        <f t="shared" si="28"/>
        <v>0</v>
      </c>
      <c r="S96" s="179">
        <v>0</v>
      </c>
      <c r="T96" s="80">
        <f t="shared" si="29"/>
        <v>0</v>
      </c>
      <c r="U96" s="179">
        <v>0</v>
      </c>
      <c r="V96" s="80">
        <f t="shared" si="30"/>
        <v>0</v>
      </c>
      <c r="X96" s="200"/>
    </row>
    <row r="97" spans="1:24" ht="12.75" customHeight="1">
      <c r="A97" s="2" t="s">
        <v>428</v>
      </c>
      <c r="B97" s="35"/>
      <c r="C97" s="179">
        <v>6612.0407999999998</v>
      </c>
      <c r="D97" s="80">
        <f t="shared" si="21"/>
        <v>1.2070130750910841E-2</v>
      </c>
      <c r="E97" s="179">
        <v>7352.5893696000012</v>
      </c>
      <c r="F97" s="80">
        <f t="shared" si="22"/>
        <v>1.2254315616000003E-2</v>
      </c>
      <c r="G97" s="179">
        <v>7609.929997536</v>
      </c>
      <c r="H97" s="80">
        <f t="shared" si="23"/>
        <v>1.2434526139764706E-2</v>
      </c>
      <c r="I97" s="179">
        <v>7853.447757457152</v>
      </c>
      <c r="J97" s="80">
        <f t="shared" si="24"/>
        <v>1.2580814682585467E-2</v>
      </c>
      <c r="K97" s="179">
        <v>8049.7839513935805</v>
      </c>
      <c r="L97" s="80">
        <f t="shared" si="25"/>
        <v>1.2642485342794219E-2</v>
      </c>
      <c r="M97" s="179">
        <v>8251.0285501784183</v>
      </c>
      <c r="N97" s="80">
        <f t="shared" si="26"/>
        <v>1.2704458310160854E-2</v>
      </c>
      <c r="O97" s="179">
        <v>8457.3042639328796</v>
      </c>
      <c r="P97" s="80">
        <f t="shared" si="27"/>
        <v>1.2766735066583212E-2</v>
      </c>
      <c r="Q97" s="179">
        <v>8668.7368705312001</v>
      </c>
      <c r="R97" s="80">
        <f t="shared" si="28"/>
        <v>1.2829317101223323E-2</v>
      </c>
      <c r="S97" s="179">
        <v>8885.4552922944804</v>
      </c>
      <c r="T97" s="80">
        <f t="shared" si="29"/>
        <v>1.2892205910543046E-2</v>
      </c>
      <c r="U97" s="179">
        <v>9107.5916746018393</v>
      </c>
      <c r="V97" s="80">
        <f t="shared" si="30"/>
        <v>1.2955402998339822E-2</v>
      </c>
      <c r="X97" s="200"/>
    </row>
    <row r="98" spans="1:24" ht="12.75" customHeight="1">
      <c r="A98" s="117" t="s">
        <v>431</v>
      </c>
      <c r="B98" s="35"/>
      <c r="C98" s="179">
        <v>657.36230399999977</v>
      </c>
      <c r="D98" s="80">
        <f t="shared" si="21"/>
        <v>1.1999999999999997E-3</v>
      </c>
      <c r="E98" s="179">
        <v>720</v>
      </c>
      <c r="F98" s="80">
        <f t="shared" si="22"/>
        <v>1.1999999999999999E-3</v>
      </c>
      <c r="G98" s="179">
        <v>734.4</v>
      </c>
      <c r="H98" s="80">
        <f t="shared" si="23"/>
        <v>1.1999999999999999E-3</v>
      </c>
      <c r="I98" s="179">
        <v>749.08799999999997</v>
      </c>
      <c r="J98" s="80">
        <f t="shared" si="24"/>
        <v>1.1999999999999999E-3</v>
      </c>
      <c r="K98" s="179">
        <v>764.06975999999986</v>
      </c>
      <c r="L98" s="80">
        <f t="shared" si="25"/>
        <v>1.1999999999999997E-3</v>
      </c>
      <c r="M98" s="179">
        <v>779.35115520000011</v>
      </c>
      <c r="N98" s="80">
        <f t="shared" si="26"/>
        <v>1.1999999999999999E-3</v>
      </c>
      <c r="O98" s="179">
        <v>794.93817830399996</v>
      </c>
      <c r="P98" s="80">
        <f t="shared" si="27"/>
        <v>1.1999999999999999E-3</v>
      </c>
      <c r="Q98" s="179">
        <v>810.83694187007984</v>
      </c>
      <c r="R98" s="80">
        <f t="shared" si="28"/>
        <v>1.1999999999999997E-3</v>
      </c>
      <c r="S98" s="179">
        <v>827.0536807074817</v>
      </c>
      <c r="T98" s="80">
        <f t="shared" si="29"/>
        <v>1.2000000000000001E-3</v>
      </c>
      <c r="U98" s="179">
        <v>843.59475432163129</v>
      </c>
      <c r="V98" s="80">
        <f t="shared" si="30"/>
        <v>1.1999999999999999E-3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1"/>
        <v>0</v>
      </c>
      <c r="E99" s="179">
        <v>0</v>
      </c>
      <c r="F99" s="80">
        <f t="shared" si="22"/>
        <v>0</v>
      </c>
      <c r="G99" s="179">
        <v>0</v>
      </c>
      <c r="H99" s="80">
        <f t="shared" si="23"/>
        <v>0</v>
      </c>
      <c r="I99" s="179">
        <v>0</v>
      </c>
      <c r="J99" s="80">
        <f t="shared" si="24"/>
        <v>0</v>
      </c>
      <c r="K99" s="179">
        <v>0</v>
      </c>
      <c r="L99" s="80">
        <f t="shared" si="25"/>
        <v>0</v>
      </c>
      <c r="M99" s="179">
        <v>0</v>
      </c>
      <c r="N99" s="80">
        <f t="shared" si="26"/>
        <v>0</v>
      </c>
      <c r="O99" s="179">
        <v>0</v>
      </c>
      <c r="P99" s="80">
        <f t="shared" si="27"/>
        <v>0</v>
      </c>
      <c r="Q99" s="179">
        <v>0</v>
      </c>
      <c r="R99" s="80">
        <f t="shared" si="28"/>
        <v>0</v>
      </c>
      <c r="S99" s="179">
        <v>0</v>
      </c>
      <c r="T99" s="80">
        <f t="shared" si="29"/>
        <v>0</v>
      </c>
      <c r="U99" s="179">
        <v>0</v>
      </c>
      <c r="V99" s="80">
        <f t="shared" si="30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1"/>
        <v>0</v>
      </c>
      <c r="E100" s="179">
        <v>0</v>
      </c>
      <c r="F100" s="80">
        <f t="shared" si="22"/>
        <v>0</v>
      </c>
      <c r="G100" s="179">
        <v>0</v>
      </c>
      <c r="H100" s="80">
        <f t="shared" si="23"/>
        <v>0</v>
      </c>
      <c r="I100" s="179">
        <v>0</v>
      </c>
      <c r="J100" s="80">
        <f t="shared" si="24"/>
        <v>0</v>
      </c>
      <c r="K100" s="179">
        <v>0</v>
      </c>
      <c r="L100" s="80">
        <f t="shared" si="25"/>
        <v>0</v>
      </c>
      <c r="M100" s="179">
        <v>0</v>
      </c>
      <c r="N100" s="80">
        <f t="shared" si="26"/>
        <v>0</v>
      </c>
      <c r="O100" s="179">
        <v>0</v>
      </c>
      <c r="P100" s="80">
        <f t="shared" si="27"/>
        <v>0</v>
      </c>
      <c r="Q100" s="179">
        <v>0</v>
      </c>
      <c r="R100" s="80">
        <f t="shared" si="28"/>
        <v>0</v>
      </c>
      <c r="S100" s="179">
        <v>0</v>
      </c>
      <c r="T100" s="80">
        <f t="shared" si="29"/>
        <v>0</v>
      </c>
      <c r="U100" s="179">
        <v>0</v>
      </c>
      <c r="V100" s="80">
        <f t="shared" si="30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1"/>
        <v>0</v>
      </c>
      <c r="E101" s="179"/>
      <c r="F101" s="80">
        <f t="shared" si="22"/>
        <v>0</v>
      </c>
      <c r="G101" s="179"/>
      <c r="H101" s="80">
        <f t="shared" si="23"/>
        <v>0</v>
      </c>
      <c r="I101" s="179">
        <v>0</v>
      </c>
      <c r="J101" s="80">
        <f t="shared" si="24"/>
        <v>0</v>
      </c>
      <c r="K101" s="179">
        <v>0</v>
      </c>
      <c r="L101" s="80">
        <f t="shared" si="25"/>
        <v>0</v>
      </c>
      <c r="M101" s="179">
        <v>0</v>
      </c>
      <c r="N101" s="80">
        <f t="shared" si="26"/>
        <v>0</v>
      </c>
      <c r="O101" s="179">
        <v>0</v>
      </c>
      <c r="P101" s="80">
        <f t="shared" si="27"/>
        <v>0</v>
      </c>
      <c r="Q101" s="179">
        <v>0</v>
      </c>
      <c r="R101" s="80">
        <f t="shared" si="28"/>
        <v>0</v>
      </c>
      <c r="S101" s="179">
        <v>0</v>
      </c>
      <c r="T101" s="80">
        <f t="shared" si="29"/>
        <v>0</v>
      </c>
      <c r="U101" s="179">
        <v>0</v>
      </c>
      <c r="V101" s="80">
        <f t="shared" si="30"/>
        <v>0</v>
      </c>
      <c r="X101" s="200"/>
    </row>
    <row r="102" spans="1:24" ht="12.75" customHeight="1">
      <c r="A102" s="117" t="s">
        <v>433</v>
      </c>
      <c r="B102" s="35"/>
      <c r="C102" s="179">
        <v>5478.0191999999988</v>
      </c>
      <c r="D102" s="80">
        <f t="shared" si="21"/>
        <v>9.9999999999999985E-3</v>
      </c>
      <c r="E102" s="179">
        <v>6000</v>
      </c>
      <c r="F102" s="80">
        <f t="shared" si="22"/>
        <v>0.01</v>
      </c>
      <c r="G102" s="179">
        <v>6120</v>
      </c>
      <c r="H102" s="80">
        <f t="shared" si="23"/>
        <v>0.01</v>
      </c>
      <c r="I102" s="179">
        <v>6242.4000000000005</v>
      </c>
      <c r="J102" s="80">
        <f t="shared" si="24"/>
        <v>0.01</v>
      </c>
      <c r="K102" s="179">
        <v>6367.2480000000005</v>
      </c>
      <c r="L102" s="80">
        <f t="shared" si="25"/>
        <v>0.01</v>
      </c>
      <c r="M102" s="179">
        <v>6494.5929600000009</v>
      </c>
      <c r="N102" s="80">
        <f t="shared" si="26"/>
        <v>0.01</v>
      </c>
      <c r="O102" s="179">
        <v>6624.4848192000018</v>
      </c>
      <c r="P102" s="80">
        <f t="shared" si="27"/>
        <v>1.0000000000000002E-2</v>
      </c>
      <c r="Q102" s="179">
        <v>6756.9745155840001</v>
      </c>
      <c r="R102" s="80">
        <f t="shared" si="28"/>
        <v>9.9999999999999985E-3</v>
      </c>
      <c r="S102" s="179">
        <v>6892.1140058956817</v>
      </c>
      <c r="T102" s="80">
        <f t="shared" si="29"/>
        <v>1.0000000000000002E-2</v>
      </c>
      <c r="U102" s="179">
        <v>7029.9562860135939</v>
      </c>
      <c r="V102" s="80">
        <f t="shared" si="30"/>
        <v>9.9999999999999985E-3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1"/>
        <v>0</v>
      </c>
      <c r="E103" s="179">
        <v>0</v>
      </c>
      <c r="F103" s="80">
        <f t="shared" si="22"/>
        <v>0</v>
      </c>
      <c r="G103" s="179">
        <v>0</v>
      </c>
      <c r="H103" s="80">
        <f t="shared" si="23"/>
        <v>0</v>
      </c>
      <c r="I103" s="179">
        <v>0</v>
      </c>
      <c r="J103" s="80">
        <f t="shared" si="24"/>
        <v>0</v>
      </c>
      <c r="K103" s="179">
        <v>0</v>
      </c>
      <c r="L103" s="80">
        <f t="shared" si="25"/>
        <v>0</v>
      </c>
      <c r="M103" s="179">
        <v>0</v>
      </c>
      <c r="N103" s="80">
        <f t="shared" si="26"/>
        <v>0</v>
      </c>
      <c r="O103" s="179">
        <v>0</v>
      </c>
      <c r="P103" s="80">
        <f t="shared" si="27"/>
        <v>0</v>
      </c>
      <c r="Q103" s="179">
        <v>0</v>
      </c>
      <c r="R103" s="80">
        <f t="shared" si="28"/>
        <v>0</v>
      </c>
      <c r="S103" s="179">
        <v>0</v>
      </c>
      <c r="T103" s="80">
        <f t="shared" si="29"/>
        <v>0</v>
      </c>
      <c r="U103" s="179">
        <v>0</v>
      </c>
      <c r="V103" s="80">
        <f t="shared" si="30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1"/>
        <v>0</v>
      </c>
      <c r="E104" s="179">
        <v>0</v>
      </c>
      <c r="F104" s="80">
        <f t="shared" si="22"/>
        <v>0</v>
      </c>
      <c r="G104" s="179">
        <v>0</v>
      </c>
      <c r="H104" s="80">
        <f t="shared" si="23"/>
        <v>0</v>
      </c>
      <c r="I104" s="179">
        <v>0</v>
      </c>
      <c r="J104" s="80">
        <f t="shared" si="24"/>
        <v>0</v>
      </c>
      <c r="K104" s="179">
        <v>0</v>
      </c>
      <c r="L104" s="80">
        <f t="shared" si="25"/>
        <v>0</v>
      </c>
      <c r="M104" s="179">
        <v>0</v>
      </c>
      <c r="N104" s="80">
        <f t="shared" si="26"/>
        <v>0</v>
      </c>
      <c r="O104" s="179">
        <v>0</v>
      </c>
      <c r="P104" s="80">
        <f t="shared" si="27"/>
        <v>0</v>
      </c>
      <c r="Q104" s="179">
        <v>0</v>
      </c>
      <c r="R104" s="80">
        <f t="shared" si="28"/>
        <v>0</v>
      </c>
      <c r="S104" s="179">
        <v>0</v>
      </c>
      <c r="T104" s="80">
        <f t="shared" si="29"/>
        <v>0</v>
      </c>
      <c r="U104" s="179">
        <v>0</v>
      </c>
      <c r="V104" s="80">
        <f t="shared" si="30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85622.845920112188</v>
      </c>
      <c r="D105" s="83">
        <f t="shared" ref="D105" si="31">IFERROR(C105/C$28,0)</f>
        <v>0.15630256630008196</v>
      </c>
      <c r="E105" s="82">
        <f>SUM(E52:E104)</f>
        <v>90312.981641897175</v>
      </c>
      <c r="F105" s="83">
        <f t="shared" ref="F105" si="32">IFERROR(E105/E$28,0)</f>
        <v>0.15052163606982863</v>
      </c>
      <c r="G105" s="82">
        <f>SUM(G52:G104)</f>
        <v>92930.407795017425</v>
      </c>
      <c r="H105" s="83">
        <f t="shared" ref="H105" si="33">IFERROR(G105/G$28,0)</f>
        <v>0.15184707156048599</v>
      </c>
      <c r="I105" s="82">
        <f>SUM(I52:I104)</f>
        <v>94831.716009527969</v>
      </c>
      <c r="J105" s="83">
        <f t="shared" ref="J105" si="34">IFERROR(I105/I$28,0)</f>
        <v>0.15191547483264123</v>
      </c>
      <c r="K105" s="82">
        <f>SUM(K52:K104)</f>
        <v>96702.908832667395</v>
      </c>
      <c r="L105" s="83">
        <f t="shared" ref="L105" si="35">IFERROR(K105/K$28,0)</f>
        <v>0.1518755180144819</v>
      </c>
      <c r="M105" s="82">
        <f>SUM(M52:M104)</f>
        <v>98665.30756887715</v>
      </c>
      <c r="N105" s="83">
        <f t="shared" ref="N105" si="36">IFERROR(M105/M$28,0)</f>
        <v>0.15191915517501059</v>
      </c>
      <c r="O105" s="82">
        <f>SUM(O52:O104)</f>
        <v>100668.06589317425</v>
      </c>
      <c r="P105" s="83">
        <f t="shared" ref="P105" si="37">IFERROR(O105/O$28,0)</f>
        <v>0.15196361474239339</v>
      </c>
      <c r="Q105" s="82">
        <f>SUM(Q52:Q104)</f>
        <v>102711.81634665196</v>
      </c>
      <c r="R105" s="83">
        <f t="shared" ref="R105" si="38">IFERROR(Q105/Q$28,0)</f>
        <v>0.15200858921365143</v>
      </c>
      <c r="S105" s="82">
        <f>SUM(S52:S104)</f>
        <v>104797.20932162086</v>
      </c>
      <c r="T105" s="83">
        <f t="shared" ref="T105" si="39">IFERROR(S105/S$28,0)</f>
        <v>0.15205379544211658</v>
      </c>
      <c r="U105" s="82">
        <f>SUM(U52:U104)</f>
        <v>107157.31204546956</v>
      </c>
      <c r="V105" s="83">
        <f t="shared" si="30"/>
        <v>0.15242955672237068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149644.04495988777</v>
      </c>
      <c r="D107" s="83">
        <f>IFERROR(C107/C$28,0)</f>
        <v>0.27317181538883212</v>
      </c>
      <c r="E107" s="82">
        <f>E28-E33-E46-E105</f>
        <v>164537.7128221028</v>
      </c>
      <c r="F107" s="83">
        <f>IFERROR(E107/E$28,0)</f>
        <v>0.27422952137017131</v>
      </c>
      <c r="G107" s="82">
        <f>G28-G33-G46-G105</f>
        <v>164189.06097522256</v>
      </c>
      <c r="H107" s="83">
        <f>IFERROR(G107/G$28,0)</f>
        <v>0.2682827793712787</v>
      </c>
      <c r="I107" s="82">
        <f>I28-I33-I46-I105</f>
        <v>165088.35976135969</v>
      </c>
      <c r="J107" s="83">
        <f>IFERROR(I107/I$28,0)</f>
        <v>0.26446296258067359</v>
      </c>
      <c r="K107" s="82">
        <f>K28-K33-K46-K105</f>
        <v>167408.60203249246</v>
      </c>
      <c r="L107" s="83">
        <f>IFERROR(K107/K$28,0)</f>
        <v>0.26292144115085897</v>
      </c>
      <c r="M107" s="82">
        <f>M28-M33-M46-M105</f>
        <v>169696.29293191186</v>
      </c>
      <c r="N107" s="83">
        <f>IFERROR(M107/M$28,0)</f>
        <v>0.26128857339800371</v>
      </c>
      <c r="O107" s="82">
        <f>O28-O33-O46-O105</f>
        <v>172002.82252141437</v>
      </c>
      <c r="P107" s="83">
        <f>IFERROR(O107/O$28,0)</f>
        <v>0.25964709289225318</v>
      </c>
      <c r="Q107" s="82">
        <f>Q28-Q33-Q46-Q105</f>
        <v>174328.09713760708</v>
      </c>
      <c r="R107" s="83">
        <f>IFERROR(Q107/Q$28,0)</f>
        <v>0.25799726894861619</v>
      </c>
      <c r="S107" s="82">
        <f>S28-S33-S46-S105</f>
        <v>176671.99991623638</v>
      </c>
      <c r="T107" s="83">
        <f>IFERROR(S107/S$28,0)</f>
        <v>0.25633934633859345</v>
      </c>
      <c r="U107" s="82">
        <f>U28-U33-U46-U105</f>
        <v>178801.99129815571</v>
      </c>
      <c r="V107" s="83">
        <f>IFERROR(U107/U$28,0)</f>
        <v>0.25434296320432331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7" tint="0.59999389629810485"/>
  </sheetPr>
  <dimension ref="A1:X119"/>
  <sheetViews>
    <sheetView topLeftCell="A11" zoomScale="70" zoomScaleNormal="70" workbookViewId="0" xr3:uid="{0801C90D-E949-51CC-9495-7D82D7DEDABF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41" style="2" customWidth="1"/>
    <col min="3" max="3" width="13.5703125" style="2" bestFit="1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44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Pollo Tropical (Graham Center)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250</v>
      </c>
      <c r="E8" s="109">
        <f>+C8</f>
        <v>250</v>
      </c>
      <c r="G8" s="109">
        <f>+E8</f>
        <v>250</v>
      </c>
      <c r="I8" s="109">
        <f>+G8</f>
        <v>250</v>
      </c>
      <c r="K8" s="109">
        <f>+I8</f>
        <v>250</v>
      </c>
      <c r="M8" s="109">
        <f>+K8</f>
        <v>250</v>
      </c>
      <c r="O8" s="109">
        <f>+M8</f>
        <v>250</v>
      </c>
      <c r="Q8" s="109">
        <f>+O8</f>
        <v>250</v>
      </c>
      <c r="S8" s="109">
        <f>+Q8</f>
        <v>250</v>
      </c>
      <c r="U8" s="109">
        <f>+S8</f>
        <v>250</v>
      </c>
    </row>
    <row r="10" spans="1:22" ht="12.75" customHeight="1">
      <c r="A10" s="2" t="s">
        <v>449</v>
      </c>
      <c r="C10" s="109">
        <f>+C14/C8/C12</f>
        <v>598.27200000000005</v>
      </c>
      <c r="E10" s="109">
        <f>+E14/E8/E12</f>
        <v>677.29083665338646</v>
      </c>
      <c r="G10" s="109">
        <f>+G14/G8/G12</f>
        <v>688.09523809523819</v>
      </c>
      <c r="I10" s="109">
        <f>+I14/I8/I12</f>
        <v>699.08300395256913</v>
      </c>
      <c r="K10" s="109">
        <f>+K14/K8/K12</f>
        <v>711.19064388961885</v>
      </c>
      <c r="M10" s="109">
        <f>+M14/M8/M12</f>
        <v>723.51297719528168</v>
      </c>
      <c r="O10" s="109">
        <f>+O14/O8/O12</f>
        <v>735.09296296605737</v>
      </c>
      <c r="Q10" s="109">
        <f>+Q14/Q8/Q12</f>
        <v>746.8697448955005</v>
      </c>
      <c r="S10" s="109">
        <f>+S14/S8/S12</f>
        <v>759.83098638279216</v>
      </c>
      <c r="U10" s="109">
        <f>+U14/U8/U12</f>
        <v>773.02236004030453</v>
      </c>
    </row>
    <row r="12" spans="1:22" ht="12.75" customHeight="1">
      <c r="A12" s="2" t="s">
        <v>450</v>
      </c>
      <c r="C12" s="110">
        <v>7.5</v>
      </c>
      <c r="E12" s="110">
        <v>7.53</v>
      </c>
      <c r="G12" s="110">
        <v>7.56</v>
      </c>
      <c r="I12" s="110">
        <v>7.59</v>
      </c>
      <c r="K12" s="110">
        <v>7.61</v>
      </c>
      <c r="M12" s="110">
        <v>7.63</v>
      </c>
      <c r="O12" s="110">
        <v>7.66</v>
      </c>
      <c r="Q12" s="110">
        <v>7.69</v>
      </c>
      <c r="S12" s="110">
        <v>7.71</v>
      </c>
      <c r="U12" s="110">
        <v>7.73</v>
      </c>
    </row>
    <row r="14" spans="1:22" ht="12.75" customHeight="1">
      <c r="A14" s="2" t="s">
        <v>451</v>
      </c>
      <c r="C14" s="206">
        <v>1121760</v>
      </c>
      <c r="D14" s="12"/>
      <c r="E14" s="206">
        <v>1275000</v>
      </c>
      <c r="F14" s="12"/>
      <c r="G14" s="206">
        <f>+E14*1.02</f>
        <v>1300500</v>
      </c>
      <c r="H14" s="12"/>
      <c r="I14" s="206">
        <f>+G14*1.02</f>
        <v>1326510</v>
      </c>
      <c r="J14" s="12"/>
      <c r="K14" s="206">
        <f>+I14*1.02</f>
        <v>1353040.2</v>
      </c>
      <c r="L14" s="12"/>
      <c r="M14" s="206">
        <f>+K14*1.02</f>
        <v>1380101.004</v>
      </c>
      <c r="N14" s="12"/>
      <c r="O14" s="206">
        <f>+M14*1.02</f>
        <v>1407703.0240799999</v>
      </c>
      <c r="P14" s="12"/>
      <c r="Q14" s="206">
        <f>+O14*1.02</f>
        <v>1435857.0845615999</v>
      </c>
      <c r="R14" s="12"/>
      <c r="S14" s="206">
        <f>+Q14*1.02</f>
        <v>1464574.226252832</v>
      </c>
      <c r="T14" s="12"/>
      <c r="U14" s="206">
        <f>+S14*1.02</f>
        <v>1493865.7107778885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4">
        <f>+C14-C20-C21</f>
        <v>949233.31199999992</v>
      </c>
      <c r="D19" s="80">
        <f>IFERROR(C19/C$28,0)</f>
        <v>0.84619999999999995</v>
      </c>
      <c r="E19" s="204">
        <f>+E14-E20-E21</f>
        <v>557557.49999999988</v>
      </c>
      <c r="F19" s="80">
        <f>IFERROR(E19/E$28,0)</f>
        <v>0.43729999999999991</v>
      </c>
      <c r="G19" s="204">
        <f>+G14-G20-G21</f>
        <v>1100483.1000000001</v>
      </c>
      <c r="H19" s="80">
        <f>IFERROR(G19/G$28,0)</f>
        <v>0.84620000000000006</v>
      </c>
      <c r="I19" s="204">
        <f>+I14-I20-I21</f>
        <v>1122492.7619999999</v>
      </c>
      <c r="J19" s="80">
        <f>IFERROR(I19/I$28,0)</f>
        <v>0.84619999999999995</v>
      </c>
      <c r="K19" s="204">
        <f>+K14-K20-K21</f>
        <v>1144942.6172399998</v>
      </c>
      <c r="L19" s="80">
        <f>IFERROR(K19/K$28,0)</f>
        <v>0.84619999999999984</v>
      </c>
      <c r="M19" s="204">
        <f>+M14-M20-M21</f>
        <v>1167841.4695848001</v>
      </c>
      <c r="N19" s="80">
        <f>IFERROR(M19/M$28,0)</f>
        <v>0.84620000000000006</v>
      </c>
      <c r="O19" s="204">
        <f>+O14-O20-O21</f>
        <v>1191198.2989764959</v>
      </c>
      <c r="P19" s="80">
        <f>IFERROR(O19/O$28,0)</f>
        <v>0.84619999999999995</v>
      </c>
      <c r="Q19" s="204">
        <f>+Q14-Q20-Q21</f>
        <v>1215022.2649560259</v>
      </c>
      <c r="R19" s="80">
        <f>IFERROR(Q19/Q$28,0)</f>
        <v>0.84620000000000006</v>
      </c>
      <c r="S19" s="204">
        <f>+S14-S20-S21</f>
        <v>1239322.7102551463</v>
      </c>
      <c r="T19" s="80">
        <f>IFERROR(S19/S$28,0)</f>
        <v>0.84619999999999984</v>
      </c>
      <c r="U19" s="204">
        <f>+U14-U20-U21</f>
        <v>1264109.1644602492</v>
      </c>
      <c r="V19" s="80">
        <f>IFERROR(U19/U$28,0)</f>
        <v>0.84619999999999995</v>
      </c>
    </row>
    <row r="20" spans="1:24" ht="12.75" customHeight="1">
      <c r="A20" s="2" t="s">
        <v>357</v>
      </c>
      <c r="B20" s="35"/>
      <c r="C20" s="111">
        <f>+C14*12.38%</f>
        <v>138873.88800000001</v>
      </c>
      <c r="D20" s="80">
        <f>IFERROR(C20/C$28,0)</f>
        <v>0.12380000000000001</v>
      </c>
      <c r="E20" s="111">
        <f>+E14*53.27%</f>
        <v>679192.50000000012</v>
      </c>
      <c r="F20" s="80">
        <f>IFERROR(E20/E$28,0)</f>
        <v>0.53270000000000006</v>
      </c>
      <c r="G20" s="111">
        <f>+G14*12.38%</f>
        <v>161001.90000000002</v>
      </c>
      <c r="H20" s="80">
        <f>IFERROR(G20/G$28,0)</f>
        <v>0.12380000000000002</v>
      </c>
      <c r="I20" s="111">
        <f>+I14*12.38%</f>
        <v>164221.93800000002</v>
      </c>
      <c r="J20" s="80">
        <f>IFERROR(I20/I$28,0)</f>
        <v>0.12380000000000002</v>
      </c>
      <c r="K20" s="111">
        <f>+K14*12.38%</f>
        <v>167506.37676000001</v>
      </c>
      <c r="L20" s="80">
        <f>IFERROR(K20/K$28,0)</f>
        <v>0.12380000000000002</v>
      </c>
      <c r="M20" s="111">
        <f>+M14*12.38%</f>
        <v>170856.50429519999</v>
      </c>
      <c r="N20" s="80">
        <f>IFERROR(M20/M$28,0)</f>
        <v>0.12379999999999999</v>
      </c>
      <c r="O20" s="111">
        <f>+O14*12.38%</f>
        <v>174273.634381104</v>
      </c>
      <c r="P20" s="80">
        <f>IFERROR(O20/O$28,0)</f>
        <v>0.12380000000000001</v>
      </c>
      <c r="Q20" s="111">
        <f>+Q14*12.38%</f>
        <v>177759.10706872607</v>
      </c>
      <c r="R20" s="80">
        <f>IFERROR(Q20/Q$28,0)</f>
        <v>0.12379999999999999</v>
      </c>
      <c r="S20" s="111">
        <f>+S14*12.38%</f>
        <v>181314.2892101006</v>
      </c>
      <c r="T20" s="80">
        <f>IFERROR(S20/S$28,0)</f>
        <v>0.12379999999999999</v>
      </c>
      <c r="U20" s="111">
        <f>+U14*12.38%</f>
        <v>184940.57499430262</v>
      </c>
      <c r="V20" s="80">
        <f>IFERROR(U20/U$28,0)</f>
        <v>0.12380000000000001</v>
      </c>
    </row>
    <row r="21" spans="1:24" ht="12.75" customHeight="1">
      <c r="A21" s="191" t="s">
        <v>358</v>
      </c>
      <c r="B21" s="203"/>
      <c r="C21" s="111">
        <f>+C14*0.03</f>
        <v>33652.799999999996</v>
      </c>
      <c r="D21" s="80">
        <f>IFERROR(C21/C$28,0)</f>
        <v>2.9999999999999995E-2</v>
      </c>
      <c r="E21" s="111">
        <f>+E14*0.03</f>
        <v>38250</v>
      </c>
      <c r="F21" s="80">
        <f>IFERROR(E21/E$28,0)</f>
        <v>0.03</v>
      </c>
      <c r="G21" s="111">
        <f>+G14*0.03</f>
        <v>39015</v>
      </c>
      <c r="H21" s="80">
        <f>IFERROR(G21/G$28,0)</f>
        <v>0.03</v>
      </c>
      <c r="I21" s="111">
        <f>+I14*0.03</f>
        <v>39795.299999999996</v>
      </c>
      <c r="J21" s="80">
        <f>IFERROR(I21/I$28,0)</f>
        <v>2.9999999999999995E-2</v>
      </c>
      <c r="K21" s="111">
        <f>+K14*0.03</f>
        <v>40591.205999999998</v>
      </c>
      <c r="L21" s="80">
        <f>IFERROR(K21/K$28,0)</f>
        <v>0.03</v>
      </c>
      <c r="M21" s="111">
        <f>+M14*0.03</f>
        <v>41403.030119999996</v>
      </c>
      <c r="N21" s="80">
        <f>IFERROR(M21/M$28,0)</f>
        <v>0.03</v>
      </c>
      <c r="O21" s="111">
        <f>+O14*0.03</f>
        <v>42231.090722399997</v>
      </c>
      <c r="P21" s="80">
        <f>IFERROR(O21/O$28,0)</f>
        <v>0.03</v>
      </c>
      <c r="Q21" s="111">
        <f>+Q14*0.03</f>
        <v>43075.712536847997</v>
      </c>
      <c r="R21" s="80">
        <f>IFERROR(Q21/Q$28,0)</f>
        <v>0.03</v>
      </c>
      <c r="S21" s="111">
        <f>+S14*0.03</f>
        <v>43937.226787584957</v>
      </c>
      <c r="T21" s="80">
        <f>IFERROR(S21/S$28,0)</f>
        <v>0.03</v>
      </c>
      <c r="U21" s="111">
        <f>+U14*0.03</f>
        <v>44815.971323336656</v>
      </c>
      <c r="V21" s="80">
        <f>IFERROR(U21/U$28,0)</f>
        <v>0.03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0">IFERROR(C23/C$28,0)</f>
        <v>0</v>
      </c>
      <c r="E23" s="79"/>
      <c r="F23" s="80">
        <f t="shared" ref="F23:F28" si="1">IFERROR(E23/E$28,0)</f>
        <v>0</v>
      </c>
      <c r="G23" s="79"/>
      <c r="H23" s="80">
        <f t="shared" ref="H23:H28" si="2">IFERROR(G23/G$28,0)</f>
        <v>0</v>
      </c>
      <c r="I23" s="79"/>
      <c r="J23" s="80">
        <f t="shared" ref="J23:J28" si="3">IFERROR(I23/I$28,0)</f>
        <v>0</v>
      </c>
      <c r="K23" s="79"/>
      <c r="L23" s="80">
        <f t="shared" ref="L23:L28" si="4">IFERROR(K23/K$28,0)</f>
        <v>0</v>
      </c>
      <c r="M23" s="79"/>
      <c r="N23" s="80">
        <f t="shared" ref="N23:N28" si="5">IFERROR(M23/M$28,0)</f>
        <v>0</v>
      </c>
      <c r="O23" s="79"/>
      <c r="P23" s="80">
        <f t="shared" ref="P23:P28" si="6">IFERROR(O23/O$28,0)</f>
        <v>0</v>
      </c>
      <c r="Q23" s="79"/>
      <c r="R23" s="80">
        <f t="shared" ref="R23:R28" si="7">IFERROR(Q23/Q$28,0)</f>
        <v>0</v>
      </c>
      <c r="S23" s="79"/>
      <c r="T23" s="80">
        <f t="shared" ref="T23:T28" si="8">IFERROR(S23/S$28,0)</f>
        <v>0</v>
      </c>
      <c r="U23" s="79"/>
      <c r="V23" s="80">
        <f t="shared" ref="V23:V28" si="9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0"/>
        <v>0</v>
      </c>
      <c r="E24" s="79"/>
      <c r="F24" s="80">
        <f t="shared" si="1"/>
        <v>0</v>
      </c>
      <c r="G24" s="79"/>
      <c r="H24" s="80">
        <f t="shared" si="2"/>
        <v>0</v>
      </c>
      <c r="I24" s="79"/>
      <c r="J24" s="80">
        <f t="shared" si="3"/>
        <v>0</v>
      </c>
      <c r="K24" s="79"/>
      <c r="L24" s="80">
        <f t="shared" si="4"/>
        <v>0</v>
      </c>
      <c r="M24" s="79"/>
      <c r="N24" s="80">
        <f t="shared" si="5"/>
        <v>0</v>
      </c>
      <c r="O24" s="79"/>
      <c r="P24" s="80">
        <f t="shared" si="6"/>
        <v>0</v>
      </c>
      <c r="Q24" s="79"/>
      <c r="R24" s="80">
        <f t="shared" si="7"/>
        <v>0</v>
      </c>
      <c r="S24" s="79"/>
      <c r="T24" s="80">
        <f t="shared" si="8"/>
        <v>0</v>
      </c>
      <c r="U24" s="79"/>
      <c r="V24" s="80">
        <f t="shared" si="9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0"/>
        <v>0</v>
      </c>
      <c r="E25" s="111"/>
      <c r="F25" s="80">
        <f t="shared" si="1"/>
        <v>0</v>
      </c>
      <c r="G25" s="111"/>
      <c r="H25" s="80">
        <f t="shared" si="2"/>
        <v>0</v>
      </c>
      <c r="I25" s="111"/>
      <c r="J25" s="80">
        <f t="shared" si="3"/>
        <v>0</v>
      </c>
      <c r="K25" s="111"/>
      <c r="L25" s="80">
        <f t="shared" si="4"/>
        <v>0</v>
      </c>
      <c r="M25" s="111"/>
      <c r="N25" s="80">
        <f t="shared" si="5"/>
        <v>0</v>
      </c>
      <c r="O25" s="111"/>
      <c r="P25" s="80">
        <f t="shared" si="6"/>
        <v>0</v>
      </c>
      <c r="Q25" s="111"/>
      <c r="R25" s="80">
        <f t="shared" si="7"/>
        <v>0</v>
      </c>
      <c r="S25" s="111"/>
      <c r="T25" s="80">
        <f t="shared" si="8"/>
        <v>0</v>
      </c>
      <c r="U25" s="111"/>
      <c r="V25" s="80">
        <f t="shared" si="9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0"/>
        <v>0</v>
      </c>
      <c r="E26" s="79"/>
      <c r="F26" s="80">
        <f t="shared" si="1"/>
        <v>0</v>
      </c>
      <c r="G26" s="79"/>
      <c r="H26" s="80">
        <f t="shared" si="2"/>
        <v>0</v>
      </c>
      <c r="I26" s="79"/>
      <c r="J26" s="80">
        <f t="shared" si="3"/>
        <v>0</v>
      </c>
      <c r="K26" s="79"/>
      <c r="L26" s="80">
        <f t="shared" si="4"/>
        <v>0</v>
      </c>
      <c r="M26" s="79"/>
      <c r="N26" s="80">
        <f t="shared" si="5"/>
        <v>0</v>
      </c>
      <c r="O26" s="79"/>
      <c r="P26" s="80">
        <f t="shared" si="6"/>
        <v>0</v>
      </c>
      <c r="Q26" s="79"/>
      <c r="R26" s="80">
        <f t="shared" si="7"/>
        <v>0</v>
      </c>
      <c r="S26" s="79"/>
      <c r="T26" s="80">
        <f t="shared" si="8"/>
        <v>0</v>
      </c>
      <c r="U26" s="79"/>
      <c r="V26" s="80">
        <f t="shared" si="9"/>
        <v>0</v>
      </c>
    </row>
    <row r="27" spans="1:24" ht="12.75" customHeight="1">
      <c r="A27" s="2" t="s">
        <v>364</v>
      </c>
      <c r="B27" s="35"/>
      <c r="C27" s="112"/>
      <c r="D27" s="80">
        <f t="shared" si="0"/>
        <v>0</v>
      </c>
      <c r="E27" s="112"/>
      <c r="F27" s="80">
        <f t="shared" si="1"/>
        <v>0</v>
      </c>
      <c r="G27" s="112"/>
      <c r="H27" s="80">
        <f t="shared" si="2"/>
        <v>0</v>
      </c>
      <c r="I27" s="112"/>
      <c r="J27" s="80">
        <f t="shared" si="3"/>
        <v>0</v>
      </c>
      <c r="K27" s="112"/>
      <c r="L27" s="80">
        <f t="shared" si="4"/>
        <v>0</v>
      </c>
      <c r="M27" s="112"/>
      <c r="N27" s="80">
        <f t="shared" si="5"/>
        <v>0</v>
      </c>
      <c r="O27" s="112"/>
      <c r="P27" s="80">
        <f t="shared" si="6"/>
        <v>0</v>
      </c>
      <c r="Q27" s="112"/>
      <c r="R27" s="80">
        <f t="shared" si="7"/>
        <v>0</v>
      </c>
      <c r="S27" s="112"/>
      <c r="T27" s="80">
        <f t="shared" si="8"/>
        <v>0</v>
      </c>
      <c r="U27" s="112"/>
      <c r="V27" s="80">
        <f t="shared" si="9"/>
        <v>0</v>
      </c>
    </row>
    <row r="28" spans="1:24" ht="12.75" customHeight="1">
      <c r="A28" s="1" t="s">
        <v>365</v>
      </c>
      <c r="B28" s="53"/>
      <c r="C28" s="82">
        <f>SUM(C19:C27)</f>
        <v>1121760</v>
      </c>
      <c r="D28" s="83">
        <f t="shared" si="0"/>
        <v>1</v>
      </c>
      <c r="E28" s="82">
        <f>SUM(E19:E27)</f>
        <v>1275000</v>
      </c>
      <c r="F28" s="83">
        <f t="shared" si="1"/>
        <v>1</v>
      </c>
      <c r="G28" s="82">
        <f>SUM(G19:G27)</f>
        <v>1300500</v>
      </c>
      <c r="H28" s="83">
        <f t="shared" si="2"/>
        <v>1</v>
      </c>
      <c r="I28" s="82">
        <f>SUM(I19:I27)</f>
        <v>1326510</v>
      </c>
      <c r="J28" s="83">
        <f t="shared" si="3"/>
        <v>1</v>
      </c>
      <c r="K28" s="82">
        <f>SUM(K19:K27)</f>
        <v>1353040.2</v>
      </c>
      <c r="L28" s="83">
        <f t="shared" si="4"/>
        <v>1</v>
      </c>
      <c r="M28" s="82">
        <f>SUM(M19:M27)</f>
        <v>1380101.004</v>
      </c>
      <c r="N28" s="83">
        <f t="shared" si="5"/>
        <v>1</v>
      </c>
      <c r="O28" s="82">
        <f>SUM(O19:O27)</f>
        <v>1407703.0240799999</v>
      </c>
      <c r="P28" s="83">
        <f t="shared" si="6"/>
        <v>1</v>
      </c>
      <c r="Q28" s="82">
        <f>SUM(Q19:Q27)</f>
        <v>1435857.0845615999</v>
      </c>
      <c r="R28" s="83">
        <f t="shared" si="7"/>
        <v>1</v>
      </c>
      <c r="S28" s="82">
        <f>SUM(S19:S27)</f>
        <v>1464574.226252832</v>
      </c>
      <c r="T28" s="83">
        <f t="shared" si="8"/>
        <v>1</v>
      </c>
      <c r="U28" s="82">
        <f>SUM(U19:U27)</f>
        <v>1493865.7107778885</v>
      </c>
      <c r="V28" s="83">
        <f t="shared" si="9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0.33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370180.8</v>
      </c>
      <c r="D31" s="80">
        <f>IFERROR(C31/C$28,0)</f>
        <v>0.33</v>
      </c>
      <c r="E31" s="179">
        <f>$C$30*E14</f>
        <v>420750</v>
      </c>
      <c r="F31" s="80">
        <f>IFERROR(E31/E$28,0)</f>
        <v>0.33</v>
      </c>
      <c r="G31" s="179">
        <f>$C$30*G14</f>
        <v>429165</v>
      </c>
      <c r="H31" s="80">
        <f>IFERROR(G31/G$28,0)</f>
        <v>0.33</v>
      </c>
      <c r="I31" s="179">
        <f>$C$30*I14</f>
        <v>437748.30000000005</v>
      </c>
      <c r="J31" s="80">
        <f>IFERROR(I31/I$28,0)</f>
        <v>0.33</v>
      </c>
      <c r="K31" s="179">
        <f>$C$30*K14</f>
        <v>446503.266</v>
      </c>
      <c r="L31" s="80">
        <f>IFERROR(K31/K$28,0)</f>
        <v>0.33</v>
      </c>
      <c r="M31" s="179">
        <f>$C$30*M14</f>
        <v>455433.33132</v>
      </c>
      <c r="N31" s="80">
        <f>IFERROR(M31/M$28,0)</f>
        <v>0.33</v>
      </c>
      <c r="O31" s="179">
        <f>$C$30*O14</f>
        <v>464541.99794639996</v>
      </c>
      <c r="P31" s="80">
        <f>IFERROR(O31/O$28,0)</f>
        <v>0.33</v>
      </c>
      <c r="Q31" s="179">
        <f>$C$30*Q14</f>
        <v>473832.83790532796</v>
      </c>
      <c r="R31" s="80">
        <f>IFERROR(Q31/Q$28,0)</f>
        <v>0.33</v>
      </c>
      <c r="S31" s="179">
        <f>$C$30*S14</f>
        <v>483309.49466343457</v>
      </c>
      <c r="T31" s="80">
        <f>IFERROR(S31/S$28,0)</f>
        <v>0.33</v>
      </c>
      <c r="U31" s="179">
        <f>$C$30*U14</f>
        <v>492975.68455670326</v>
      </c>
      <c r="V31" s="80">
        <f>IFERROR(U31/U$28,0)</f>
        <v>0.33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370180.8</v>
      </c>
      <c r="D33" s="83">
        <f>IFERROR(C33/C$28,0)</f>
        <v>0.33</v>
      </c>
      <c r="E33" s="82">
        <f>SUM(E31:E32)</f>
        <v>420750</v>
      </c>
      <c r="F33" s="83">
        <f>IFERROR(E33/E$28,0)</f>
        <v>0.33</v>
      </c>
      <c r="G33" s="82">
        <f>SUM(G31:G32)</f>
        <v>429165</v>
      </c>
      <c r="H33" s="83">
        <f>IFERROR(G33/G$28,0)</f>
        <v>0.33</v>
      </c>
      <c r="I33" s="82">
        <f>SUM(I31:I32)</f>
        <v>437748.30000000005</v>
      </c>
      <c r="J33" s="83">
        <f>IFERROR(I33/I$28,0)</f>
        <v>0.33</v>
      </c>
      <c r="K33" s="82">
        <f>SUM(K31:K32)</f>
        <v>446503.266</v>
      </c>
      <c r="L33" s="83">
        <f>IFERROR(K33/K$28,0)</f>
        <v>0.33</v>
      </c>
      <c r="M33" s="82">
        <f>SUM(M31:M32)</f>
        <v>455433.33132</v>
      </c>
      <c r="N33" s="83">
        <f>IFERROR(M33/M$28,0)</f>
        <v>0.33</v>
      </c>
      <c r="O33" s="82">
        <f>SUM(O31:O32)</f>
        <v>464541.99794639996</v>
      </c>
      <c r="P33" s="83">
        <f>IFERROR(O33/O$28,0)</f>
        <v>0.33</v>
      </c>
      <c r="Q33" s="82">
        <f>SUM(Q31:Q32)</f>
        <v>473832.83790532796</v>
      </c>
      <c r="R33" s="83">
        <f>IFERROR(Q33/Q$28,0)</f>
        <v>0.33</v>
      </c>
      <c r="S33" s="82">
        <f>SUM(S31:S32)</f>
        <v>483309.49466343457</v>
      </c>
      <c r="T33" s="83">
        <f>IFERROR(S33/S$28,0)</f>
        <v>0.33</v>
      </c>
      <c r="U33" s="82">
        <f>SUM(U31:U32)</f>
        <v>492975.68455670326</v>
      </c>
      <c r="V33" s="83">
        <f>IFERROR(U33/U$28,0)</f>
        <v>0.33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>
        <v>54415</v>
      </c>
      <c r="D36" s="80">
        <f t="shared" ref="D36:D46" si="10">IFERROR(C36/C$28,0)</f>
        <v>4.8508593638567965E-2</v>
      </c>
      <c r="E36" s="179">
        <f>+C36*1.025</f>
        <v>55775.374999999993</v>
      </c>
      <c r="F36" s="80">
        <f t="shared" ref="F36:F46" si="11">IFERROR(E36/E$28,0)</f>
        <v>4.3745392156862739E-2</v>
      </c>
      <c r="G36" s="179">
        <f>+E36*1.025</f>
        <v>57169.759374999987</v>
      </c>
      <c r="H36" s="80">
        <f t="shared" ref="H36:H46" si="12">IFERROR(G36/G$28,0)</f>
        <v>4.3959830353710101E-2</v>
      </c>
      <c r="I36" s="179">
        <f>+G36*1.025</f>
        <v>58599.003359374983</v>
      </c>
      <c r="J36" s="80">
        <f t="shared" ref="J36:J46" si="13">IFERROR(I36/I$28,0)</f>
        <v>4.4175319718189068E-2</v>
      </c>
      <c r="K36" s="179">
        <f>+I36*1.025</f>
        <v>60063.978443359352</v>
      </c>
      <c r="L36" s="80">
        <f t="shared" ref="L36:L46" si="14">IFERROR(K36/K$28,0)</f>
        <v>4.4391865403082154E-2</v>
      </c>
      <c r="M36" s="179">
        <f>+K36*1.025</f>
        <v>61565.577904443329</v>
      </c>
      <c r="N36" s="80">
        <f t="shared" ref="N36:N46" si="15">IFERROR(M36/M$28,0)</f>
        <v>4.4609472586430589E-2</v>
      </c>
      <c r="O36" s="179">
        <f>+M36*1.025</f>
        <v>63104.717352054409</v>
      </c>
      <c r="P36" s="80">
        <f t="shared" ref="P36:P46" si="16">IFERROR(O36/O$28,0)</f>
        <v>4.4828146471658191E-2</v>
      </c>
      <c r="Q36" s="179">
        <f>+O36*1.025</f>
        <v>64682.335285855763</v>
      </c>
      <c r="R36" s="80">
        <f t="shared" ref="R36:R46" si="17">IFERROR(Q36/Q$28,0)</f>
        <v>4.5047892287695727E-2</v>
      </c>
      <c r="S36" s="179">
        <f>+Q36*1.025</f>
        <v>66299.393668002158</v>
      </c>
      <c r="T36" s="80">
        <f t="shared" ref="T36:T46" si="18">IFERROR(S36/S$28,0)</f>
        <v>4.5268715289105997E-2</v>
      </c>
      <c r="U36" s="179">
        <f>+S36*1.025</f>
        <v>67956.878509702205</v>
      </c>
      <c r="V36" s="80">
        <f t="shared" ref="V36:V46" si="19">IFERROR(U36/U$28,0)</f>
        <v>4.5490620756209452E-2</v>
      </c>
    </row>
    <row r="37" spans="1:22" ht="12.75" customHeight="1">
      <c r="A37" s="2" t="s">
        <v>372</v>
      </c>
      <c r="B37" s="35"/>
      <c r="C37" s="179">
        <v>235997</v>
      </c>
      <c r="D37" s="80">
        <f t="shared" si="10"/>
        <v>0.21038100841534732</v>
      </c>
      <c r="E37" s="179">
        <f>+C37*1.112</f>
        <v>262428.66400000005</v>
      </c>
      <c r="F37" s="80">
        <f t="shared" si="11"/>
        <v>0.20582640313725495</v>
      </c>
      <c r="G37" s="179">
        <f>+E37*1.035</f>
        <v>271613.66724000004</v>
      </c>
      <c r="H37" s="80">
        <f t="shared" si="12"/>
        <v>0.20885326200692045</v>
      </c>
      <c r="I37" s="179">
        <f>+G37*1.032</f>
        <v>280305.30459168006</v>
      </c>
      <c r="J37" s="80">
        <f t="shared" si="13"/>
        <v>0.21131035920700189</v>
      </c>
      <c r="K37" s="179">
        <f>+I37*1.025</f>
        <v>287312.93720647204</v>
      </c>
      <c r="L37" s="80">
        <f t="shared" si="14"/>
        <v>0.21234619430115384</v>
      </c>
      <c r="M37" s="179">
        <f>+K37*1.025</f>
        <v>294495.76063663379</v>
      </c>
      <c r="N37" s="80">
        <f t="shared" si="15"/>
        <v>0.21338710701831631</v>
      </c>
      <c r="O37" s="179">
        <f>+M37*1.025</f>
        <v>301858.15465254959</v>
      </c>
      <c r="P37" s="80">
        <f t="shared" si="16"/>
        <v>0.21443312224879824</v>
      </c>
      <c r="Q37" s="179">
        <f>+O37*1.025</f>
        <v>309404.60851886333</v>
      </c>
      <c r="R37" s="80">
        <f t="shared" si="17"/>
        <v>0.21548426500491979</v>
      </c>
      <c r="S37" s="179">
        <f>+Q37*1.025</f>
        <v>317139.72373183491</v>
      </c>
      <c r="T37" s="80">
        <f t="shared" si="18"/>
        <v>0.21654056042161057</v>
      </c>
      <c r="U37" s="179">
        <f>+S37*1.025</f>
        <v>325068.21682513074</v>
      </c>
      <c r="V37" s="80">
        <f t="shared" si="19"/>
        <v>0.21760203375701059</v>
      </c>
    </row>
    <row r="38" spans="1:22" ht="12.75" customHeight="1">
      <c r="A38" s="2" t="s">
        <v>373</v>
      </c>
      <c r="B38" s="35"/>
      <c r="C38" s="179">
        <v>42900</v>
      </c>
      <c r="D38" s="80">
        <f t="shared" si="10"/>
        <v>3.8243474540008558E-2</v>
      </c>
      <c r="E38" s="179">
        <f t="shared" ref="E38:E39" si="20">+C38*1.112</f>
        <v>47704.800000000003</v>
      </c>
      <c r="F38" s="80">
        <f t="shared" si="11"/>
        <v>3.7415529411764709E-2</v>
      </c>
      <c r="G38" s="179">
        <f>+E38*1.035</f>
        <v>49374.468000000001</v>
      </c>
      <c r="H38" s="80">
        <f t="shared" si="12"/>
        <v>3.7965757785467132E-2</v>
      </c>
      <c r="I38" s="179">
        <f>+G38*1.032</f>
        <v>50954.450976</v>
      </c>
      <c r="J38" s="80">
        <f t="shared" si="13"/>
        <v>3.8412413759413802E-2</v>
      </c>
      <c r="K38" s="179">
        <f>+I38*1.025</f>
        <v>52228.312250399998</v>
      </c>
      <c r="L38" s="80">
        <f t="shared" si="14"/>
        <v>3.8600709905293282E-2</v>
      </c>
      <c r="M38" s="179">
        <f>+K38*1.025</f>
        <v>53534.020056659996</v>
      </c>
      <c r="N38" s="80">
        <f t="shared" si="15"/>
        <v>3.8789929071495699E-2</v>
      </c>
      <c r="O38" s="179">
        <f>+M38*1.025</f>
        <v>54872.370558076494</v>
      </c>
      <c r="P38" s="80">
        <f t="shared" si="16"/>
        <v>3.8980075782630477E-2</v>
      </c>
      <c r="Q38" s="179">
        <f>+O38*1.025</f>
        <v>56244.179822028404</v>
      </c>
      <c r="R38" s="80">
        <f t="shared" si="17"/>
        <v>3.9171154585486506E-2</v>
      </c>
      <c r="S38" s="179">
        <f>+Q38*1.025</f>
        <v>57650.284317579106</v>
      </c>
      <c r="T38" s="80">
        <f t="shared" si="18"/>
        <v>3.9363170049140847E-2</v>
      </c>
      <c r="U38" s="179">
        <f>+S38*1.025</f>
        <v>59091.541425518575</v>
      </c>
      <c r="V38" s="80">
        <f t="shared" si="19"/>
        <v>3.9556126765068006E-2</v>
      </c>
    </row>
    <row r="39" spans="1:22" ht="12.75" customHeight="1">
      <c r="A39" s="2" t="s">
        <v>374</v>
      </c>
      <c r="B39" s="35"/>
      <c r="C39" s="179">
        <v>103983</v>
      </c>
      <c r="D39" s="80">
        <f t="shared" si="10"/>
        <v>9.2696298673513047E-2</v>
      </c>
      <c r="E39" s="179">
        <f t="shared" si="20"/>
        <v>115629.09600000001</v>
      </c>
      <c r="F39" s="80">
        <f t="shared" si="11"/>
        <v>9.0689487058823529E-2</v>
      </c>
      <c r="G39" s="179">
        <f>+E39*1.035</f>
        <v>119676.11435999999</v>
      </c>
      <c r="H39" s="80">
        <f t="shared" si="12"/>
        <v>9.2023155986159164E-2</v>
      </c>
      <c r="I39" s="179">
        <f>+G39*1.032</f>
        <v>123505.75001952</v>
      </c>
      <c r="J39" s="80">
        <f t="shared" si="13"/>
        <v>9.3105781350702216E-2</v>
      </c>
      <c r="K39" s="179">
        <f>+I39*1.025</f>
        <v>126593.39377000798</v>
      </c>
      <c r="L39" s="80">
        <f t="shared" si="14"/>
        <v>9.3562182239676245E-2</v>
      </c>
      <c r="M39" s="179">
        <f>+K39*1.025</f>
        <v>129758.22861425817</v>
      </c>
      <c r="N39" s="80">
        <f t="shared" si="15"/>
        <v>9.4020820387909945E-2</v>
      </c>
      <c r="O39" s="179">
        <f>+M39*1.025</f>
        <v>133002.18432961463</v>
      </c>
      <c r="P39" s="80">
        <f t="shared" si="16"/>
        <v>9.4481706762360479E-2</v>
      </c>
      <c r="Q39" s="179">
        <f>+O39*1.025</f>
        <v>136327.23893785497</v>
      </c>
      <c r="R39" s="80">
        <f t="shared" si="17"/>
        <v>9.4944852383744588E-2</v>
      </c>
      <c r="S39" s="179">
        <f>+Q39*1.025</f>
        <v>139735.41991130135</v>
      </c>
      <c r="T39" s="80">
        <f t="shared" si="18"/>
        <v>9.5410268326802147E-2</v>
      </c>
      <c r="U39" s="179">
        <f>+S39*1.025</f>
        <v>143228.80540908387</v>
      </c>
      <c r="V39" s="80">
        <f t="shared" si="19"/>
        <v>9.5877965720560981E-2</v>
      </c>
    </row>
    <row r="40" spans="1:22" ht="12.75" customHeight="1">
      <c r="A40" s="2" t="s">
        <v>375</v>
      </c>
      <c r="B40" s="35"/>
      <c r="C40" s="179">
        <f>C36*0.124</f>
        <v>6747.46</v>
      </c>
      <c r="D40" s="80">
        <f t="shared" si="10"/>
        <v>6.0150656111824276E-3</v>
      </c>
      <c r="E40" s="179">
        <f>E36*0.124</f>
        <v>6916.1464999999989</v>
      </c>
      <c r="F40" s="80">
        <f t="shared" si="11"/>
        <v>5.4244286274509794E-3</v>
      </c>
      <c r="G40" s="179">
        <f>G36*0.124</f>
        <v>7089.0501624999979</v>
      </c>
      <c r="H40" s="80">
        <f t="shared" si="12"/>
        <v>5.4510189638600519E-3</v>
      </c>
      <c r="I40" s="179">
        <f>I36*0.124</f>
        <v>7266.2764165624976</v>
      </c>
      <c r="J40" s="80">
        <f t="shared" si="13"/>
        <v>5.4777396450554445E-3</v>
      </c>
      <c r="K40" s="179">
        <f>K36*0.124</f>
        <v>7447.9333269765593</v>
      </c>
      <c r="L40" s="80">
        <f t="shared" si="14"/>
        <v>5.5045913099821863E-3</v>
      </c>
      <c r="M40" s="179">
        <f>M36*0.124</f>
        <v>7634.1316601509725</v>
      </c>
      <c r="N40" s="80">
        <f t="shared" si="15"/>
        <v>5.5315746007173925E-3</v>
      </c>
      <c r="O40" s="179">
        <f>O36*0.124</f>
        <v>7824.9849516547465</v>
      </c>
      <c r="P40" s="80">
        <f t="shared" si="16"/>
        <v>5.5586901624856151E-3</v>
      </c>
      <c r="Q40" s="179">
        <f>Q36*0.124</f>
        <v>8020.6095754461148</v>
      </c>
      <c r="R40" s="80">
        <f t="shared" si="17"/>
        <v>5.5859386436742696E-3</v>
      </c>
      <c r="S40" s="179">
        <f>S36*0.124</f>
        <v>8221.1248148322684</v>
      </c>
      <c r="T40" s="80">
        <f t="shared" si="18"/>
        <v>5.6133206958491437E-3</v>
      </c>
      <c r="U40" s="179">
        <f>U36*0.124</f>
        <v>8426.6529352030739</v>
      </c>
      <c r="V40" s="80">
        <f t="shared" si="19"/>
        <v>5.6408369737699724E-3</v>
      </c>
    </row>
    <row r="41" spans="1:22" ht="12.75" customHeight="1">
      <c r="A41" s="2" t="s">
        <v>376</v>
      </c>
      <c r="B41" s="35"/>
      <c r="C41" s="179">
        <f>C37*0.124</f>
        <v>29263.628000000001</v>
      </c>
      <c r="D41" s="80">
        <f t="shared" si="10"/>
        <v>2.6087245043503068E-2</v>
      </c>
      <c r="E41" s="179">
        <f>E37*0.124</f>
        <v>32541.154336000007</v>
      </c>
      <c r="F41" s="80">
        <f t="shared" si="11"/>
        <v>2.5522473989019613E-2</v>
      </c>
      <c r="G41" s="179">
        <f>G37*0.124</f>
        <v>33680.094737760002</v>
      </c>
      <c r="H41" s="80">
        <f t="shared" si="12"/>
        <v>2.5897804488858134E-2</v>
      </c>
      <c r="I41" s="179">
        <f>I37*0.124</f>
        <v>34757.857769368326</v>
      </c>
      <c r="J41" s="80">
        <f t="shared" si="13"/>
        <v>2.6202484541668233E-2</v>
      </c>
      <c r="K41" s="179">
        <f>K37*0.124</f>
        <v>35626.804213602532</v>
      </c>
      <c r="L41" s="80">
        <f t="shared" si="14"/>
        <v>2.6330928093343076E-2</v>
      </c>
      <c r="M41" s="179">
        <f>M37*0.124</f>
        <v>36517.474318942586</v>
      </c>
      <c r="N41" s="80">
        <f t="shared" si="15"/>
        <v>2.6460001270271222E-2</v>
      </c>
      <c r="O41" s="179">
        <f>O37*0.124</f>
        <v>37430.411176916146</v>
      </c>
      <c r="P41" s="80">
        <f t="shared" si="16"/>
        <v>2.6589707158850982E-2</v>
      </c>
      <c r="Q41" s="179">
        <f>Q37*0.124</f>
        <v>38366.171456339056</v>
      </c>
      <c r="R41" s="80">
        <f t="shared" si="17"/>
        <v>2.6720048860610059E-2</v>
      </c>
      <c r="S41" s="179">
        <f>S37*0.124</f>
        <v>39325.325742747526</v>
      </c>
      <c r="T41" s="80">
        <f t="shared" si="18"/>
        <v>2.6851029492279709E-2</v>
      </c>
      <c r="U41" s="179">
        <f>U37*0.124</f>
        <v>40308.458886316213</v>
      </c>
      <c r="V41" s="80">
        <f t="shared" si="19"/>
        <v>2.6982652185869316E-2</v>
      </c>
    </row>
    <row r="42" spans="1:22" ht="12.75" customHeight="1">
      <c r="A42" s="2" t="s">
        <v>377</v>
      </c>
      <c r="B42" s="35"/>
      <c r="C42" s="179"/>
      <c r="D42" s="80">
        <f t="shared" si="10"/>
        <v>0</v>
      </c>
      <c r="E42" s="179"/>
      <c r="F42" s="80">
        <f t="shared" si="11"/>
        <v>0</v>
      </c>
      <c r="G42" s="179"/>
      <c r="H42" s="80">
        <f t="shared" si="12"/>
        <v>0</v>
      </c>
      <c r="I42" s="179"/>
      <c r="J42" s="80">
        <f t="shared" si="13"/>
        <v>0</v>
      </c>
      <c r="K42" s="179"/>
      <c r="L42" s="80">
        <f t="shared" si="14"/>
        <v>0</v>
      </c>
      <c r="M42" s="179"/>
      <c r="N42" s="80">
        <f t="shared" si="15"/>
        <v>0</v>
      </c>
      <c r="O42" s="179"/>
      <c r="P42" s="80">
        <f t="shared" si="16"/>
        <v>0</v>
      </c>
      <c r="Q42" s="179"/>
      <c r="R42" s="80">
        <f t="shared" si="17"/>
        <v>0</v>
      </c>
      <c r="S42" s="179"/>
      <c r="T42" s="80">
        <f t="shared" si="18"/>
        <v>0</v>
      </c>
      <c r="U42" s="179"/>
      <c r="V42" s="80">
        <f t="shared" si="19"/>
        <v>0</v>
      </c>
    </row>
    <row r="43" spans="1:22" ht="12.75" customHeight="1">
      <c r="A43" s="2" t="s">
        <v>378</v>
      </c>
      <c r="B43" s="35"/>
      <c r="C43" s="179"/>
      <c r="D43" s="80">
        <f t="shared" si="10"/>
        <v>0</v>
      </c>
      <c r="E43" s="179"/>
      <c r="F43" s="80">
        <f t="shared" si="11"/>
        <v>0</v>
      </c>
      <c r="G43" s="179"/>
      <c r="H43" s="80">
        <f t="shared" si="12"/>
        <v>0</v>
      </c>
      <c r="I43" s="179"/>
      <c r="J43" s="80">
        <f t="shared" si="13"/>
        <v>0</v>
      </c>
      <c r="K43" s="179"/>
      <c r="L43" s="80">
        <f t="shared" si="14"/>
        <v>0</v>
      </c>
      <c r="M43" s="179"/>
      <c r="N43" s="80">
        <f t="shared" si="15"/>
        <v>0</v>
      </c>
      <c r="O43" s="179"/>
      <c r="P43" s="80">
        <f t="shared" si="16"/>
        <v>0</v>
      </c>
      <c r="Q43" s="179"/>
      <c r="R43" s="80">
        <f t="shared" si="17"/>
        <v>0</v>
      </c>
      <c r="S43" s="179"/>
      <c r="T43" s="80">
        <f t="shared" si="18"/>
        <v>0</v>
      </c>
      <c r="U43" s="179"/>
      <c r="V43" s="80">
        <f t="shared" si="19"/>
        <v>0</v>
      </c>
    </row>
    <row r="44" spans="1:22" ht="12.75" customHeight="1">
      <c r="A44" s="2" t="s">
        <v>379</v>
      </c>
      <c r="B44" s="35"/>
      <c r="C44" s="179"/>
      <c r="D44" s="80">
        <f t="shared" si="10"/>
        <v>0</v>
      </c>
      <c r="E44" s="179"/>
      <c r="F44" s="80">
        <f t="shared" si="11"/>
        <v>0</v>
      </c>
      <c r="G44" s="179"/>
      <c r="H44" s="80">
        <f t="shared" si="12"/>
        <v>0</v>
      </c>
      <c r="I44" s="179"/>
      <c r="J44" s="80">
        <f t="shared" si="13"/>
        <v>0</v>
      </c>
      <c r="K44" s="179"/>
      <c r="L44" s="80">
        <f t="shared" si="14"/>
        <v>0</v>
      </c>
      <c r="M44" s="179"/>
      <c r="N44" s="80">
        <f t="shared" si="15"/>
        <v>0</v>
      </c>
      <c r="O44" s="179"/>
      <c r="P44" s="80">
        <f t="shared" si="16"/>
        <v>0</v>
      </c>
      <c r="Q44" s="179"/>
      <c r="R44" s="80">
        <f t="shared" si="17"/>
        <v>0</v>
      </c>
      <c r="S44" s="179"/>
      <c r="T44" s="80">
        <f t="shared" si="18"/>
        <v>0</v>
      </c>
      <c r="U44" s="179"/>
      <c r="V44" s="80">
        <f t="shared" si="19"/>
        <v>0</v>
      </c>
    </row>
    <row r="45" spans="1:22" ht="12.75" customHeight="1">
      <c r="A45" s="2" t="s">
        <v>380</v>
      </c>
      <c r="B45" s="35"/>
      <c r="C45" s="182">
        <f>SUM(C36:C39)*0.094</f>
        <v>41105.730000000003</v>
      </c>
      <c r="D45" s="80">
        <f t="shared" si="10"/>
        <v>3.6643961275139067E-2</v>
      </c>
      <c r="E45" s="182">
        <f>SUM(E36:E39)*0.094</f>
        <v>45264.565890000005</v>
      </c>
      <c r="F45" s="80">
        <f t="shared" si="11"/>
        <v>3.5501620305882359E-2</v>
      </c>
      <c r="G45" s="182">
        <f>SUM(G36:G39)*0.094</f>
        <v>46796.39684365</v>
      </c>
      <c r="H45" s="80">
        <f t="shared" si="12"/>
        <v>3.5983388576432143E-2</v>
      </c>
      <c r="I45" s="182">
        <f>SUM(I36:I39)*0.094</f>
        <v>48256.263840978056</v>
      </c>
      <c r="J45" s="80">
        <f t="shared" si="13"/>
        <v>3.6378364159318853E-2</v>
      </c>
      <c r="K45" s="182">
        <f>SUM(K36:K39)*0.094</f>
        <v>49462.670437002504</v>
      </c>
      <c r="L45" s="80">
        <f t="shared" si="14"/>
        <v>3.6556689473825323E-2</v>
      </c>
      <c r="M45" s="182">
        <f>SUM(M36:M39)*0.094</f>
        <v>50699.237197927556</v>
      </c>
      <c r="N45" s="80">
        <f t="shared" si="15"/>
        <v>3.6735888932030336E-2</v>
      </c>
      <c r="O45" s="182">
        <f>SUM(O36:O39)*0.094</f>
        <v>51966.718127875742</v>
      </c>
      <c r="P45" s="80">
        <f t="shared" si="16"/>
        <v>3.6915966818952053E-2</v>
      </c>
      <c r="Q45" s="182">
        <f>SUM(Q36:Q39)*0.094</f>
        <v>53265.886081072626</v>
      </c>
      <c r="R45" s="80">
        <f t="shared" si="17"/>
        <v>3.7096927440613575E-2</v>
      </c>
      <c r="S45" s="182">
        <f>SUM(S36:S39)*0.094</f>
        <v>54597.533233099442</v>
      </c>
      <c r="T45" s="80">
        <f t="shared" si="18"/>
        <v>3.7278775124145999E-2</v>
      </c>
      <c r="U45" s="182">
        <f>SUM(U36:U39)*0.094</f>
        <v>55962.471563926934</v>
      </c>
      <c r="V45" s="80">
        <f t="shared" si="19"/>
        <v>3.7461514217891817E-2</v>
      </c>
    </row>
    <row r="46" spans="1:22" ht="12.75" customHeight="1">
      <c r="A46" s="1" t="s">
        <v>381</v>
      </c>
      <c r="B46" s="53"/>
      <c r="C46" s="82">
        <f>SUM(C36:C45)</f>
        <v>514411.81800000003</v>
      </c>
      <c r="D46" s="83">
        <f t="shared" si="10"/>
        <v>0.45857564719726146</v>
      </c>
      <c r="E46" s="82">
        <f>SUM(E36:E45)</f>
        <v>566259.80172600003</v>
      </c>
      <c r="F46" s="83">
        <f t="shared" si="11"/>
        <v>0.44412533468705884</v>
      </c>
      <c r="G46" s="82">
        <f>SUM(G36:G45)</f>
        <v>585399.55071891006</v>
      </c>
      <c r="H46" s="83">
        <f t="shared" si="12"/>
        <v>0.4501342181614072</v>
      </c>
      <c r="I46" s="82">
        <f>SUM(I36:I45)</f>
        <v>603644.90697348386</v>
      </c>
      <c r="J46" s="83">
        <f t="shared" si="13"/>
        <v>0.45506246238134945</v>
      </c>
      <c r="K46" s="82">
        <f>SUM(K36:K45)</f>
        <v>618736.02964782109</v>
      </c>
      <c r="L46" s="83">
        <f t="shared" si="14"/>
        <v>0.45729316072635617</v>
      </c>
      <c r="M46" s="82">
        <f>SUM(M36:M45)</f>
        <v>634204.4303890164</v>
      </c>
      <c r="N46" s="83">
        <f t="shared" si="15"/>
        <v>0.4595347938671715</v>
      </c>
      <c r="O46" s="82">
        <f>SUM(O36:O45)</f>
        <v>650059.54114874173</v>
      </c>
      <c r="P46" s="83">
        <f t="shared" si="16"/>
        <v>0.46178741540573603</v>
      </c>
      <c r="Q46" s="82">
        <f>SUM(Q36:Q45)</f>
        <v>666311.0296774602</v>
      </c>
      <c r="R46" s="83">
        <f t="shared" si="17"/>
        <v>0.46405107920674449</v>
      </c>
      <c r="S46" s="82">
        <f>SUM(S36:S45)</f>
        <v>682968.80541939661</v>
      </c>
      <c r="T46" s="83">
        <f t="shared" si="18"/>
        <v>0.46632583939893429</v>
      </c>
      <c r="U46" s="82">
        <f>SUM(U36:U45)</f>
        <v>700043.02555488155</v>
      </c>
      <c r="V46" s="83">
        <f t="shared" si="19"/>
        <v>0.46861175037638009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1">IFERROR(C52/C$28,0)</f>
        <v>0</v>
      </c>
      <c r="E52" s="179">
        <v>0</v>
      </c>
      <c r="F52" s="80">
        <f t="shared" ref="F52:F104" si="22">IFERROR(E52/E$28,0)</f>
        <v>0</v>
      </c>
      <c r="G52" s="179">
        <v>0</v>
      </c>
      <c r="H52" s="80">
        <f t="shared" ref="H52:H104" si="23">IFERROR(G52/G$28,0)</f>
        <v>0</v>
      </c>
      <c r="I52" s="179">
        <v>0</v>
      </c>
      <c r="J52" s="80">
        <f t="shared" ref="J52:J104" si="24">IFERROR(I52/I$28,0)</f>
        <v>0</v>
      </c>
      <c r="K52" s="179">
        <v>0</v>
      </c>
      <c r="L52" s="80">
        <f t="shared" ref="L52:L104" si="25">IFERROR(K52/K$28,0)</f>
        <v>0</v>
      </c>
      <c r="M52" s="179">
        <v>0</v>
      </c>
      <c r="N52" s="80">
        <f t="shared" ref="N52:N104" si="26">IFERROR(M52/M$28,0)</f>
        <v>0</v>
      </c>
      <c r="O52" s="179">
        <v>0</v>
      </c>
      <c r="P52" s="80">
        <f t="shared" ref="P52:P104" si="27">IFERROR(O52/O$28,0)</f>
        <v>0</v>
      </c>
      <c r="Q52" s="179">
        <v>0</v>
      </c>
      <c r="R52" s="80">
        <f t="shared" ref="R52:R104" si="28">IFERROR(Q52/Q$28,0)</f>
        <v>0</v>
      </c>
      <c r="S52" s="179">
        <v>0</v>
      </c>
      <c r="T52" s="80">
        <f t="shared" ref="T52:T104" si="29">IFERROR(S52/S$28,0)</f>
        <v>0</v>
      </c>
      <c r="U52" s="179">
        <v>0</v>
      </c>
      <c r="V52" s="80">
        <f t="shared" ref="V52:V105" si="30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1"/>
        <v>0</v>
      </c>
      <c r="E53" s="179">
        <v>0</v>
      </c>
      <c r="F53" s="80">
        <f t="shared" si="22"/>
        <v>0</v>
      </c>
      <c r="G53" s="179">
        <v>0</v>
      </c>
      <c r="H53" s="80">
        <f t="shared" si="23"/>
        <v>0</v>
      </c>
      <c r="I53" s="179">
        <v>0</v>
      </c>
      <c r="J53" s="80">
        <f t="shared" si="24"/>
        <v>0</v>
      </c>
      <c r="K53" s="179">
        <v>0</v>
      </c>
      <c r="L53" s="80">
        <f t="shared" si="25"/>
        <v>0</v>
      </c>
      <c r="M53" s="179">
        <v>0</v>
      </c>
      <c r="N53" s="80">
        <f t="shared" si="26"/>
        <v>0</v>
      </c>
      <c r="O53" s="179">
        <v>0</v>
      </c>
      <c r="P53" s="80">
        <f t="shared" si="27"/>
        <v>0</v>
      </c>
      <c r="Q53" s="179">
        <v>0</v>
      </c>
      <c r="R53" s="80">
        <f t="shared" si="28"/>
        <v>0</v>
      </c>
      <c r="S53" s="179">
        <v>0</v>
      </c>
      <c r="T53" s="80">
        <f t="shared" si="29"/>
        <v>0</v>
      </c>
      <c r="U53" s="179">
        <v>0</v>
      </c>
      <c r="V53" s="80">
        <f t="shared" si="30"/>
        <v>0</v>
      </c>
      <c r="X53" s="200"/>
    </row>
    <row r="54" spans="1:24" ht="12.75" customHeight="1">
      <c r="A54" s="2" t="s">
        <v>385</v>
      </c>
      <c r="B54" s="35"/>
      <c r="C54" s="179">
        <v>785.23199999999997</v>
      </c>
      <c r="D54" s="80">
        <f t="shared" si="21"/>
        <v>6.9999999999999999E-4</v>
      </c>
      <c r="E54" s="179">
        <v>892.5</v>
      </c>
      <c r="F54" s="80">
        <f t="shared" si="22"/>
        <v>6.9999999999999999E-4</v>
      </c>
      <c r="G54" s="179">
        <v>910.35000000000014</v>
      </c>
      <c r="H54" s="80">
        <f t="shared" si="23"/>
        <v>7.000000000000001E-4</v>
      </c>
      <c r="I54" s="179">
        <v>928.55700000000002</v>
      </c>
      <c r="J54" s="80">
        <f t="shared" si="24"/>
        <v>6.9999999999999999E-4</v>
      </c>
      <c r="K54" s="179">
        <v>947.12813999999992</v>
      </c>
      <c r="L54" s="80">
        <f t="shared" si="25"/>
        <v>6.9999999999999999E-4</v>
      </c>
      <c r="M54" s="179">
        <v>966.07070279999994</v>
      </c>
      <c r="N54" s="80">
        <f t="shared" si="26"/>
        <v>6.9999999999999999E-4</v>
      </c>
      <c r="O54" s="179">
        <v>985.39211685599992</v>
      </c>
      <c r="P54" s="80">
        <f t="shared" si="27"/>
        <v>6.9999999999999999E-4</v>
      </c>
      <c r="Q54" s="179">
        <v>1005.0999591931198</v>
      </c>
      <c r="R54" s="80">
        <f t="shared" si="28"/>
        <v>6.9999999999999999E-4</v>
      </c>
      <c r="S54" s="179">
        <v>1025.2019583769822</v>
      </c>
      <c r="T54" s="80">
        <f t="shared" si="29"/>
        <v>6.9999999999999988E-4</v>
      </c>
      <c r="U54" s="179">
        <v>1045.705997544522</v>
      </c>
      <c r="V54" s="80">
        <f t="shared" si="30"/>
        <v>6.9999999999999999E-4</v>
      </c>
      <c r="X54" s="200"/>
    </row>
    <row r="55" spans="1:24" ht="12.75" customHeight="1">
      <c r="A55" s="2" t="s">
        <v>386</v>
      </c>
      <c r="B55" s="35"/>
      <c r="C55" s="179">
        <v>67305.599999999991</v>
      </c>
      <c r="D55" s="80">
        <f t="shared" si="21"/>
        <v>5.9999999999999991E-2</v>
      </c>
      <c r="E55" s="179">
        <v>76500</v>
      </c>
      <c r="F55" s="80">
        <f t="shared" si="22"/>
        <v>0.06</v>
      </c>
      <c r="G55" s="179">
        <v>78030</v>
      </c>
      <c r="H55" s="80">
        <f t="shared" si="23"/>
        <v>0.06</v>
      </c>
      <c r="I55" s="179">
        <v>79590.599999999991</v>
      </c>
      <c r="J55" s="80">
        <f t="shared" si="24"/>
        <v>5.9999999999999991E-2</v>
      </c>
      <c r="K55" s="179">
        <v>81182.411999999997</v>
      </c>
      <c r="L55" s="80">
        <f t="shared" si="25"/>
        <v>0.06</v>
      </c>
      <c r="M55" s="179">
        <v>82806.060239999992</v>
      </c>
      <c r="N55" s="80">
        <f t="shared" si="26"/>
        <v>0.06</v>
      </c>
      <c r="O55" s="179">
        <v>84462.181444799993</v>
      </c>
      <c r="P55" s="80">
        <f t="shared" si="27"/>
        <v>0.06</v>
      </c>
      <c r="Q55" s="179">
        <v>86151.425073695995</v>
      </c>
      <c r="R55" s="80">
        <f t="shared" si="28"/>
        <v>0.06</v>
      </c>
      <c r="S55" s="179">
        <v>87874.453575169915</v>
      </c>
      <c r="T55" s="80">
        <f t="shared" si="29"/>
        <v>0.06</v>
      </c>
      <c r="U55" s="179">
        <v>89631.942646673313</v>
      </c>
      <c r="V55" s="80">
        <f t="shared" si="30"/>
        <v>0.06</v>
      </c>
      <c r="X55" s="200"/>
    </row>
    <row r="56" spans="1:24" ht="12.75" customHeight="1">
      <c r="A56" s="2" t="s">
        <v>387</v>
      </c>
      <c r="B56" s="35"/>
      <c r="C56" s="179">
        <v>572.09760000000006</v>
      </c>
      <c r="D56" s="80">
        <f t="shared" si="21"/>
        <v>5.1000000000000004E-4</v>
      </c>
      <c r="E56" s="179">
        <v>650.25000000000011</v>
      </c>
      <c r="F56" s="80">
        <f t="shared" si="22"/>
        <v>5.1000000000000004E-4</v>
      </c>
      <c r="G56" s="179">
        <v>663.25500000000011</v>
      </c>
      <c r="H56" s="80">
        <f t="shared" si="23"/>
        <v>5.1000000000000004E-4</v>
      </c>
      <c r="I56" s="179">
        <v>676.52010000000007</v>
      </c>
      <c r="J56" s="80">
        <f t="shared" si="24"/>
        <v>5.1000000000000004E-4</v>
      </c>
      <c r="K56" s="179">
        <v>690.05050199999994</v>
      </c>
      <c r="L56" s="80">
        <f t="shared" si="25"/>
        <v>5.0999999999999993E-4</v>
      </c>
      <c r="M56" s="179">
        <v>703.85151203999999</v>
      </c>
      <c r="N56" s="80">
        <f t="shared" si="26"/>
        <v>5.1000000000000004E-4</v>
      </c>
      <c r="O56" s="179">
        <v>717.9285422808</v>
      </c>
      <c r="P56" s="80">
        <f t="shared" si="27"/>
        <v>5.1000000000000004E-4</v>
      </c>
      <c r="Q56" s="179">
        <v>732.2871131264161</v>
      </c>
      <c r="R56" s="80">
        <f t="shared" si="28"/>
        <v>5.1000000000000015E-4</v>
      </c>
      <c r="S56" s="179">
        <v>746.9328553889444</v>
      </c>
      <c r="T56" s="80">
        <f t="shared" si="29"/>
        <v>5.1000000000000004E-4</v>
      </c>
      <c r="U56" s="179">
        <v>761.8715124967232</v>
      </c>
      <c r="V56" s="80">
        <f t="shared" si="30"/>
        <v>5.1000000000000004E-4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1"/>
        <v>0</v>
      </c>
      <c r="E57" s="179">
        <v>0</v>
      </c>
      <c r="F57" s="80">
        <f t="shared" si="22"/>
        <v>0</v>
      </c>
      <c r="G57" s="179">
        <v>0</v>
      </c>
      <c r="H57" s="80">
        <f t="shared" si="23"/>
        <v>0</v>
      </c>
      <c r="I57" s="179">
        <v>0</v>
      </c>
      <c r="J57" s="80">
        <f t="shared" si="24"/>
        <v>0</v>
      </c>
      <c r="K57" s="179">
        <v>0</v>
      </c>
      <c r="L57" s="80">
        <f t="shared" si="25"/>
        <v>0</v>
      </c>
      <c r="M57" s="179">
        <v>0</v>
      </c>
      <c r="N57" s="80">
        <f t="shared" si="26"/>
        <v>0</v>
      </c>
      <c r="O57" s="179">
        <v>0</v>
      </c>
      <c r="P57" s="80">
        <f t="shared" si="27"/>
        <v>0</v>
      </c>
      <c r="Q57" s="179">
        <v>0</v>
      </c>
      <c r="R57" s="80">
        <f t="shared" si="28"/>
        <v>0</v>
      </c>
      <c r="S57" s="179">
        <v>0</v>
      </c>
      <c r="T57" s="80">
        <f t="shared" si="29"/>
        <v>0</v>
      </c>
      <c r="U57" s="179">
        <v>0</v>
      </c>
      <c r="V57" s="80">
        <f t="shared" si="30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1"/>
        <v>0</v>
      </c>
      <c r="E58" s="179">
        <v>0</v>
      </c>
      <c r="F58" s="80">
        <f t="shared" si="22"/>
        <v>0</v>
      </c>
      <c r="G58" s="179">
        <v>0</v>
      </c>
      <c r="H58" s="80">
        <f t="shared" si="23"/>
        <v>0</v>
      </c>
      <c r="I58" s="179">
        <v>0</v>
      </c>
      <c r="J58" s="80">
        <f t="shared" si="24"/>
        <v>0</v>
      </c>
      <c r="K58" s="179">
        <v>0</v>
      </c>
      <c r="L58" s="80">
        <f t="shared" si="25"/>
        <v>0</v>
      </c>
      <c r="M58" s="179">
        <v>0</v>
      </c>
      <c r="N58" s="80">
        <f t="shared" si="26"/>
        <v>0</v>
      </c>
      <c r="O58" s="179">
        <v>0</v>
      </c>
      <c r="P58" s="80">
        <f t="shared" si="27"/>
        <v>0</v>
      </c>
      <c r="Q58" s="179">
        <v>0</v>
      </c>
      <c r="R58" s="80">
        <f t="shared" si="28"/>
        <v>0</v>
      </c>
      <c r="S58" s="179">
        <v>0</v>
      </c>
      <c r="T58" s="80">
        <f t="shared" si="29"/>
        <v>0</v>
      </c>
      <c r="U58" s="179">
        <v>0</v>
      </c>
      <c r="V58" s="80">
        <f t="shared" si="30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1"/>
        <v>0</v>
      </c>
      <c r="E59" s="179">
        <v>0</v>
      </c>
      <c r="F59" s="80">
        <f t="shared" si="22"/>
        <v>0</v>
      </c>
      <c r="G59" s="179">
        <v>0</v>
      </c>
      <c r="H59" s="80">
        <f t="shared" si="23"/>
        <v>0</v>
      </c>
      <c r="I59" s="179">
        <v>0</v>
      </c>
      <c r="J59" s="80">
        <f t="shared" si="24"/>
        <v>0</v>
      </c>
      <c r="K59" s="179">
        <v>0</v>
      </c>
      <c r="L59" s="80">
        <f t="shared" si="25"/>
        <v>0</v>
      </c>
      <c r="M59" s="179">
        <v>0</v>
      </c>
      <c r="N59" s="80">
        <f t="shared" si="26"/>
        <v>0</v>
      </c>
      <c r="O59" s="179">
        <v>0</v>
      </c>
      <c r="P59" s="80">
        <f t="shared" si="27"/>
        <v>0</v>
      </c>
      <c r="Q59" s="179">
        <v>0</v>
      </c>
      <c r="R59" s="80">
        <f t="shared" si="28"/>
        <v>0</v>
      </c>
      <c r="S59" s="179">
        <v>0</v>
      </c>
      <c r="T59" s="80">
        <f t="shared" si="29"/>
        <v>0</v>
      </c>
      <c r="U59" s="179">
        <v>0</v>
      </c>
      <c r="V59" s="80">
        <f t="shared" si="30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1"/>
        <v>0</v>
      </c>
      <c r="E60" s="179">
        <v>0</v>
      </c>
      <c r="F60" s="80">
        <f t="shared" si="22"/>
        <v>0</v>
      </c>
      <c r="G60" s="179">
        <v>0</v>
      </c>
      <c r="H60" s="80">
        <f t="shared" si="23"/>
        <v>0</v>
      </c>
      <c r="I60" s="179">
        <v>0</v>
      </c>
      <c r="J60" s="80">
        <f t="shared" si="24"/>
        <v>0</v>
      </c>
      <c r="K60" s="179">
        <v>0</v>
      </c>
      <c r="L60" s="80">
        <f t="shared" si="25"/>
        <v>0</v>
      </c>
      <c r="M60" s="179">
        <v>0</v>
      </c>
      <c r="N60" s="80">
        <f t="shared" si="26"/>
        <v>0</v>
      </c>
      <c r="O60" s="179">
        <v>0</v>
      </c>
      <c r="P60" s="80">
        <f t="shared" si="27"/>
        <v>0</v>
      </c>
      <c r="Q60" s="179">
        <v>0</v>
      </c>
      <c r="R60" s="80">
        <f t="shared" si="28"/>
        <v>0</v>
      </c>
      <c r="S60" s="179">
        <v>0</v>
      </c>
      <c r="T60" s="80">
        <f t="shared" si="29"/>
        <v>0</v>
      </c>
      <c r="U60" s="179">
        <v>0</v>
      </c>
      <c r="V60" s="80">
        <f t="shared" si="30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1"/>
        <v>0</v>
      </c>
      <c r="E61" s="179">
        <v>0</v>
      </c>
      <c r="F61" s="80">
        <f t="shared" si="22"/>
        <v>0</v>
      </c>
      <c r="G61" s="179">
        <v>0</v>
      </c>
      <c r="H61" s="80">
        <f t="shared" si="23"/>
        <v>0</v>
      </c>
      <c r="I61" s="179">
        <v>0</v>
      </c>
      <c r="J61" s="80">
        <f t="shared" si="24"/>
        <v>0</v>
      </c>
      <c r="K61" s="179">
        <v>0</v>
      </c>
      <c r="L61" s="80">
        <f t="shared" si="25"/>
        <v>0</v>
      </c>
      <c r="M61" s="179">
        <v>0</v>
      </c>
      <c r="N61" s="80">
        <f t="shared" si="26"/>
        <v>0</v>
      </c>
      <c r="O61" s="179">
        <v>0</v>
      </c>
      <c r="P61" s="80">
        <f t="shared" si="27"/>
        <v>0</v>
      </c>
      <c r="Q61" s="179">
        <v>0</v>
      </c>
      <c r="R61" s="80">
        <f t="shared" si="28"/>
        <v>0</v>
      </c>
      <c r="S61" s="179">
        <v>0</v>
      </c>
      <c r="T61" s="80">
        <f t="shared" si="29"/>
        <v>0</v>
      </c>
      <c r="U61" s="179">
        <v>0</v>
      </c>
      <c r="V61" s="80">
        <f t="shared" si="30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1"/>
        <v>0</v>
      </c>
      <c r="E62" s="179">
        <v>0</v>
      </c>
      <c r="F62" s="80">
        <f t="shared" si="22"/>
        <v>0</v>
      </c>
      <c r="G62" s="179">
        <v>0</v>
      </c>
      <c r="H62" s="80">
        <f t="shared" si="23"/>
        <v>0</v>
      </c>
      <c r="I62" s="179">
        <v>0</v>
      </c>
      <c r="J62" s="80">
        <f t="shared" si="24"/>
        <v>0</v>
      </c>
      <c r="K62" s="179">
        <v>0</v>
      </c>
      <c r="L62" s="80">
        <f t="shared" si="25"/>
        <v>0</v>
      </c>
      <c r="M62" s="179">
        <v>0</v>
      </c>
      <c r="N62" s="80">
        <f t="shared" si="26"/>
        <v>0</v>
      </c>
      <c r="O62" s="179">
        <v>0</v>
      </c>
      <c r="P62" s="80">
        <f t="shared" si="27"/>
        <v>0</v>
      </c>
      <c r="Q62" s="179">
        <v>0</v>
      </c>
      <c r="R62" s="80">
        <f t="shared" si="28"/>
        <v>0</v>
      </c>
      <c r="S62" s="179">
        <v>0</v>
      </c>
      <c r="T62" s="80">
        <f t="shared" si="29"/>
        <v>0</v>
      </c>
      <c r="U62" s="179">
        <v>0</v>
      </c>
      <c r="V62" s="80">
        <f t="shared" si="30"/>
        <v>0</v>
      </c>
      <c r="X62" s="200"/>
    </row>
    <row r="63" spans="1:24" ht="12.75" customHeight="1">
      <c r="A63" s="2" t="s">
        <v>394</v>
      </c>
      <c r="B63" s="35"/>
      <c r="C63" s="179">
        <v>15393.279301638227</v>
      </c>
      <c r="D63" s="80">
        <f t="shared" si="21"/>
        <v>1.3722435549171148E-2</v>
      </c>
      <c r="E63" s="179">
        <v>9890.5835786315038</v>
      </c>
      <c r="F63" s="80">
        <f t="shared" si="22"/>
        <v>7.7573204538286308E-3</v>
      </c>
      <c r="G63" s="179">
        <v>11577.760319648089</v>
      </c>
      <c r="H63" s="80">
        <f t="shared" si="23"/>
        <v>8.9025454207213289E-3</v>
      </c>
      <c r="I63" s="179">
        <v>11705.999935650485</v>
      </c>
      <c r="J63" s="80">
        <f t="shared" si="24"/>
        <v>8.8246601500557749E-3</v>
      </c>
      <c r="K63" s="179">
        <v>11802.613870706838</v>
      </c>
      <c r="L63" s="80">
        <f t="shared" si="25"/>
        <v>8.723032671687685E-3</v>
      </c>
      <c r="M63" s="179">
        <v>12013.360882694782</v>
      </c>
      <c r="N63" s="80">
        <f t="shared" si="26"/>
        <v>8.7046968648497435E-3</v>
      </c>
      <c r="O63" s="179">
        <v>12228.546789457063</v>
      </c>
      <c r="P63" s="80">
        <f t="shared" si="27"/>
        <v>8.686879675810168E-3</v>
      </c>
      <c r="Q63" s="179">
        <v>12447.835780622199</v>
      </c>
      <c r="R63" s="80">
        <f t="shared" si="28"/>
        <v>8.6692721124281037E-3</v>
      </c>
      <c r="S63" s="179">
        <v>12670.895044061426</v>
      </c>
      <c r="T63" s="80">
        <f t="shared" si="29"/>
        <v>8.6515895315735451E-3</v>
      </c>
      <c r="U63" s="179">
        <v>13391.241874471667</v>
      </c>
      <c r="V63" s="80">
        <f t="shared" si="30"/>
        <v>8.9641537240308933E-3</v>
      </c>
      <c r="X63" s="200"/>
    </row>
    <row r="64" spans="1:24" ht="12.75" customHeight="1">
      <c r="A64" s="2" t="s">
        <v>395</v>
      </c>
      <c r="B64" s="35"/>
      <c r="C64" s="179">
        <v>5384.4479999999994</v>
      </c>
      <c r="D64" s="80">
        <f t="shared" si="21"/>
        <v>4.7999999999999996E-3</v>
      </c>
      <c r="E64" s="179">
        <v>6119.9999999999991</v>
      </c>
      <c r="F64" s="80">
        <f t="shared" si="22"/>
        <v>4.7999999999999996E-3</v>
      </c>
      <c r="G64" s="179">
        <v>6242.4</v>
      </c>
      <c r="H64" s="80">
        <f t="shared" si="23"/>
        <v>4.7999999999999996E-3</v>
      </c>
      <c r="I64" s="179">
        <v>6367.2479999999996</v>
      </c>
      <c r="J64" s="80">
        <f t="shared" si="24"/>
        <v>4.7999999999999996E-3</v>
      </c>
      <c r="K64" s="179">
        <v>6494.5929599999981</v>
      </c>
      <c r="L64" s="80">
        <f t="shared" si="25"/>
        <v>4.7999999999999987E-3</v>
      </c>
      <c r="M64" s="179">
        <v>6624.484819199999</v>
      </c>
      <c r="N64" s="80">
        <f t="shared" si="26"/>
        <v>4.7999999999999996E-3</v>
      </c>
      <c r="O64" s="179">
        <v>6756.9745155839992</v>
      </c>
      <c r="P64" s="80">
        <f t="shared" si="27"/>
        <v>4.7999999999999996E-3</v>
      </c>
      <c r="Q64" s="179">
        <v>6892.1140058956789</v>
      </c>
      <c r="R64" s="80">
        <f t="shared" si="28"/>
        <v>4.7999999999999996E-3</v>
      </c>
      <c r="S64" s="179">
        <v>7029.9562860135929</v>
      </c>
      <c r="T64" s="80">
        <f t="shared" si="29"/>
        <v>4.7999999999999996E-3</v>
      </c>
      <c r="U64" s="179">
        <v>7170.5554117338652</v>
      </c>
      <c r="V64" s="80">
        <f t="shared" si="30"/>
        <v>4.8000000000000004E-3</v>
      </c>
      <c r="X64" s="200"/>
    </row>
    <row r="65" spans="1:24" ht="12.75" customHeight="1">
      <c r="A65" s="2" t="s">
        <v>396</v>
      </c>
      <c r="B65" s="35"/>
      <c r="C65" s="179">
        <v>560.88</v>
      </c>
      <c r="D65" s="80">
        <f t="shared" si="21"/>
        <v>5.0000000000000001E-4</v>
      </c>
      <c r="E65" s="179">
        <v>637.5</v>
      </c>
      <c r="F65" s="80">
        <f t="shared" si="22"/>
        <v>5.0000000000000001E-4</v>
      </c>
      <c r="G65" s="179">
        <v>650.25000000000011</v>
      </c>
      <c r="H65" s="80">
        <f t="shared" si="23"/>
        <v>5.0000000000000012E-4</v>
      </c>
      <c r="I65" s="179">
        <v>663.25500000000011</v>
      </c>
      <c r="J65" s="80">
        <f t="shared" si="24"/>
        <v>5.0000000000000012E-4</v>
      </c>
      <c r="K65" s="179">
        <v>676.52009999999996</v>
      </c>
      <c r="L65" s="80">
        <f t="shared" si="25"/>
        <v>5.0000000000000001E-4</v>
      </c>
      <c r="M65" s="179">
        <v>690.05050200000005</v>
      </c>
      <c r="N65" s="80">
        <f t="shared" si="26"/>
        <v>5.0000000000000001E-4</v>
      </c>
      <c r="O65" s="179">
        <v>703.85151203999999</v>
      </c>
      <c r="P65" s="80">
        <f t="shared" si="27"/>
        <v>5.0000000000000001E-4</v>
      </c>
      <c r="Q65" s="179">
        <v>717.9285422808</v>
      </c>
      <c r="R65" s="80">
        <f t="shared" si="28"/>
        <v>5.0000000000000001E-4</v>
      </c>
      <c r="S65" s="179">
        <v>732.28711312641599</v>
      </c>
      <c r="T65" s="80">
        <f t="shared" si="29"/>
        <v>5.0000000000000001E-4</v>
      </c>
      <c r="U65" s="179">
        <v>746.93285538894429</v>
      </c>
      <c r="V65" s="80">
        <f t="shared" si="30"/>
        <v>5.0000000000000001E-4</v>
      </c>
      <c r="X65" s="200"/>
    </row>
    <row r="66" spans="1:24" ht="12.75" customHeight="1">
      <c r="A66" s="2" t="s">
        <v>397</v>
      </c>
      <c r="B66" s="35"/>
      <c r="C66" s="179">
        <v>3140.9279999999999</v>
      </c>
      <c r="D66" s="80">
        <f t="shared" si="21"/>
        <v>2.8E-3</v>
      </c>
      <c r="E66" s="179">
        <v>3570</v>
      </c>
      <c r="F66" s="80">
        <f t="shared" si="22"/>
        <v>2.8E-3</v>
      </c>
      <c r="G66" s="179">
        <v>3641.4000000000005</v>
      </c>
      <c r="H66" s="80">
        <f t="shared" si="23"/>
        <v>2.8000000000000004E-3</v>
      </c>
      <c r="I66" s="179">
        <v>3714.2280000000001</v>
      </c>
      <c r="J66" s="80">
        <f t="shared" si="24"/>
        <v>2.8E-3</v>
      </c>
      <c r="K66" s="179">
        <v>3788.5125599999997</v>
      </c>
      <c r="L66" s="80">
        <f t="shared" si="25"/>
        <v>2.8E-3</v>
      </c>
      <c r="M66" s="179">
        <v>3864.2828111999997</v>
      </c>
      <c r="N66" s="80">
        <f t="shared" si="26"/>
        <v>2.8E-3</v>
      </c>
      <c r="O66" s="179">
        <v>3941.5684674239997</v>
      </c>
      <c r="P66" s="80">
        <f t="shared" si="27"/>
        <v>2.8E-3</v>
      </c>
      <c r="Q66" s="179">
        <v>4020.3998367724794</v>
      </c>
      <c r="R66" s="80">
        <f t="shared" si="28"/>
        <v>2.8E-3</v>
      </c>
      <c r="S66" s="179">
        <v>4100.807833507929</v>
      </c>
      <c r="T66" s="80">
        <f t="shared" si="29"/>
        <v>2.7999999999999995E-3</v>
      </c>
      <c r="U66" s="179">
        <v>4182.823990178088</v>
      </c>
      <c r="V66" s="80">
        <f t="shared" si="30"/>
        <v>2.8E-3</v>
      </c>
      <c r="X66" s="200"/>
    </row>
    <row r="67" spans="1:24" ht="12.75" customHeight="1">
      <c r="A67" s="2" t="s">
        <v>398</v>
      </c>
      <c r="B67" s="35"/>
      <c r="C67" s="179">
        <v>16826.399999999998</v>
      </c>
      <c r="D67" s="80">
        <f t="shared" si="21"/>
        <v>1.4999999999999998E-2</v>
      </c>
      <c r="E67" s="179">
        <v>19125</v>
      </c>
      <c r="F67" s="80">
        <f t="shared" si="22"/>
        <v>1.4999999999999999E-2</v>
      </c>
      <c r="G67" s="179">
        <v>19507.5</v>
      </c>
      <c r="H67" s="80">
        <f t="shared" si="23"/>
        <v>1.4999999999999999E-2</v>
      </c>
      <c r="I67" s="179">
        <v>19897.649999999998</v>
      </c>
      <c r="J67" s="80">
        <f t="shared" si="24"/>
        <v>1.4999999999999998E-2</v>
      </c>
      <c r="K67" s="179">
        <v>20295.602999999999</v>
      </c>
      <c r="L67" s="80">
        <f t="shared" si="25"/>
        <v>1.4999999999999999E-2</v>
      </c>
      <c r="M67" s="179">
        <v>20701.515059999998</v>
      </c>
      <c r="N67" s="80">
        <f t="shared" si="26"/>
        <v>1.4999999999999999E-2</v>
      </c>
      <c r="O67" s="179">
        <v>21115.545361199998</v>
      </c>
      <c r="P67" s="80">
        <f t="shared" si="27"/>
        <v>1.4999999999999999E-2</v>
      </c>
      <c r="Q67" s="179">
        <v>21537.856268423999</v>
      </c>
      <c r="R67" s="80">
        <f t="shared" si="28"/>
        <v>1.4999999999999999E-2</v>
      </c>
      <c r="S67" s="179">
        <v>21968.613393792479</v>
      </c>
      <c r="T67" s="80">
        <f t="shared" si="29"/>
        <v>1.4999999999999999E-2</v>
      </c>
      <c r="U67" s="179">
        <v>22407.985661668328</v>
      </c>
      <c r="V67" s="80">
        <f t="shared" si="30"/>
        <v>1.4999999999999999E-2</v>
      </c>
      <c r="X67" s="200"/>
    </row>
    <row r="68" spans="1:24" ht="12.75" customHeight="1">
      <c r="A68" s="2" t="s">
        <v>399</v>
      </c>
      <c r="B68" s="35"/>
      <c r="C68" s="179">
        <v>1906.992</v>
      </c>
      <c r="D68" s="80">
        <f t="shared" si="21"/>
        <v>1.6999999999999999E-3</v>
      </c>
      <c r="E68" s="179">
        <v>2167.5</v>
      </c>
      <c r="F68" s="80">
        <f t="shared" si="22"/>
        <v>1.6999999999999999E-3</v>
      </c>
      <c r="G68" s="179">
        <v>2210.85</v>
      </c>
      <c r="H68" s="80">
        <f t="shared" si="23"/>
        <v>1.6999999999999999E-3</v>
      </c>
      <c r="I68" s="179">
        <v>2255.067</v>
      </c>
      <c r="J68" s="80">
        <f t="shared" si="24"/>
        <v>1.6999999999999999E-3</v>
      </c>
      <c r="K68" s="179">
        <v>2300.1683399999997</v>
      </c>
      <c r="L68" s="80">
        <f t="shared" si="25"/>
        <v>1.6999999999999999E-3</v>
      </c>
      <c r="M68" s="179">
        <v>2346.1717067999998</v>
      </c>
      <c r="N68" s="80">
        <f t="shared" si="26"/>
        <v>1.6999999999999999E-3</v>
      </c>
      <c r="O68" s="179">
        <v>2393.0951409359996</v>
      </c>
      <c r="P68" s="80">
        <f t="shared" si="27"/>
        <v>1.6999999999999999E-3</v>
      </c>
      <c r="Q68" s="179">
        <v>2440.95704375472</v>
      </c>
      <c r="R68" s="80">
        <f t="shared" si="28"/>
        <v>1.7000000000000001E-3</v>
      </c>
      <c r="S68" s="179">
        <v>2489.776184629814</v>
      </c>
      <c r="T68" s="80">
        <f t="shared" si="29"/>
        <v>1.6999999999999997E-3</v>
      </c>
      <c r="U68" s="179">
        <v>2539.5717083224104</v>
      </c>
      <c r="V68" s="80">
        <f t="shared" si="30"/>
        <v>1.6999999999999999E-3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1"/>
        <v>0</v>
      </c>
      <c r="E69" s="179">
        <v>0</v>
      </c>
      <c r="F69" s="80">
        <f t="shared" si="22"/>
        <v>0</v>
      </c>
      <c r="G69" s="179">
        <v>0</v>
      </c>
      <c r="H69" s="80">
        <f t="shared" si="23"/>
        <v>0</v>
      </c>
      <c r="I69" s="179">
        <v>0</v>
      </c>
      <c r="J69" s="80">
        <f t="shared" si="24"/>
        <v>0</v>
      </c>
      <c r="K69" s="179">
        <v>0</v>
      </c>
      <c r="L69" s="80">
        <f t="shared" si="25"/>
        <v>0</v>
      </c>
      <c r="M69" s="179">
        <v>0</v>
      </c>
      <c r="N69" s="80">
        <f t="shared" si="26"/>
        <v>0</v>
      </c>
      <c r="O69" s="179">
        <v>0</v>
      </c>
      <c r="P69" s="80">
        <f t="shared" si="27"/>
        <v>0</v>
      </c>
      <c r="Q69" s="179">
        <v>0</v>
      </c>
      <c r="R69" s="80">
        <f t="shared" si="28"/>
        <v>0</v>
      </c>
      <c r="S69" s="179">
        <v>0</v>
      </c>
      <c r="T69" s="80">
        <f t="shared" si="29"/>
        <v>0</v>
      </c>
      <c r="U69" s="179">
        <v>0</v>
      </c>
      <c r="V69" s="80">
        <f t="shared" si="30"/>
        <v>0</v>
      </c>
      <c r="X69" s="200"/>
    </row>
    <row r="70" spans="1:24" ht="12.75" customHeight="1">
      <c r="A70" s="2" t="s">
        <v>401</v>
      </c>
      <c r="B70" s="35"/>
      <c r="C70" s="179">
        <v>112.17600000000002</v>
      </c>
      <c r="D70" s="80">
        <f t="shared" si="21"/>
        <v>1.0000000000000002E-4</v>
      </c>
      <c r="E70" s="179">
        <v>127.5</v>
      </c>
      <c r="F70" s="80">
        <f t="shared" si="22"/>
        <v>1E-4</v>
      </c>
      <c r="G70" s="179">
        <v>130.05000000000001</v>
      </c>
      <c r="H70" s="80">
        <f t="shared" si="23"/>
        <v>1E-4</v>
      </c>
      <c r="I70" s="179">
        <v>132.65100000000001</v>
      </c>
      <c r="J70" s="80">
        <f t="shared" si="24"/>
        <v>1E-4</v>
      </c>
      <c r="K70" s="179">
        <v>135.30402000000001</v>
      </c>
      <c r="L70" s="80">
        <f t="shared" si="25"/>
        <v>1E-4</v>
      </c>
      <c r="M70" s="179">
        <v>138.0101004</v>
      </c>
      <c r="N70" s="80">
        <f t="shared" si="26"/>
        <v>1E-4</v>
      </c>
      <c r="O70" s="179">
        <v>140.77030240799999</v>
      </c>
      <c r="P70" s="80">
        <f t="shared" si="27"/>
        <v>1E-4</v>
      </c>
      <c r="Q70" s="179">
        <v>143.58570845616001</v>
      </c>
      <c r="R70" s="80">
        <f t="shared" si="28"/>
        <v>1.0000000000000002E-4</v>
      </c>
      <c r="S70" s="179">
        <v>146.45742262528321</v>
      </c>
      <c r="T70" s="80">
        <f t="shared" si="29"/>
        <v>1E-4</v>
      </c>
      <c r="U70" s="179">
        <v>149.38657107778889</v>
      </c>
      <c r="V70" s="80">
        <f t="shared" si="30"/>
        <v>1.0000000000000002E-4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1"/>
        <v>0</v>
      </c>
      <c r="E71" s="179">
        <v>0</v>
      </c>
      <c r="F71" s="80">
        <f t="shared" si="22"/>
        <v>0</v>
      </c>
      <c r="G71" s="179">
        <v>0</v>
      </c>
      <c r="H71" s="80">
        <f t="shared" si="23"/>
        <v>0</v>
      </c>
      <c r="I71" s="179">
        <v>0</v>
      </c>
      <c r="J71" s="80">
        <f t="shared" si="24"/>
        <v>0</v>
      </c>
      <c r="K71" s="179">
        <v>0</v>
      </c>
      <c r="L71" s="80">
        <f t="shared" si="25"/>
        <v>0</v>
      </c>
      <c r="M71" s="179">
        <v>0</v>
      </c>
      <c r="N71" s="80">
        <f t="shared" si="26"/>
        <v>0</v>
      </c>
      <c r="O71" s="179">
        <v>0</v>
      </c>
      <c r="P71" s="80">
        <f t="shared" si="27"/>
        <v>0</v>
      </c>
      <c r="Q71" s="179">
        <v>0</v>
      </c>
      <c r="R71" s="80">
        <f t="shared" si="28"/>
        <v>0</v>
      </c>
      <c r="S71" s="179">
        <v>0</v>
      </c>
      <c r="T71" s="80">
        <f t="shared" si="29"/>
        <v>0</v>
      </c>
      <c r="U71" s="179">
        <v>0</v>
      </c>
      <c r="V71" s="80">
        <f t="shared" si="30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1"/>
        <v>0</v>
      </c>
      <c r="E72" s="179">
        <v>0</v>
      </c>
      <c r="F72" s="80">
        <f t="shared" si="22"/>
        <v>0</v>
      </c>
      <c r="G72" s="179">
        <v>0</v>
      </c>
      <c r="H72" s="80">
        <f t="shared" si="23"/>
        <v>0</v>
      </c>
      <c r="I72" s="179">
        <v>0</v>
      </c>
      <c r="J72" s="80">
        <f t="shared" si="24"/>
        <v>0</v>
      </c>
      <c r="K72" s="179">
        <v>0</v>
      </c>
      <c r="L72" s="80">
        <f t="shared" si="25"/>
        <v>0</v>
      </c>
      <c r="M72" s="179">
        <v>0</v>
      </c>
      <c r="N72" s="80">
        <f t="shared" si="26"/>
        <v>0</v>
      </c>
      <c r="O72" s="179">
        <v>0</v>
      </c>
      <c r="P72" s="80">
        <f t="shared" si="27"/>
        <v>0</v>
      </c>
      <c r="Q72" s="179">
        <v>0</v>
      </c>
      <c r="R72" s="80">
        <f t="shared" si="28"/>
        <v>0</v>
      </c>
      <c r="S72" s="179">
        <v>0</v>
      </c>
      <c r="T72" s="80">
        <f t="shared" si="29"/>
        <v>0</v>
      </c>
      <c r="U72" s="179">
        <v>0</v>
      </c>
      <c r="V72" s="80">
        <f t="shared" si="30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1"/>
        <v>0</v>
      </c>
      <c r="E73" s="179">
        <v>0</v>
      </c>
      <c r="F73" s="80">
        <f t="shared" si="22"/>
        <v>0</v>
      </c>
      <c r="G73" s="179">
        <v>0</v>
      </c>
      <c r="H73" s="80">
        <f t="shared" si="23"/>
        <v>0</v>
      </c>
      <c r="I73" s="179">
        <v>0</v>
      </c>
      <c r="J73" s="80">
        <f t="shared" si="24"/>
        <v>0</v>
      </c>
      <c r="K73" s="179">
        <v>0</v>
      </c>
      <c r="L73" s="80">
        <f t="shared" si="25"/>
        <v>0</v>
      </c>
      <c r="M73" s="179">
        <v>0</v>
      </c>
      <c r="N73" s="80">
        <f t="shared" si="26"/>
        <v>0</v>
      </c>
      <c r="O73" s="179">
        <v>0</v>
      </c>
      <c r="P73" s="80">
        <f t="shared" si="27"/>
        <v>0</v>
      </c>
      <c r="Q73" s="179">
        <v>0</v>
      </c>
      <c r="R73" s="80">
        <f t="shared" si="28"/>
        <v>0</v>
      </c>
      <c r="S73" s="179">
        <v>0</v>
      </c>
      <c r="T73" s="80">
        <f t="shared" si="29"/>
        <v>0</v>
      </c>
      <c r="U73" s="179">
        <v>0</v>
      </c>
      <c r="V73" s="80">
        <f t="shared" si="30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1"/>
        <v>0</v>
      </c>
      <c r="E74" s="179">
        <v>0</v>
      </c>
      <c r="F74" s="80">
        <f t="shared" si="22"/>
        <v>0</v>
      </c>
      <c r="G74" s="179">
        <v>0</v>
      </c>
      <c r="H74" s="80">
        <f t="shared" si="23"/>
        <v>0</v>
      </c>
      <c r="I74" s="179">
        <v>0</v>
      </c>
      <c r="J74" s="80">
        <f t="shared" si="24"/>
        <v>0</v>
      </c>
      <c r="K74" s="179">
        <v>0</v>
      </c>
      <c r="L74" s="80">
        <f t="shared" si="25"/>
        <v>0</v>
      </c>
      <c r="M74" s="179">
        <v>0</v>
      </c>
      <c r="N74" s="80">
        <f t="shared" si="26"/>
        <v>0</v>
      </c>
      <c r="O74" s="179">
        <v>0</v>
      </c>
      <c r="P74" s="80">
        <f t="shared" si="27"/>
        <v>0</v>
      </c>
      <c r="Q74" s="179">
        <v>0</v>
      </c>
      <c r="R74" s="80">
        <f t="shared" si="28"/>
        <v>0</v>
      </c>
      <c r="S74" s="179">
        <v>0</v>
      </c>
      <c r="T74" s="80">
        <f t="shared" si="29"/>
        <v>0</v>
      </c>
      <c r="U74" s="179">
        <v>0</v>
      </c>
      <c r="V74" s="80">
        <f t="shared" si="30"/>
        <v>0</v>
      </c>
      <c r="X74" s="200"/>
    </row>
    <row r="75" spans="1:24" ht="12.75" customHeight="1">
      <c r="A75" s="2" t="s">
        <v>406</v>
      </c>
      <c r="B75" s="35"/>
      <c r="C75" s="179">
        <v>5608.8</v>
      </c>
      <c r="D75" s="80">
        <f t="shared" si="21"/>
        <v>5.0000000000000001E-3</v>
      </c>
      <c r="E75" s="179">
        <v>6375</v>
      </c>
      <c r="F75" s="80">
        <f t="shared" si="22"/>
        <v>5.0000000000000001E-3</v>
      </c>
      <c r="G75" s="179">
        <v>6502.5</v>
      </c>
      <c r="H75" s="80">
        <f t="shared" si="23"/>
        <v>5.0000000000000001E-3</v>
      </c>
      <c r="I75" s="179">
        <v>6632.5500000000011</v>
      </c>
      <c r="J75" s="80">
        <f t="shared" si="24"/>
        <v>5.000000000000001E-3</v>
      </c>
      <c r="K75" s="179">
        <v>6765.201</v>
      </c>
      <c r="L75" s="80">
        <f t="shared" si="25"/>
        <v>5.0000000000000001E-3</v>
      </c>
      <c r="M75" s="179">
        <v>6900.5050199999996</v>
      </c>
      <c r="N75" s="80">
        <f t="shared" si="26"/>
        <v>5.0000000000000001E-3</v>
      </c>
      <c r="O75" s="179">
        <v>7038.5151204000003</v>
      </c>
      <c r="P75" s="80">
        <f t="shared" si="27"/>
        <v>5.000000000000001E-3</v>
      </c>
      <c r="Q75" s="179">
        <v>7179.2854228079996</v>
      </c>
      <c r="R75" s="80">
        <f t="shared" si="28"/>
        <v>5.0000000000000001E-3</v>
      </c>
      <c r="S75" s="179">
        <v>7322.8711312641599</v>
      </c>
      <c r="T75" s="80">
        <f t="shared" si="29"/>
        <v>5.0000000000000001E-3</v>
      </c>
      <c r="U75" s="179">
        <v>7469.3285538894424</v>
      </c>
      <c r="V75" s="80">
        <f t="shared" si="30"/>
        <v>5.0000000000000001E-3</v>
      </c>
      <c r="X75" s="200"/>
    </row>
    <row r="76" spans="1:24" ht="12.75" customHeight="1">
      <c r="A76" s="2" t="s">
        <v>407</v>
      </c>
      <c r="B76" s="35"/>
      <c r="C76" s="179">
        <v>448.70400000000006</v>
      </c>
      <c r="D76" s="80">
        <f t="shared" si="21"/>
        <v>4.0000000000000007E-4</v>
      </c>
      <c r="E76" s="179">
        <v>510</v>
      </c>
      <c r="F76" s="80">
        <f t="shared" si="22"/>
        <v>4.0000000000000002E-4</v>
      </c>
      <c r="G76" s="179">
        <v>520.20000000000005</v>
      </c>
      <c r="H76" s="80">
        <f t="shared" si="23"/>
        <v>4.0000000000000002E-4</v>
      </c>
      <c r="I76" s="179">
        <v>530.60400000000004</v>
      </c>
      <c r="J76" s="80">
        <f t="shared" si="24"/>
        <v>4.0000000000000002E-4</v>
      </c>
      <c r="K76" s="179">
        <v>541.21608000000003</v>
      </c>
      <c r="L76" s="80">
        <f t="shared" si="25"/>
        <v>4.0000000000000002E-4</v>
      </c>
      <c r="M76" s="179">
        <v>552.0404016</v>
      </c>
      <c r="N76" s="80">
        <f t="shared" si="26"/>
        <v>4.0000000000000002E-4</v>
      </c>
      <c r="O76" s="179">
        <v>563.08120963199997</v>
      </c>
      <c r="P76" s="80">
        <f t="shared" si="27"/>
        <v>4.0000000000000002E-4</v>
      </c>
      <c r="Q76" s="179">
        <v>574.34283382464002</v>
      </c>
      <c r="R76" s="80">
        <f t="shared" si="28"/>
        <v>4.0000000000000007E-4</v>
      </c>
      <c r="S76" s="179">
        <v>585.82969050113286</v>
      </c>
      <c r="T76" s="80">
        <f t="shared" si="29"/>
        <v>4.0000000000000002E-4</v>
      </c>
      <c r="U76" s="179">
        <v>597.54628431115555</v>
      </c>
      <c r="V76" s="80">
        <f t="shared" si="30"/>
        <v>4.0000000000000007E-4</v>
      </c>
      <c r="X76" s="200"/>
    </row>
    <row r="77" spans="1:24" ht="12.75" customHeight="1">
      <c r="A77" s="2" t="s">
        <v>408</v>
      </c>
      <c r="B77" s="35"/>
      <c r="C77" s="179">
        <v>1458.288</v>
      </c>
      <c r="D77" s="80">
        <f t="shared" si="21"/>
        <v>1.2999999999999999E-3</v>
      </c>
      <c r="E77" s="179">
        <v>1657.4999999999998</v>
      </c>
      <c r="F77" s="80">
        <f t="shared" si="22"/>
        <v>1.2999999999999997E-3</v>
      </c>
      <c r="G77" s="179">
        <v>1690.6499999999999</v>
      </c>
      <c r="H77" s="80">
        <f t="shared" si="23"/>
        <v>1.2999999999999999E-3</v>
      </c>
      <c r="I77" s="179">
        <v>1724.463</v>
      </c>
      <c r="J77" s="80">
        <f t="shared" si="24"/>
        <v>1.2999999999999999E-3</v>
      </c>
      <c r="K77" s="179">
        <v>1758.9522599999996</v>
      </c>
      <c r="L77" s="80">
        <f t="shared" si="25"/>
        <v>1.2999999999999997E-3</v>
      </c>
      <c r="M77" s="179">
        <v>1794.1313051999998</v>
      </c>
      <c r="N77" s="80">
        <f t="shared" si="26"/>
        <v>1.2999999999999999E-3</v>
      </c>
      <c r="O77" s="179">
        <v>1830.0139313039997</v>
      </c>
      <c r="P77" s="80">
        <f t="shared" si="27"/>
        <v>1.2999999999999999E-3</v>
      </c>
      <c r="Q77" s="179">
        <v>1866.6142099300798</v>
      </c>
      <c r="R77" s="80">
        <f t="shared" si="28"/>
        <v>1.2999999999999999E-3</v>
      </c>
      <c r="S77" s="179">
        <v>1903.9464941286815</v>
      </c>
      <c r="T77" s="80">
        <f t="shared" si="29"/>
        <v>1.2999999999999999E-3</v>
      </c>
      <c r="U77" s="179">
        <v>1942.0254240112552</v>
      </c>
      <c r="V77" s="80">
        <f t="shared" si="30"/>
        <v>1.2999999999999999E-3</v>
      </c>
      <c r="X77" s="200"/>
    </row>
    <row r="78" spans="1:24" ht="12.75" customHeight="1">
      <c r="A78" s="2" t="s">
        <v>409</v>
      </c>
      <c r="B78" s="35"/>
      <c r="C78" s="179">
        <v>24678.719999999998</v>
      </c>
      <c r="D78" s="80">
        <f t="shared" si="21"/>
        <v>2.1999999999999999E-2</v>
      </c>
      <c r="E78" s="179">
        <v>28050</v>
      </c>
      <c r="F78" s="80">
        <f t="shared" si="22"/>
        <v>2.1999999999999999E-2</v>
      </c>
      <c r="G78" s="179">
        <v>28611</v>
      </c>
      <c r="H78" s="80">
        <f t="shared" si="23"/>
        <v>2.1999999999999999E-2</v>
      </c>
      <c r="I78" s="179">
        <v>29183.219999999998</v>
      </c>
      <c r="J78" s="80">
        <f t="shared" si="24"/>
        <v>2.1999999999999999E-2</v>
      </c>
      <c r="K78" s="179">
        <v>29766.884399999995</v>
      </c>
      <c r="L78" s="80">
        <f t="shared" si="25"/>
        <v>2.1999999999999999E-2</v>
      </c>
      <c r="M78" s="179">
        <v>30362.222087999999</v>
      </c>
      <c r="N78" s="80">
        <f t="shared" si="26"/>
        <v>2.1999999999999999E-2</v>
      </c>
      <c r="O78" s="179">
        <v>30969.466529759997</v>
      </c>
      <c r="P78" s="80">
        <f t="shared" si="27"/>
        <v>2.1999999999999999E-2</v>
      </c>
      <c r="Q78" s="179">
        <v>31588.855860355194</v>
      </c>
      <c r="R78" s="80">
        <f t="shared" si="28"/>
        <v>2.1999999999999999E-2</v>
      </c>
      <c r="S78" s="179">
        <v>32220.632977562302</v>
      </c>
      <c r="T78" s="80">
        <f t="shared" si="29"/>
        <v>2.1999999999999999E-2</v>
      </c>
      <c r="U78" s="179">
        <v>32865.045637113551</v>
      </c>
      <c r="V78" s="80">
        <f t="shared" si="30"/>
        <v>2.2000000000000002E-2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1"/>
        <v>0</v>
      </c>
      <c r="E79" s="179">
        <v>0</v>
      </c>
      <c r="F79" s="80">
        <f t="shared" si="22"/>
        <v>0</v>
      </c>
      <c r="G79" s="179">
        <v>0</v>
      </c>
      <c r="H79" s="80">
        <f t="shared" si="23"/>
        <v>0</v>
      </c>
      <c r="I79" s="179">
        <v>0</v>
      </c>
      <c r="J79" s="80">
        <f t="shared" si="24"/>
        <v>0</v>
      </c>
      <c r="K79" s="179">
        <v>0</v>
      </c>
      <c r="L79" s="80">
        <f t="shared" si="25"/>
        <v>0</v>
      </c>
      <c r="M79" s="179">
        <v>0</v>
      </c>
      <c r="N79" s="80">
        <f t="shared" si="26"/>
        <v>0</v>
      </c>
      <c r="O79" s="179">
        <v>0</v>
      </c>
      <c r="P79" s="80">
        <f t="shared" si="27"/>
        <v>0</v>
      </c>
      <c r="Q79" s="179">
        <v>0</v>
      </c>
      <c r="R79" s="80">
        <f t="shared" si="28"/>
        <v>0</v>
      </c>
      <c r="S79" s="179">
        <v>0</v>
      </c>
      <c r="T79" s="80">
        <f t="shared" si="29"/>
        <v>0</v>
      </c>
      <c r="U79" s="179">
        <v>0</v>
      </c>
      <c r="V79" s="80">
        <f t="shared" si="30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1"/>
        <v>0</v>
      </c>
      <c r="E80" s="179">
        <v>0</v>
      </c>
      <c r="F80" s="80">
        <f t="shared" si="22"/>
        <v>0</v>
      </c>
      <c r="G80" s="179">
        <v>0</v>
      </c>
      <c r="H80" s="80">
        <f t="shared" si="23"/>
        <v>0</v>
      </c>
      <c r="I80" s="179">
        <v>0</v>
      </c>
      <c r="J80" s="80">
        <f t="shared" si="24"/>
        <v>0</v>
      </c>
      <c r="K80" s="179">
        <v>0</v>
      </c>
      <c r="L80" s="80">
        <f t="shared" si="25"/>
        <v>0</v>
      </c>
      <c r="M80" s="179">
        <v>0</v>
      </c>
      <c r="N80" s="80">
        <f t="shared" si="26"/>
        <v>0</v>
      </c>
      <c r="O80" s="179">
        <v>0</v>
      </c>
      <c r="P80" s="80">
        <f t="shared" si="27"/>
        <v>0</v>
      </c>
      <c r="Q80" s="179">
        <v>0</v>
      </c>
      <c r="R80" s="80">
        <f t="shared" si="28"/>
        <v>0</v>
      </c>
      <c r="S80" s="179">
        <v>0</v>
      </c>
      <c r="T80" s="80">
        <f t="shared" si="29"/>
        <v>0</v>
      </c>
      <c r="U80" s="179">
        <v>0</v>
      </c>
      <c r="V80" s="80">
        <f t="shared" si="30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1"/>
        <v>0</v>
      </c>
      <c r="E81" s="179">
        <v>0</v>
      </c>
      <c r="F81" s="80">
        <f t="shared" si="22"/>
        <v>0</v>
      </c>
      <c r="G81" s="179">
        <v>0</v>
      </c>
      <c r="H81" s="80">
        <f t="shared" si="23"/>
        <v>0</v>
      </c>
      <c r="I81" s="179">
        <v>0</v>
      </c>
      <c r="J81" s="80">
        <f t="shared" si="24"/>
        <v>0</v>
      </c>
      <c r="K81" s="179">
        <v>0</v>
      </c>
      <c r="L81" s="80">
        <f t="shared" si="25"/>
        <v>0</v>
      </c>
      <c r="M81" s="179">
        <v>0</v>
      </c>
      <c r="N81" s="80">
        <f t="shared" si="26"/>
        <v>0</v>
      </c>
      <c r="O81" s="179">
        <v>0</v>
      </c>
      <c r="P81" s="80">
        <f t="shared" si="27"/>
        <v>0</v>
      </c>
      <c r="Q81" s="179">
        <v>0</v>
      </c>
      <c r="R81" s="80">
        <f t="shared" si="28"/>
        <v>0</v>
      </c>
      <c r="S81" s="179">
        <v>0</v>
      </c>
      <c r="T81" s="80">
        <f t="shared" si="29"/>
        <v>0</v>
      </c>
      <c r="U81" s="179">
        <v>0</v>
      </c>
      <c r="V81" s="80">
        <f t="shared" si="30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1"/>
        <v>0</v>
      </c>
      <c r="E82" s="179">
        <v>0</v>
      </c>
      <c r="F82" s="80">
        <f t="shared" si="22"/>
        <v>0</v>
      </c>
      <c r="G82" s="179">
        <v>0</v>
      </c>
      <c r="H82" s="80">
        <f t="shared" si="23"/>
        <v>0</v>
      </c>
      <c r="I82" s="179">
        <v>0</v>
      </c>
      <c r="J82" s="80">
        <f t="shared" si="24"/>
        <v>0</v>
      </c>
      <c r="K82" s="179">
        <v>0</v>
      </c>
      <c r="L82" s="80">
        <f t="shared" si="25"/>
        <v>0</v>
      </c>
      <c r="M82" s="179">
        <v>0</v>
      </c>
      <c r="N82" s="80">
        <f t="shared" si="26"/>
        <v>0</v>
      </c>
      <c r="O82" s="179">
        <v>0</v>
      </c>
      <c r="P82" s="80">
        <f t="shared" si="27"/>
        <v>0</v>
      </c>
      <c r="Q82" s="179">
        <v>0</v>
      </c>
      <c r="R82" s="80">
        <f t="shared" si="28"/>
        <v>0</v>
      </c>
      <c r="S82" s="179">
        <v>0</v>
      </c>
      <c r="T82" s="80">
        <f t="shared" si="29"/>
        <v>0</v>
      </c>
      <c r="U82" s="179">
        <v>0</v>
      </c>
      <c r="V82" s="80">
        <f t="shared" si="30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1"/>
        <v>0</v>
      </c>
      <c r="E83" s="179">
        <v>0</v>
      </c>
      <c r="F83" s="80">
        <f t="shared" si="22"/>
        <v>0</v>
      </c>
      <c r="G83" s="179">
        <v>0</v>
      </c>
      <c r="H83" s="80">
        <f t="shared" si="23"/>
        <v>0</v>
      </c>
      <c r="I83" s="179">
        <v>0</v>
      </c>
      <c r="J83" s="80">
        <f t="shared" si="24"/>
        <v>0</v>
      </c>
      <c r="K83" s="179">
        <v>0</v>
      </c>
      <c r="L83" s="80">
        <f t="shared" si="25"/>
        <v>0</v>
      </c>
      <c r="M83" s="179">
        <v>0</v>
      </c>
      <c r="N83" s="80">
        <f t="shared" si="26"/>
        <v>0</v>
      </c>
      <c r="O83" s="179">
        <v>0</v>
      </c>
      <c r="P83" s="80">
        <f t="shared" si="27"/>
        <v>0</v>
      </c>
      <c r="Q83" s="179">
        <v>0</v>
      </c>
      <c r="R83" s="80">
        <f t="shared" si="28"/>
        <v>0</v>
      </c>
      <c r="S83" s="179">
        <v>0</v>
      </c>
      <c r="T83" s="80">
        <f t="shared" si="29"/>
        <v>0</v>
      </c>
      <c r="U83" s="179">
        <v>0</v>
      </c>
      <c r="V83" s="80">
        <f t="shared" si="30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1"/>
        <v>0</v>
      </c>
      <c r="E84" s="179">
        <v>0</v>
      </c>
      <c r="F84" s="80">
        <f t="shared" si="22"/>
        <v>0</v>
      </c>
      <c r="G84" s="179">
        <v>0</v>
      </c>
      <c r="H84" s="80">
        <f t="shared" si="23"/>
        <v>0</v>
      </c>
      <c r="I84" s="179">
        <v>0</v>
      </c>
      <c r="J84" s="80">
        <f t="shared" si="24"/>
        <v>0</v>
      </c>
      <c r="K84" s="179">
        <v>0</v>
      </c>
      <c r="L84" s="80">
        <f t="shared" si="25"/>
        <v>0</v>
      </c>
      <c r="M84" s="179">
        <v>0</v>
      </c>
      <c r="N84" s="80">
        <f t="shared" si="26"/>
        <v>0</v>
      </c>
      <c r="O84" s="179">
        <v>0</v>
      </c>
      <c r="P84" s="80">
        <f t="shared" si="27"/>
        <v>0</v>
      </c>
      <c r="Q84" s="179">
        <v>0</v>
      </c>
      <c r="R84" s="80">
        <f t="shared" si="28"/>
        <v>0</v>
      </c>
      <c r="S84" s="179">
        <v>0</v>
      </c>
      <c r="T84" s="80">
        <f t="shared" si="29"/>
        <v>0</v>
      </c>
      <c r="U84" s="179">
        <v>0</v>
      </c>
      <c r="V84" s="80">
        <f t="shared" si="30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1"/>
        <v>0</v>
      </c>
      <c r="E85" s="179">
        <v>0</v>
      </c>
      <c r="F85" s="80">
        <f t="shared" si="22"/>
        <v>0</v>
      </c>
      <c r="G85" s="179">
        <v>0</v>
      </c>
      <c r="H85" s="80">
        <f t="shared" si="23"/>
        <v>0</v>
      </c>
      <c r="I85" s="179">
        <v>0</v>
      </c>
      <c r="J85" s="80">
        <f t="shared" si="24"/>
        <v>0</v>
      </c>
      <c r="K85" s="179">
        <v>0</v>
      </c>
      <c r="L85" s="80">
        <f t="shared" si="25"/>
        <v>0</v>
      </c>
      <c r="M85" s="179">
        <v>0</v>
      </c>
      <c r="N85" s="80">
        <f t="shared" si="26"/>
        <v>0</v>
      </c>
      <c r="O85" s="179">
        <v>0</v>
      </c>
      <c r="P85" s="80">
        <f t="shared" si="27"/>
        <v>0</v>
      </c>
      <c r="Q85" s="179">
        <v>0</v>
      </c>
      <c r="R85" s="80">
        <f t="shared" si="28"/>
        <v>0</v>
      </c>
      <c r="S85" s="179">
        <v>0</v>
      </c>
      <c r="T85" s="80">
        <f t="shared" si="29"/>
        <v>0</v>
      </c>
      <c r="U85" s="179">
        <v>0</v>
      </c>
      <c r="V85" s="80">
        <f t="shared" si="30"/>
        <v>0</v>
      </c>
      <c r="X85" s="200"/>
    </row>
    <row r="86" spans="1:24" ht="12.75" customHeight="1">
      <c r="A86" s="2" t="s">
        <v>417</v>
      </c>
      <c r="B86" s="35"/>
      <c r="C86" s="179">
        <v>4487.04</v>
      </c>
      <c r="D86" s="80">
        <f t="shared" si="21"/>
        <v>4.0000000000000001E-3</v>
      </c>
      <c r="E86" s="179">
        <v>5100</v>
      </c>
      <c r="F86" s="80">
        <f t="shared" si="22"/>
        <v>4.0000000000000001E-3</v>
      </c>
      <c r="G86" s="179">
        <v>5202.0000000000009</v>
      </c>
      <c r="H86" s="80">
        <f t="shared" si="23"/>
        <v>4.000000000000001E-3</v>
      </c>
      <c r="I86" s="179">
        <v>5306.0400000000009</v>
      </c>
      <c r="J86" s="80">
        <f t="shared" si="24"/>
        <v>4.000000000000001E-3</v>
      </c>
      <c r="K86" s="179">
        <v>5412.1607999999997</v>
      </c>
      <c r="L86" s="80">
        <f t="shared" si="25"/>
        <v>4.0000000000000001E-3</v>
      </c>
      <c r="M86" s="179">
        <v>5520.4040160000004</v>
      </c>
      <c r="N86" s="80">
        <f t="shared" si="26"/>
        <v>4.0000000000000001E-3</v>
      </c>
      <c r="O86" s="179">
        <v>5630.8120963199999</v>
      </c>
      <c r="P86" s="80">
        <f t="shared" si="27"/>
        <v>4.0000000000000001E-3</v>
      </c>
      <c r="Q86" s="179">
        <v>5743.4283382464</v>
      </c>
      <c r="R86" s="80">
        <f t="shared" si="28"/>
        <v>4.0000000000000001E-3</v>
      </c>
      <c r="S86" s="179">
        <v>5858.2969050113279</v>
      </c>
      <c r="T86" s="80">
        <f t="shared" si="29"/>
        <v>4.0000000000000001E-3</v>
      </c>
      <c r="U86" s="179">
        <v>5975.4628431115543</v>
      </c>
      <c r="V86" s="80">
        <f t="shared" si="30"/>
        <v>4.0000000000000001E-3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1"/>
        <v>0</v>
      </c>
      <c r="E87" s="179">
        <v>0</v>
      </c>
      <c r="F87" s="80">
        <f t="shared" si="22"/>
        <v>0</v>
      </c>
      <c r="G87" s="179">
        <v>0</v>
      </c>
      <c r="H87" s="80">
        <f t="shared" si="23"/>
        <v>0</v>
      </c>
      <c r="I87" s="179">
        <v>0</v>
      </c>
      <c r="J87" s="80">
        <f t="shared" si="24"/>
        <v>0</v>
      </c>
      <c r="K87" s="179">
        <v>0</v>
      </c>
      <c r="L87" s="80">
        <f t="shared" si="25"/>
        <v>0</v>
      </c>
      <c r="M87" s="179">
        <v>0</v>
      </c>
      <c r="N87" s="80">
        <f t="shared" si="26"/>
        <v>0</v>
      </c>
      <c r="O87" s="179">
        <v>0</v>
      </c>
      <c r="P87" s="80">
        <f t="shared" si="27"/>
        <v>0</v>
      </c>
      <c r="Q87" s="179">
        <v>0</v>
      </c>
      <c r="R87" s="80">
        <f t="shared" si="28"/>
        <v>0</v>
      </c>
      <c r="S87" s="179">
        <v>0</v>
      </c>
      <c r="T87" s="80">
        <f t="shared" si="29"/>
        <v>0</v>
      </c>
      <c r="U87" s="179">
        <v>0</v>
      </c>
      <c r="V87" s="80">
        <f t="shared" si="30"/>
        <v>0</v>
      </c>
      <c r="X87" s="200"/>
    </row>
    <row r="88" spans="1:24" ht="12.75" customHeight="1">
      <c r="A88" s="2" t="s">
        <v>419</v>
      </c>
      <c r="B88" s="35"/>
      <c r="C88" s="179">
        <v>5720.9760000000006</v>
      </c>
      <c r="D88" s="80">
        <f t="shared" si="21"/>
        <v>5.1000000000000004E-3</v>
      </c>
      <c r="E88" s="179">
        <v>6502.5</v>
      </c>
      <c r="F88" s="80">
        <f t="shared" si="22"/>
        <v>5.1000000000000004E-3</v>
      </c>
      <c r="G88" s="179">
        <v>6632.5500000000011</v>
      </c>
      <c r="H88" s="80">
        <f t="shared" si="23"/>
        <v>5.1000000000000012E-3</v>
      </c>
      <c r="I88" s="179">
        <v>6765.2010000000009</v>
      </c>
      <c r="J88" s="80">
        <f t="shared" si="24"/>
        <v>5.1000000000000004E-3</v>
      </c>
      <c r="K88" s="179">
        <v>6900.5050199999996</v>
      </c>
      <c r="L88" s="80">
        <f t="shared" si="25"/>
        <v>5.0999999999999995E-3</v>
      </c>
      <c r="M88" s="179">
        <v>7038.5151204000013</v>
      </c>
      <c r="N88" s="80">
        <f t="shared" si="26"/>
        <v>5.1000000000000012E-3</v>
      </c>
      <c r="O88" s="179">
        <v>7179.2854228080005</v>
      </c>
      <c r="P88" s="80">
        <f t="shared" si="27"/>
        <v>5.1000000000000004E-3</v>
      </c>
      <c r="Q88" s="179">
        <v>7322.8711312641608</v>
      </c>
      <c r="R88" s="80">
        <f t="shared" si="28"/>
        <v>5.1000000000000012E-3</v>
      </c>
      <c r="S88" s="179">
        <v>7469.3285538894434</v>
      </c>
      <c r="T88" s="80">
        <f t="shared" si="29"/>
        <v>5.1000000000000004E-3</v>
      </c>
      <c r="U88" s="179">
        <v>7618.7151249672334</v>
      </c>
      <c r="V88" s="80">
        <f t="shared" si="30"/>
        <v>5.1000000000000012E-3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1"/>
        <v>0</v>
      </c>
      <c r="E89" s="179">
        <v>0</v>
      </c>
      <c r="F89" s="80">
        <f t="shared" si="22"/>
        <v>0</v>
      </c>
      <c r="G89" s="179">
        <v>0</v>
      </c>
      <c r="H89" s="80">
        <f t="shared" si="23"/>
        <v>0</v>
      </c>
      <c r="I89" s="179">
        <v>0</v>
      </c>
      <c r="J89" s="80">
        <f t="shared" si="24"/>
        <v>0</v>
      </c>
      <c r="K89" s="179">
        <v>0</v>
      </c>
      <c r="L89" s="80">
        <f t="shared" si="25"/>
        <v>0</v>
      </c>
      <c r="M89" s="179">
        <v>0</v>
      </c>
      <c r="N89" s="80">
        <f t="shared" si="26"/>
        <v>0</v>
      </c>
      <c r="O89" s="179">
        <v>0</v>
      </c>
      <c r="P89" s="80">
        <f t="shared" si="27"/>
        <v>0</v>
      </c>
      <c r="Q89" s="179">
        <v>0</v>
      </c>
      <c r="R89" s="80">
        <f t="shared" si="28"/>
        <v>0</v>
      </c>
      <c r="S89" s="179">
        <v>0</v>
      </c>
      <c r="T89" s="80">
        <f t="shared" si="29"/>
        <v>0</v>
      </c>
      <c r="U89" s="179">
        <v>0</v>
      </c>
      <c r="V89" s="80">
        <f t="shared" si="30"/>
        <v>0</v>
      </c>
      <c r="X89" s="200"/>
    </row>
    <row r="90" spans="1:24" ht="12.75" customHeight="1">
      <c r="A90" s="2" t="s">
        <v>421</v>
      </c>
      <c r="B90" s="35"/>
      <c r="C90" s="179">
        <v>224.35200000000003</v>
      </c>
      <c r="D90" s="80">
        <f t="shared" si="21"/>
        <v>2.0000000000000004E-4</v>
      </c>
      <c r="E90" s="179">
        <v>255</v>
      </c>
      <c r="F90" s="80">
        <f t="shared" si="22"/>
        <v>2.0000000000000001E-4</v>
      </c>
      <c r="G90" s="179">
        <v>260.10000000000002</v>
      </c>
      <c r="H90" s="80">
        <f t="shared" si="23"/>
        <v>2.0000000000000001E-4</v>
      </c>
      <c r="I90" s="179">
        <v>265.30200000000002</v>
      </c>
      <c r="J90" s="80">
        <f t="shared" si="24"/>
        <v>2.0000000000000001E-4</v>
      </c>
      <c r="K90" s="179">
        <v>270.60804000000002</v>
      </c>
      <c r="L90" s="80">
        <f t="shared" si="25"/>
        <v>2.0000000000000001E-4</v>
      </c>
      <c r="M90" s="179">
        <v>276.0202008</v>
      </c>
      <c r="N90" s="80">
        <f t="shared" si="26"/>
        <v>2.0000000000000001E-4</v>
      </c>
      <c r="O90" s="179">
        <v>281.54060481599998</v>
      </c>
      <c r="P90" s="80">
        <f t="shared" si="27"/>
        <v>2.0000000000000001E-4</v>
      </c>
      <c r="Q90" s="179">
        <v>287.17141691232001</v>
      </c>
      <c r="R90" s="80">
        <f t="shared" si="28"/>
        <v>2.0000000000000004E-4</v>
      </c>
      <c r="S90" s="179">
        <v>292.91484525056643</v>
      </c>
      <c r="T90" s="80">
        <f t="shared" si="29"/>
        <v>2.0000000000000001E-4</v>
      </c>
      <c r="U90" s="179">
        <v>298.77314215557777</v>
      </c>
      <c r="V90" s="80">
        <f t="shared" si="30"/>
        <v>2.0000000000000004E-4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21"/>
        <v>0</v>
      </c>
      <c r="E91" s="179">
        <v>0</v>
      </c>
      <c r="F91" s="80">
        <f t="shared" si="22"/>
        <v>0</v>
      </c>
      <c r="G91" s="179">
        <v>0</v>
      </c>
      <c r="H91" s="80">
        <f t="shared" si="23"/>
        <v>0</v>
      </c>
      <c r="I91" s="179">
        <v>0</v>
      </c>
      <c r="J91" s="80">
        <f t="shared" si="24"/>
        <v>0</v>
      </c>
      <c r="K91" s="179">
        <v>0</v>
      </c>
      <c r="L91" s="80">
        <f t="shared" si="25"/>
        <v>0</v>
      </c>
      <c r="M91" s="179">
        <v>0</v>
      </c>
      <c r="N91" s="80">
        <f t="shared" si="26"/>
        <v>0</v>
      </c>
      <c r="O91" s="179">
        <v>0</v>
      </c>
      <c r="P91" s="80">
        <f t="shared" si="27"/>
        <v>0</v>
      </c>
      <c r="Q91" s="179">
        <v>0</v>
      </c>
      <c r="R91" s="80">
        <f t="shared" si="28"/>
        <v>0</v>
      </c>
      <c r="S91" s="179">
        <v>0</v>
      </c>
      <c r="T91" s="80">
        <f t="shared" si="29"/>
        <v>0</v>
      </c>
      <c r="U91" s="179">
        <v>0</v>
      </c>
      <c r="V91" s="80">
        <f t="shared" si="30"/>
        <v>0</v>
      </c>
      <c r="X91" s="200"/>
    </row>
    <row r="92" spans="1:24" ht="12.75" customHeight="1">
      <c r="A92" s="2" t="s">
        <v>423</v>
      </c>
      <c r="B92" s="35"/>
      <c r="C92" s="179">
        <v>5833.152</v>
      </c>
      <c r="D92" s="80">
        <f t="shared" si="21"/>
        <v>5.1999999999999998E-3</v>
      </c>
      <c r="E92" s="179">
        <v>6629.9999999999991</v>
      </c>
      <c r="F92" s="80">
        <f t="shared" si="22"/>
        <v>5.1999999999999989E-3</v>
      </c>
      <c r="G92" s="179">
        <v>6762.5999999999995</v>
      </c>
      <c r="H92" s="80">
        <f t="shared" si="23"/>
        <v>5.1999999999999998E-3</v>
      </c>
      <c r="I92" s="179">
        <v>6897.8519999999999</v>
      </c>
      <c r="J92" s="80">
        <f t="shared" si="24"/>
        <v>5.1999999999999998E-3</v>
      </c>
      <c r="K92" s="179">
        <v>7035.8090399999983</v>
      </c>
      <c r="L92" s="80">
        <f t="shared" si="25"/>
        <v>5.1999999999999989E-3</v>
      </c>
      <c r="M92" s="179">
        <v>7176.5252207999993</v>
      </c>
      <c r="N92" s="80">
        <f t="shared" si="26"/>
        <v>5.1999999999999998E-3</v>
      </c>
      <c r="O92" s="179">
        <v>7320.0557252159988</v>
      </c>
      <c r="P92" s="80">
        <f t="shared" si="27"/>
        <v>5.1999999999999998E-3</v>
      </c>
      <c r="Q92" s="179">
        <v>7466.4568397203193</v>
      </c>
      <c r="R92" s="80">
        <f t="shared" si="28"/>
        <v>5.1999999999999998E-3</v>
      </c>
      <c r="S92" s="179">
        <v>7615.7859765147259</v>
      </c>
      <c r="T92" s="80">
        <f t="shared" si="29"/>
        <v>5.1999999999999998E-3</v>
      </c>
      <c r="U92" s="179">
        <v>7768.1016960450206</v>
      </c>
      <c r="V92" s="80">
        <f t="shared" si="30"/>
        <v>5.1999999999999998E-3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1"/>
        <v>0</v>
      </c>
      <c r="E93" s="179">
        <v>0</v>
      </c>
      <c r="F93" s="80">
        <f t="shared" si="22"/>
        <v>0</v>
      </c>
      <c r="G93" s="179">
        <v>0</v>
      </c>
      <c r="H93" s="80">
        <f t="shared" si="23"/>
        <v>0</v>
      </c>
      <c r="I93" s="179">
        <v>0</v>
      </c>
      <c r="J93" s="80">
        <f t="shared" si="24"/>
        <v>0</v>
      </c>
      <c r="K93" s="179">
        <v>0</v>
      </c>
      <c r="L93" s="80">
        <f t="shared" si="25"/>
        <v>0</v>
      </c>
      <c r="M93" s="179">
        <v>0</v>
      </c>
      <c r="N93" s="80">
        <f t="shared" si="26"/>
        <v>0</v>
      </c>
      <c r="O93" s="179">
        <v>0</v>
      </c>
      <c r="P93" s="80">
        <f t="shared" si="27"/>
        <v>0</v>
      </c>
      <c r="Q93" s="179">
        <v>0</v>
      </c>
      <c r="R93" s="80">
        <f t="shared" si="28"/>
        <v>0</v>
      </c>
      <c r="S93" s="179">
        <v>0</v>
      </c>
      <c r="T93" s="80">
        <f t="shared" si="29"/>
        <v>0</v>
      </c>
      <c r="U93" s="179">
        <v>0</v>
      </c>
      <c r="V93" s="80">
        <f t="shared" si="30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1"/>
        <v>0</v>
      </c>
      <c r="E94" s="179">
        <v>0</v>
      </c>
      <c r="F94" s="80">
        <f t="shared" si="22"/>
        <v>0</v>
      </c>
      <c r="G94" s="179">
        <v>0</v>
      </c>
      <c r="H94" s="80">
        <f t="shared" si="23"/>
        <v>0</v>
      </c>
      <c r="I94" s="179">
        <v>0</v>
      </c>
      <c r="J94" s="80">
        <f t="shared" si="24"/>
        <v>0</v>
      </c>
      <c r="K94" s="179">
        <v>0</v>
      </c>
      <c r="L94" s="80">
        <f t="shared" si="25"/>
        <v>0</v>
      </c>
      <c r="M94" s="179">
        <v>0</v>
      </c>
      <c r="N94" s="80">
        <f t="shared" si="26"/>
        <v>0</v>
      </c>
      <c r="O94" s="179">
        <v>0</v>
      </c>
      <c r="P94" s="80">
        <f t="shared" si="27"/>
        <v>0</v>
      </c>
      <c r="Q94" s="179">
        <v>0</v>
      </c>
      <c r="R94" s="80">
        <f t="shared" si="28"/>
        <v>0</v>
      </c>
      <c r="S94" s="179">
        <v>0</v>
      </c>
      <c r="T94" s="80">
        <f t="shared" si="29"/>
        <v>0</v>
      </c>
      <c r="U94" s="179">
        <v>0</v>
      </c>
      <c r="V94" s="80">
        <f t="shared" si="30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1"/>
        <v>0</v>
      </c>
      <c r="E95" s="179">
        <v>0</v>
      </c>
      <c r="F95" s="80">
        <f t="shared" si="22"/>
        <v>0</v>
      </c>
      <c r="G95" s="179">
        <v>0</v>
      </c>
      <c r="H95" s="80">
        <f t="shared" si="23"/>
        <v>0</v>
      </c>
      <c r="I95" s="179">
        <v>0</v>
      </c>
      <c r="J95" s="80">
        <f t="shared" si="24"/>
        <v>0</v>
      </c>
      <c r="K95" s="179">
        <v>0</v>
      </c>
      <c r="L95" s="80">
        <f t="shared" si="25"/>
        <v>0</v>
      </c>
      <c r="M95" s="179">
        <v>0</v>
      </c>
      <c r="N95" s="80">
        <f t="shared" si="26"/>
        <v>0</v>
      </c>
      <c r="O95" s="179">
        <v>0</v>
      </c>
      <c r="P95" s="80">
        <f t="shared" si="27"/>
        <v>0</v>
      </c>
      <c r="Q95" s="179">
        <v>0</v>
      </c>
      <c r="R95" s="80">
        <f t="shared" si="28"/>
        <v>0</v>
      </c>
      <c r="S95" s="179">
        <v>0</v>
      </c>
      <c r="T95" s="80">
        <f t="shared" si="29"/>
        <v>0</v>
      </c>
      <c r="U95" s="179">
        <v>0</v>
      </c>
      <c r="V95" s="80">
        <f t="shared" si="30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1"/>
        <v>0</v>
      </c>
      <c r="E96" s="179">
        <v>0</v>
      </c>
      <c r="F96" s="80">
        <f t="shared" si="22"/>
        <v>0</v>
      </c>
      <c r="G96" s="179">
        <v>0</v>
      </c>
      <c r="H96" s="80">
        <f t="shared" si="23"/>
        <v>0</v>
      </c>
      <c r="I96" s="179">
        <v>0</v>
      </c>
      <c r="J96" s="80">
        <f t="shared" si="24"/>
        <v>0</v>
      </c>
      <c r="K96" s="179">
        <v>0</v>
      </c>
      <c r="L96" s="80">
        <f t="shared" si="25"/>
        <v>0</v>
      </c>
      <c r="M96" s="179">
        <v>0</v>
      </c>
      <c r="N96" s="80">
        <f t="shared" si="26"/>
        <v>0</v>
      </c>
      <c r="O96" s="179">
        <v>0</v>
      </c>
      <c r="P96" s="80">
        <f t="shared" si="27"/>
        <v>0</v>
      </c>
      <c r="Q96" s="179">
        <v>0</v>
      </c>
      <c r="R96" s="80">
        <f t="shared" si="28"/>
        <v>0</v>
      </c>
      <c r="S96" s="179">
        <v>0</v>
      </c>
      <c r="T96" s="80">
        <f t="shared" si="29"/>
        <v>0</v>
      </c>
      <c r="U96" s="179">
        <v>0</v>
      </c>
      <c r="V96" s="80">
        <f t="shared" si="30"/>
        <v>0</v>
      </c>
      <c r="X96" s="200"/>
    </row>
    <row r="97" spans="1:24" ht="12.75" customHeight="1">
      <c r="A97" s="2" t="s">
        <v>428</v>
      </c>
      <c r="B97" s="35"/>
      <c r="C97" s="179">
        <v>19372.1685</v>
      </c>
      <c r="D97" s="80">
        <f t="shared" si="21"/>
        <v>1.7269441324347455E-2</v>
      </c>
      <c r="E97" s="179">
        <v>21332.130520500003</v>
      </c>
      <c r="F97" s="80">
        <f t="shared" si="22"/>
        <v>1.6731082761176474E-2</v>
      </c>
      <c r="G97" s="179">
        <v>22054.0465975925</v>
      </c>
      <c r="H97" s="80">
        <f t="shared" si="23"/>
        <v>1.6958128871658977E-2</v>
      </c>
      <c r="I97" s="179">
        <v>22742.047746333275</v>
      </c>
      <c r="J97" s="80">
        <f t="shared" si="24"/>
        <v>1.71442716197641E-2</v>
      </c>
      <c r="K97" s="179">
        <v>23310.598939991603</v>
      </c>
      <c r="L97" s="80">
        <f t="shared" si="25"/>
        <v>1.7228312166919803E-2</v>
      </c>
      <c r="M97" s="179">
        <v>23893.36391349139</v>
      </c>
      <c r="N97" s="80">
        <f t="shared" si="26"/>
        <v>1.7312764677541958E-2</v>
      </c>
      <c r="O97" s="179">
        <v>24490.698011328674</v>
      </c>
      <c r="P97" s="80">
        <f t="shared" si="27"/>
        <v>1.739763117105932E-2</v>
      </c>
      <c r="Q97" s="179">
        <v>25102.965461611886</v>
      </c>
      <c r="R97" s="80">
        <f t="shared" si="28"/>
        <v>1.7482913676799803E-2</v>
      </c>
      <c r="S97" s="179">
        <v>25730.539598152183</v>
      </c>
      <c r="T97" s="80">
        <f t="shared" si="29"/>
        <v>1.7568614234039017E-2</v>
      </c>
      <c r="U97" s="179">
        <v>26373.803088105989</v>
      </c>
      <c r="V97" s="80">
        <f t="shared" si="30"/>
        <v>1.7654734892049013E-2</v>
      </c>
      <c r="X97" s="200"/>
    </row>
    <row r="98" spans="1:24" ht="12.75" customHeight="1">
      <c r="A98" s="117" t="s">
        <v>431</v>
      </c>
      <c r="B98" s="35"/>
      <c r="C98" s="179">
        <v>1346.1119999999999</v>
      </c>
      <c r="D98" s="80">
        <f t="shared" si="21"/>
        <v>1.1999999999999999E-3</v>
      </c>
      <c r="E98" s="179">
        <v>1529.9999999999998</v>
      </c>
      <c r="F98" s="80">
        <f t="shared" si="22"/>
        <v>1.1999999999999999E-3</v>
      </c>
      <c r="G98" s="179">
        <v>1560.6</v>
      </c>
      <c r="H98" s="80">
        <f t="shared" si="23"/>
        <v>1.1999999999999999E-3</v>
      </c>
      <c r="I98" s="179">
        <v>1591.8119999999999</v>
      </c>
      <c r="J98" s="80">
        <f t="shared" si="24"/>
        <v>1.1999999999999999E-3</v>
      </c>
      <c r="K98" s="179">
        <v>1623.6482399999995</v>
      </c>
      <c r="L98" s="80">
        <f t="shared" si="25"/>
        <v>1.1999999999999997E-3</v>
      </c>
      <c r="M98" s="179">
        <v>1656.1212047999998</v>
      </c>
      <c r="N98" s="80">
        <f t="shared" si="26"/>
        <v>1.1999999999999999E-3</v>
      </c>
      <c r="O98" s="179">
        <v>1689.2436288959998</v>
      </c>
      <c r="P98" s="80">
        <f t="shared" si="27"/>
        <v>1.1999999999999999E-3</v>
      </c>
      <c r="Q98" s="179">
        <v>1723.0285014739197</v>
      </c>
      <c r="R98" s="80">
        <f t="shared" si="28"/>
        <v>1.1999999999999999E-3</v>
      </c>
      <c r="S98" s="179">
        <v>1757.4890715033982</v>
      </c>
      <c r="T98" s="80">
        <f t="shared" si="29"/>
        <v>1.1999999999999999E-3</v>
      </c>
      <c r="U98" s="179">
        <v>1792.6388529334663</v>
      </c>
      <c r="V98" s="80">
        <f t="shared" si="30"/>
        <v>1.2000000000000001E-3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1"/>
        <v>0</v>
      </c>
      <c r="E99" s="179">
        <v>0</v>
      </c>
      <c r="F99" s="80">
        <f t="shared" si="22"/>
        <v>0</v>
      </c>
      <c r="G99" s="179">
        <v>0</v>
      </c>
      <c r="H99" s="80">
        <f t="shared" si="23"/>
        <v>0</v>
      </c>
      <c r="I99" s="179">
        <v>0</v>
      </c>
      <c r="J99" s="80">
        <f t="shared" si="24"/>
        <v>0</v>
      </c>
      <c r="K99" s="179">
        <v>0</v>
      </c>
      <c r="L99" s="80">
        <f t="shared" si="25"/>
        <v>0</v>
      </c>
      <c r="M99" s="179">
        <v>0</v>
      </c>
      <c r="N99" s="80">
        <f t="shared" si="26"/>
        <v>0</v>
      </c>
      <c r="O99" s="179">
        <v>0</v>
      </c>
      <c r="P99" s="80">
        <f t="shared" si="27"/>
        <v>0</v>
      </c>
      <c r="Q99" s="179">
        <v>0</v>
      </c>
      <c r="R99" s="80">
        <f t="shared" si="28"/>
        <v>0</v>
      </c>
      <c r="S99" s="179">
        <v>0</v>
      </c>
      <c r="T99" s="80">
        <f t="shared" si="29"/>
        <v>0</v>
      </c>
      <c r="U99" s="179">
        <v>0</v>
      </c>
      <c r="V99" s="80">
        <f t="shared" si="30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1"/>
        <v>0</v>
      </c>
      <c r="E100" s="179">
        <v>0</v>
      </c>
      <c r="F100" s="80">
        <f t="shared" si="22"/>
        <v>0</v>
      </c>
      <c r="G100" s="179">
        <v>0</v>
      </c>
      <c r="H100" s="80">
        <f t="shared" si="23"/>
        <v>0</v>
      </c>
      <c r="I100" s="179">
        <v>0</v>
      </c>
      <c r="J100" s="80">
        <f t="shared" si="24"/>
        <v>0</v>
      </c>
      <c r="K100" s="179">
        <v>0</v>
      </c>
      <c r="L100" s="80">
        <f t="shared" si="25"/>
        <v>0</v>
      </c>
      <c r="M100" s="179">
        <v>0</v>
      </c>
      <c r="N100" s="80">
        <f t="shared" si="26"/>
        <v>0</v>
      </c>
      <c r="O100" s="179">
        <v>0</v>
      </c>
      <c r="P100" s="80">
        <f t="shared" si="27"/>
        <v>0</v>
      </c>
      <c r="Q100" s="179">
        <v>0</v>
      </c>
      <c r="R100" s="80">
        <f t="shared" si="28"/>
        <v>0</v>
      </c>
      <c r="S100" s="179">
        <v>0</v>
      </c>
      <c r="T100" s="80">
        <f t="shared" si="29"/>
        <v>0</v>
      </c>
      <c r="U100" s="179">
        <v>0</v>
      </c>
      <c r="V100" s="80">
        <f t="shared" si="30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1"/>
        <v>0</v>
      </c>
      <c r="E101" s="179"/>
      <c r="F101" s="80">
        <f t="shared" si="22"/>
        <v>0</v>
      </c>
      <c r="G101" s="179"/>
      <c r="H101" s="80">
        <f t="shared" si="23"/>
        <v>0</v>
      </c>
      <c r="I101" s="179">
        <v>0</v>
      </c>
      <c r="J101" s="80">
        <f t="shared" si="24"/>
        <v>0</v>
      </c>
      <c r="K101" s="179">
        <v>0</v>
      </c>
      <c r="L101" s="80">
        <f t="shared" si="25"/>
        <v>0</v>
      </c>
      <c r="M101" s="179">
        <v>0</v>
      </c>
      <c r="N101" s="80">
        <f t="shared" si="26"/>
        <v>0</v>
      </c>
      <c r="O101" s="179">
        <v>0</v>
      </c>
      <c r="P101" s="80">
        <f t="shared" si="27"/>
        <v>0</v>
      </c>
      <c r="Q101" s="179">
        <v>0</v>
      </c>
      <c r="R101" s="80">
        <f t="shared" si="28"/>
        <v>0</v>
      </c>
      <c r="S101" s="179">
        <v>0</v>
      </c>
      <c r="T101" s="80">
        <f t="shared" si="29"/>
        <v>0</v>
      </c>
      <c r="U101" s="179">
        <v>0</v>
      </c>
      <c r="V101" s="80">
        <f t="shared" si="30"/>
        <v>0</v>
      </c>
      <c r="X101" s="200"/>
    </row>
    <row r="102" spans="1:24" ht="12.75" customHeight="1">
      <c r="A102" s="117" t="s">
        <v>433</v>
      </c>
      <c r="B102" s="35"/>
      <c r="C102" s="179">
        <v>11217.6</v>
      </c>
      <c r="D102" s="80">
        <f t="shared" si="21"/>
        <v>0.01</v>
      </c>
      <c r="E102" s="179">
        <v>12750</v>
      </c>
      <c r="F102" s="80">
        <f t="shared" si="22"/>
        <v>0.01</v>
      </c>
      <c r="G102" s="179">
        <v>13005</v>
      </c>
      <c r="H102" s="80">
        <f t="shared" si="23"/>
        <v>0.01</v>
      </c>
      <c r="I102" s="179">
        <v>13265.100000000002</v>
      </c>
      <c r="J102" s="80">
        <f t="shared" si="24"/>
        <v>1.0000000000000002E-2</v>
      </c>
      <c r="K102" s="179">
        <v>13530.402</v>
      </c>
      <c r="L102" s="80">
        <f t="shared" si="25"/>
        <v>0.01</v>
      </c>
      <c r="M102" s="179">
        <v>13801.010039999999</v>
      </c>
      <c r="N102" s="80">
        <f t="shared" si="26"/>
        <v>0.01</v>
      </c>
      <c r="O102" s="179">
        <v>14077.030240800001</v>
      </c>
      <c r="P102" s="80">
        <f t="shared" si="27"/>
        <v>1.0000000000000002E-2</v>
      </c>
      <c r="Q102" s="179">
        <v>14358.570845615999</v>
      </c>
      <c r="R102" s="80">
        <f t="shared" si="28"/>
        <v>0.01</v>
      </c>
      <c r="S102" s="179">
        <v>14645.74226252832</v>
      </c>
      <c r="T102" s="80">
        <f t="shared" si="29"/>
        <v>0.01</v>
      </c>
      <c r="U102" s="179">
        <v>14938.657107778885</v>
      </c>
      <c r="V102" s="80">
        <f t="shared" si="30"/>
        <v>0.01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1"/>
        <v>0</v>
      </c>
      <c r="E103" s="179">
        <v>0</v>
      </c>
      <c r="F103" s="80">
        <f t="shared" si="22"/>
        <v>0</v>
      </c>
      <c r="G103" s="179">
        <v>0</v>
      </c>
      <c r="H103" s="80">
        <f t="shared" si="23"/>
        <v>0</v>
      </c>
      <c r="I103" s="179">
        <v>0</v>
      </c>
      <c r="J103" s="80">
        <f t="shared" si="24"/>
        <v>0</v>
      </c>
      <c r="K103" s="179">
        <v>0</v>
      </c>
      <c r="L103" s="80">
        <f t="shared" si="25"/>
        <v>0</v>
      </c>
      <c r="M103" s="179">
        <v>0</v>
      </c>
      <c r="N103" s="80">
        <f t="shared" si="26"/>
        <v>0</v>
      </c>
      <c r="O103" s="179">
        <v>0</v>
      </c>
      <c r="P103" s="80">
        <f t="shared" si="27"/>
        <v>0</v>
      </c>
      <c r="Q103" s="179">
        <v>0</v>
      </c>
      <c r="R103" s="80">
        <f t="shared" si="28"/>
        <v>0</v>
      </c>
      <c r="S103" s="179">
        <v>0</v>
      </c>
      <c r="T103" s="80">
        <f t="shared" si="29"/>
        <v>0</v>
      </c>
      <c r="U103" s="179">
        <v>0</v>
      </c>
      <c r="V103" s="80">
        <f t="shared" si="30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1"/>
        <v>0</v>
      </c>
      <c r="E104" s="179">
        <v>0</v>
      </c>
      <c r="F104" s="80">
        <f t="shared" si="22"/>
        <v>0</v>
      </c>
      <c r="G104" s="179">
        <v>0</v>
      </c>
      <c r="H104" s="80">
        <f t="shared" si="23"/>
        <v>0</v>
      </c>
      <c r="I104" s="179">
        <v>0</v>
      </c>
      <c r="J104" s="80">
        <f t="shared" si="24"/>
        <v>0</v>
      </c>
      <c r="K104" s="179">
        <v>0</v>
      </c>
      <c r="L104" s="80">
        <f t="shared" si="25"/>
        <v>0</v>
      </c>
      <c r="M104" s="179">
        <v>0</v>
      </c>
      <c r="N104" s="80">
        <f t="shared" si="26"/>
        <v>0</v>
      </c>
      <c r="O104" s="179">
        <v>0</v>
      </c>
      <c r="P104" s="80">
        <f t="shared" si="27"/>
        <v>0</v>
      </c>
      <c r="Q104" s="179">
        <v>0</v>
      </c>
      <c r="R104" s="80">
        <f t="shared" si="28"/>
        <v>0</v>
      </c>
      <c r="S104" s="179">
        <v>0</v>
      </c>
      <c r="T104" s="80">
        <f t="shared" si="29"/>
        <v>0</v>
      </c>
      <c r="U104" s="179">
        <v>0</v>
      </c>
      <c r="V104" s="80">
        <f t="shared" si="30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192383.94540163825</v>
      </c>
      <c r="D105" s="83">
        <f t="shared" ref="D105" si="31">IFERROR(C105/C$28,0)</f>
        <v>0.17150187687351862</v>
      </c>
      <c r="E105" s="82">
        <f>SUM(E52:E104)</f>
        <v>210372.96409913152</v>
      </c>
      <c r="F105" s="83">
        <f t="shared" ref="F105" si="32">IFERROR(E105/E$28,0)</f>
        <v>0.16499840321500511</v>
      </c>
      <c r="G105" s="82">
        <f>SUM(G52:G104)</f>
        <v>216365.06191724062</v>
      </c>
      <c r="H105" s="83">
        <f t="shared" ref="H105" si="33">IFERROR(G105/G$28,0)</f>
        <v>0.16637067429238034</v>
      </c>
      <c r="I105" s="82">
        <f>SUM(I52:I104)</f>
        <v>220835.96778198372</v>
      </c>
      <c r="J105" s="83">
        <f t="shared" ref="J105" si="34">IFERROR(I105/I$28,0)</f>
        <v>0.16647893176981984</v>
      </c>
      <c r="K105" s="82">
        <f>SUM(K52:K104)</f>
        <v>225228.89131269846</v>
      </c>
      <c r="L105" s="83">
        <f t="shared" ref="L105" si="35">IFERROR(K105/K$28,0)</f>
        <v>0.1664613448386075</v>
      </c>
      <c r="M105" s="82">
        <f>SUM(M52:M104)</f>
        <v>229824.71686822615</v>
      </c>
      <c r="N105" s="83">
        <f t="shared" ref="N105" si="36">IFERROR(M105/M$28,0)</f>
        <v>0.1665274615423917</v>
      </c>
      <c r="O105" s="82">
        <f>SUM(O52:O104)</f>
        <v>234515.59671426649</v>
      </c>
      <c r="P105" s="83">
        <f t="shared" ref="P105" si="37">IFERROR(O105/O$28,0)</f>
        <v>0.16659451084686946</v>
      </c>
      <c r="Q105" s="82">
        <f>SUM(Q52:Q104)</f>
        <v>239303.0801939845</v>
      </c>
      <c r="R105" s="83">
        <f t="shared" ref="R105" si="38">IFERROR(Q105/Q$28,0)</f>
        <v>0.16666218578922792</v>
      </c>
      <c r="S105" s="82">
        <f>SUM(S52:S104)</f>
        <v>244188.75917299901</v>
      </c>
      <c r="T105" s="83">
        <f t="shared" ref="T105" si="39">IFERROR(S105/S$28,0)</f>
        <v>0.16673020376561254</v>
      </c>
      <c r="U105" s="82">
        <f>SUM(U52:U104)</f>
        <v>249668.11598397879</v>
      </c>
      <c r="V105" s="83">
        <f t="shared" si="30"/>
        <v>0.16712888861607991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44783.436598361674</v>
      </c>
      <c r="D107" s="83">
        <f>IFERROR(C107/C$28,0)</f>
        <v>3.992247592921986E-2</v>
      </c>
      <c r="E107" s="82">
        <f>E28-E33-E46-E105</f>
        <v>77617.234174868441</v>
      </c>
      <c r="F107" s="83">
        <f>IFERROR(E107/E$28,0)</f>
        <v>6.0876262097936035E-2</v>
      </c>
      <c r="G107" s="82">
        <f>G28-G33-G46-G105</f>
        <v>69570.387363849324</v>
      </c>
      <c r="H107" s="83">
        <f>IFERROR(G107/G$28,0)</f>
        <v>5.3495107546212478E-2</v>
      </c>
      <c r="I107" s="82">
        <f>I28-I33-I46-I105</f>
        <v>64280.825244532374</v>
      </c>
      <c r="J107" s="83">
        <f>IFERROR(I107/I$28,0)</f>
        <v>4.8458605848830674E-2</v>
      </c>
      <c r="K107" s="82">
        <f>K28-K33-K46-K105</f>
        <v>62572.013039480342</v>
      </c>
      <c r="L107" s="83">
        <f>IFERROR(K107/K$28,0)</f>
        <v>4.6245494435036255E-2</v>
      </c>
      <c r="M107" s="82">
        <f>M28-M33-M46-M105</f>
        <v>60638.525422757404</v>
      </c>
      <c r="N107" s="83">
        <f>IFERROR(M107/M$28,0)</f>
        <v>4.3937744590436804E-2</v>
      </c>
      <c r="O107" s="82">
        <f>O28-O33-O46-O105</f>
        <v>58585.888270591706</v>
      </c>
      <c r="P107" s="83">
        <f>IFERROR(O107/O$28,0)</f>
        <v>4.1618073747394513E-2</v>
      </c>
      <c r="Q107" s="82">
        <f>Q28-Q33-Q46-Q105</f>
        <v>56410.136784827162</v>
      </c>
      <c r="R107" s="83">
        <f>IFERROR(Q107/Q$28,0)</f>
        <v>3.9286735004027559E-2</v>
      </c>
      <c r="S107" s="82">
        <f>S28-S33-S46-S105</f>
        <v>54107.166997001797</v>
      </c>
      <c r="T107" s="83">
        <f>IFERROR(S107/S$28,0)</f>
        <v>3.6943956835453137E-2</v>
      </c>
      <c r="U107" s="82">
        <f>U28-U33-U46-U105</f>
        <v>51178.88468232489</v>
      </c>
      <c r="V107" s="83">
        <f>IFERROR(U107/U$28,0)</f>
        <v>3.4259361007539908E-2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7" tint="0.59999389629810485"/>
  </sheetPr>
  <dimension ref="A1:X119"/>
  <sheetViews>
    <sheetView topLeftCell="A33" zoomScale="70" zoomScaleNormal="70" workbookViewId="0" xr3:uid="{AB5DE215-5931-5800-A1A6-141DC62B4C85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45.57031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45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Subway (Graham Center)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228</v>
      </c>
      <c r="E8" s="109">
        <f>+C8</f>
        <v>228</v>
      </c>
      <c r="G8" s="109">
        <f>+E8</f>
        <v>228</v>
      </c>
      <c r="I8" s="109">
        <f>+G8</f>
        <v>228</v>
      </c>
      <c r="K8" s="109">
        <f>+I8</f>
        <v>228</v>
      </c>
      <c r="M8" s="109">
        <f>+K8</f>
        <v>228</v>
      </c>
      <c r="O8" s="109">
        <f>+M8</f>
        <v>228</v>
      </c>
      <c r="Q8" s="109">
        <f>+O8</f>
        <v>228</v>
      </c>
      <c r="S8" s="109">
        <f>+Q8</f>
        <v>228</v>
      </c>
      <c r="U8" s="109">
        <f>+S8</f>
        <v>228</v>
      </c>
    </row>
    <row r="10" spans="1:22" ht="12.75" customHeight="1">
      <c r="A10" s="2" t="s">
        <v>449</v>
      </c>
      <c r="C10" s="109">
        <v>513</v>
      </c>
      <c r="E10" s="109"/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450</v>
      </c>
      <c r="C12" s="110">
        <v>7.7</v>
      </c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451</v>
      </c>
      <c r="C14" s="121">
        <f>C12*C10*C8</f>
        <v>900622.79999999993</v>
      </c>
      <c r="E14" s="121">
        <f>E12*E10*E8</f>
        <v>0</v>
      </c>
      <c r="G14" s="121">
        <f>G12*G10*G8</f>
        <v>0</v>
      </c>
      <c r="I14" s="121">
        <f>I12*I10*I8</f>
        <v>0</v>
      </c>
      <c r="K14" s="121">
        <f>K12*K10*K8</f>
        <v>0</v>
      </c>
      <c r="M14" s="121">
        <f>M12*M10*M8</f>
        <v>0</v>
      </c>
      <c r="O14" s="121">
        <f>O12*O10*O8</f>
        <v>0</v>
      </c>
      <c r="Q14" s="121">
        <f>Q12*Q10*Q8</f>
        <v>0</v>
      </c>
      <c r="S14" s="121">
        <f>S12*S10*S8</f>
        <v>0</v>
      </c>
      <c r="U14" s="121">
        <f>U12*U10*U8</f>
        <v>0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+C14-C20-C21</f>
        <v>777417.60095999984</v>
      </c>
      <c r="D19" s="80">
        <f>IFERROR(C19/C$28,0)</f>
        <v>0.86319999999999986</v>
      </c>
      <c r="E19" s="208">
        <f>+E14-E20</f>
        <v>0</v>
      </c>
      <c r="F19" s="80">
        <f>IFERROR(E19/E$28,0)</f>
        <v>0</v>
      </c>
      <c r="G19" s="111">
        <f>E19*1.02</f>
        <v>0</v>
      </c>
      <c r="H19" s="80">
        <f>IFERROR(G19/G$28,0)</f>
        <v>0</v>
      </c>
      <c r="I19" s="111">
        <f>G19*1.02</f>
        <v>0</v>
      </c>
      <c r="J19" s="80">
        <f>IFERROR(I19/I$28,0)</f>
        <v>0</v>
      </c>
      <c r="K19" s="111">
        <f>I19*1.02</f>
        <v>0</v>
      </c>
      <c r="L19" s="80">
        <f>IFERROR(K19/K$28,0)</f>
        <v>0</v>
      </c>
      <c r="M19" s="111">
        <f>K19*1.02</f>
        <v>0</v>
      </c>
      <c r="N19" s="80">
        <f>IFERROR(M19/M$28,0)</f>
        <v>0</v>
      </c>
      <c r="O19" s="111">
        <f>M19*1.02</f>
        <v>0</v>
      </c>
      <c r="P19" s="80">
        <f>IFERROR(O19/O$28,0)</f>
        <v>0</v>
      </c>
      <c r="Q19" s="111">
        <f>O19*1.02</f>
        <v>0</v>
      </c>
      <c r="R19" s="80">
        <f>IFERROR(Q19/Q$28,0)</f>
        <v>0</v>
      </c>
      <c r="S19" s="111">
        <f>Q19*1.02</f>
        <v>0</v>
      </c>
      <c r="T19" s="80">
        <f>IFERROR(S19/S$28,0)</f>
        <v>0</v>
      </c>
      <c r="U19" s="111">
        <f>S19*1.02</f>
        <v>0</v>
      </c>
      <c r="V19" s="80">
        <f>IFERROR(U19/U$28,0)</f>
        <v>0</v>
      </c>
    </row>
    <row r="20" spans="1:24" ht="12.75" customHeight="1">
      <c r="A20" s="2" t="s">
        <v>357</v>
      </c>
      <c r="B20" s="35"/>
      <c r="C20" s="111">
        <f>+C14*12.38%</f>
        <v>111497.10264</v>
      </c>
      <c r="D20" s="80">
        <f>IFERROR(C20/C$28,0)</f>
        <v>0.12380000000000001</v>
      </c>
      <c r="E20" s="111">
        <f>+E14*53.27%</f>
        <v>0</v>
      </c>
      <c r="F20" s="80">
        <f>IFERROR(E20/E$28,0)</f>
        <v>0</v>
      </c>
      <c r="G20" s="111">
        <f t="shared" ref="G20:U21" si="0">E20*1.02</f>
        <v>0</v>
      </c>
      <c r="H20" s="80">
        <f>IFERROR(G20/G$28,0)</f>
        <v>0</v>
      </c>
      <c r="I20" s="111">
        <f t="shared" si="0"/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191" t="s">
        <v>358</v>
      </c>
      <c r="B21" s="203"/>
      <c r="C21" s="111">
        <f>+C14*0.013</f>
        <v>11708.096399999999</v>
      </c>
      <c r="D21" s="80">
        <f>IFERROR(C21/C$28,0)</f>
        <v>1.2999999999999999E-2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364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365</v>
      </c>
      <c r="B28" s="53"/>
      <c r="C28" s="82">
        <f>SUM(C19:C27)</f>
        <v>900622.79999999993</v>
      </c>
      <c r="D28" s="83">
        <f t="shared" si="1"/>
        <v>1</v>
      </c>
      <c r="E28" s="82">
        <f>SUM(E19:E27)</f>
        <v>0</v>
      </c>
      <c r="F28" s="83">
        <f t="shared" si="2"/>
        <v>0</v>
      </c>
      <c r="G28" s="82">
        <f>SUM(G19:G27)</f>
        <v>0</v>
      </c>
      <c r="H28" s="83">
        <f t="shared" si="3"/>
        <v>0</v>
      </c>
      <c r="I28" s="82">
        <f>SUM(I19:I27)</f>
        <v>0</v>
      </c>
      <c r="J28" s="83">
        <f t="shared" si="4"/>
        <v>0</v>
      </c>
      <c r="K28" s="82">
        <f>SUM(K19:K27)</f>
        <v>0</v>
      </c>
      <c r="L28" s="83">
        <f t="shared" si="5"/>
        <v>0</v>
      </c>
      <c r="M28" s="82">
        <f>SUM(M19:M27)</f>
        <v>0</v>
      </c>
      <c r="N28" s="83">
        <f t="shared" si="6"/>
        <v>0</v>
      </c>
      <c r="O28" s="82">
        <f>SUM(O19:O27)</f>
        <v>0</v>
      </c>
      <c r="P28" s="83">
        <f t="shared" si="7"/>
        <v>0</v>
      </c>
      <c r="Q28" s="82">
        <f>SUM(Q19:Q27)</f>
        <v>0</v>
      </c>
      <c r="R28" s="83">
        <f t="shared" si="8"/>
        <v>0</v>
      </c>
      <c r="S28" s="82">
        <f>SUM(S19:S27)</f>
        <v>0</v>
      </c>
      <c r="T28" s="83">
        <f t="shared" si="9"/>
        <v>0</v>
      </c>
      <c r="U28" s="82">
        <f>SUM(U19:U27)</f>
        <v>0</v>
      </c>
      <c r="V28" s="83">
        <f t="shared" si="10"/>
        <v>0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0.30599999999999999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275590.57679999998</v>
      </c>
      <c r="D31" s="80">
        <f>IFERROR(C31/C$28,0)</f>
        <v>0.30599999999999999</v>
      </c>
      <c r="E31" s="179">
        <f>$C$30*E14</f>
        <v>0</v>
      </c>
      <c r="F31" s="80">
        <f>IFERROR(E31/E$28,0)</f>
        <v>0</v>
      </c>
      <c r="G31" s="179">
        <f>$C$30*G14</f>
        <v>0</v>
      </c>
      <c r="H31" s="80">
        <f>IFERROR(G31/G$28,0)</f>
        <v>0</v>
      </c>
      <c r="I31" s="179">
        <f>$C$30*I14</f>
        <v>0</v>
      </c>
      <c r="J31" s="80">
        <f>IFERROR(I31/I$28,0)</f>
        <v>0</v>
      </c>
      <c r="K31" s="179">
        <f>$C$30*K14</f>
        <v>0</v>
      </c>
      <c r="L31" s="80">
        <f>IFERROR(K31/K$28,0)</f>
        <v>0</v>
      </c>
      <c r="M31" s="179">
        <f>$C$30*M14</f>
        <v>0</v>
      </c>
      <c r="N31" s="80">
        <f>IFERROR(M31/M$28,0)</f>
        <v>0</v>
      </c>
      <c r="O31" s="179">
        <f>$C$30*O14</f>
        <v>0</v>
      </c>
      <c r="P31" s="80">
        <f>IFERROR(O31/O$28,0)</f>
        <v>0</v>
      </c>
      <c r="Q31" s="179">
        <f>$C$30*Q14</f>
        <v>0</v>
      </c>
      <c r="R31" s="80">
        <f>IFERROR(Q31/Q$28,0)</f>
        <v>0</v>
      </c>
      <c r="S31" s="179">
        <f>$C$30*S14</f>
        <v>0</v>
      </c>
      <c r="T31" s="80">
        <f>IFERROR(S31/S$28,0)</f>
        <v>0</v>
      </c>
      <c r="U31" s="179">
        <f>$C$30*U14</f>
        <v>0</v>
      </c>
      <c r="V31" s="80">
        <f>IFERROR(U31/U$28,0)</f>
        <v>0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275590.57679999998</v>
      </c>
      <c r="D33" s="83">
        <f>IFERROR(C33/C$28,0)</f>
        <v>0.30599999999999999</v>
      </c>
      <c r="E33" s="82">
        <f>SUM(E31:E32)</f>
        <v>0</v>
      </c>
      <c r="F33" s="83">
        <f>IFERROR(E33/E$28,0)</f>
        <v>0</v>
      </c>
      <c r="G33" s="82">
        <f>SUM(G31:G32)</f>
        <v>0</v>
      </c>
      <c r="H33" s="83">
        <f>IFERROR(G33/G$28,0)</f>
        <v>0</v>
      </c>
      <c r="I33" s="82">
        <f>SUM(I31:I32)</f>
        <v>0</v>
      </c>
      <c r="J33" s="83">
        <f>IFERROR(I33/I$28,0)</f>
        <v>0</v>
      </c>
      <c r="K33" s="82">
        <f>SUM(K31:K32)</f>
        <v>0</v>
      </c>
      <c r="L33" s="83">
        <f>IFERROR(K33/K$28,0)</f>
        <v>0</v>
      </c>
      <c r="M33" s="82">
        <f>SUM(M31:M32)</f>
        <v>0</v>
      </c>
      <c r="N33" s="83">
        <f>IFERROR(M33/M$28,0)</f>
        <v>0</v>
      </c>
      <c r="O33" s="82">
        <f>SUM(O31:O32)</f>
        <v>0</v>
      </c>
      <c r="P33" s="83">
        <f>IFERROR(O33/O$28,0)</f>
        <v>0</v>
      </c>
      <c r="Q33" s="82">
        <f>SUM(Q31:Q32)</f>
        <v>0</v>
      </c>
      <c r="R33" s="83">
        <f>IFERROR(Q33/Q$28,0)</f>
        <v>0</v>
      </c>
      <c r="S33" s="82">
        <f>SUM(S31:S32)</f>
        <v>0</v>
      </c>
      <c r="T33" s="83">
        <f>IFERROR(S33/S$28,0)</f>
        <v>0</v>
      </c>
      <c r="U33" s="82">
        <f>SUM(U31:U32)</f>
        <v>0</v>
      </c>
      <c r="V33" s="83">
        <f>IFERROR(U33/U$28,0)</f>
        <v>0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>
        <v>43908</v>
      </c>
      <c r="D36" s="80">
        <f t="shared" ref="D36:D46" si="11">IFERROR(C36/C$28,0)</f>
        <v>4.8752929639356235E-2</v>
      </c>
      <c r="E36" s="179"/>
      <c r="F36" s="80">
        <f t="shared" ref="F36:F46" si="12">IFERROR(E36/E$28,0)</f>
        <v>0</v>
      </c>
      <c r="G36" s="179"/>
      <c r="H36" s="80">
        <f t="shared" ref="H36:H46" si="13">IFERROR(G36/G$28,0)</f>
        <v>0</v>
      </c>
      <c r="I36" s="179"/>
      <c r="J36" s="80">
        <f t="shared" ref="J36:J46" si="14">IFERROR(I36/I$28,0)</f>
        <v>0</v>
      </c>
      <c r="K36" s="179"/>
      <c r="L36" s="80">
        <f t="shared" ref="L36:L46" si="15">IFERROR(K36/K$28,0)</f>
        <v>0</v>
      </c>
      <c r="M36" s="179"/>
      <c r="N36" s="80">
        <f t="shared" ref="N36:N46" si="16">IFERROR(M36/M$28,0)</f>
        <v>0</v>
      </c>
      <c r="O36" s="179"/>
      <c r="P36" s="80">
        <f t="shared" ref="P36:P46" si="17">IFERROR(O36/O$28,0)</f>
        <v>0</v>
      </c>
      <c r="Q36" s="179"/>
      <c r="R36" s="80">
        <f t="shared" ref="R36:R46" si="18">IFERROR(Q36/Q$28,0)</f>
        <v>0</v>
      </c>
      <c r="S36" s="179"/>
      <c r="T36" s="80">
        <f t="shared" ref="T36:T46" si="19">IFERROR(S36/S$28,0)</f>
        <v>0</v>
      </c>
      <c r="U36" s="179"/>
      <c r="V36" s="80">
        <f t="shared" ref="V36:V46" si="20">IFERROR(U36/U$28,0)</f>
        <v>0</v>
      </c>
    </row>
    <row r="37" spans="1:22" ht="12.75" customHeight="1">
      <c r="A37" s="2" t="s">
        <v>372</v>
      </c>
      <c r="B37" s="35"/>
      <c r="C37" s="179">
        <v>254354</v>
      </c>
      <c r="D37" s="80">
        <f t="shared" si="11"/>
        <v>0.2824201208319399</v>
      </c>
      <c r="E37" s="179"/>
      <c r="F37" s="80">
        <f t="shared" si="12"/>
        <v>0</v>
      </c>
      <c r="G37" s="179">
        <f>+E37*1.035</f>
        <v>0</v>
      </c>
      <c r="H37" s="80">
        <f t="shared" si="13"/>
        <v>0</v>
      </c>
      <c r="I37" s="179">
        <f>+G37*1.032</f>
        <v>0</v>
      </c>
      <c r="J37" s="80">
        <f t="shared" si="14"/>
        <v>0</v>
      </c>
      <c r="K37" s="179">
        <f>+I37*1.025</f>
        <v>0</v>
      </c>
      <c r="L37" s="80">
        <f t="shared" si="15"/>
        <v>0</v>
      </c>
      <c r="M37" s="179">
        <f>+K37*1.025</f>
        <v>0</v>
      </c>
      <c r="N37" s="80">
        <f t="shared" si="16"/>
        <v>0</v>
      </c>
      <c r="O37" s="179">
        <f>+M37*1.025</f>
        <v>0</v>
      </c>
      <c r="P37" s="80">
        <f t="shared" si="17"/>
        <v>0</v>
      </c>
      <c r="Q37" s="179">
        <f>+O37*1.025</f>
        <v>0</v>
      </c>
      <c r="R37" s="80">
        <f t="shared" si="18"/>
        <v>0</v>
      </c>
      <c r="S37" s="179">
        <f>+Q37*1.025</f>
        <v>0</v>
      </c>
      <c r="T37" s="80">
        <f t="shared" si="19"/>
        <v>0</v>
      </c>
      <c r="U37" s="179">
        <f>+S37*1.025</f>
        <v>0</v>
      </c>
      <c r="V37" s="80">
        <f t="shared" si="20"/>
        <v>0</v>
      </c>
    </row>
    <row r="38" spans="1:22" ht="12.75" customHeight="1">
      <c r="A38" s="2" t="s">
        <v>373</v>
      </c>
      <c r="B38" s="35"/>
      <c r="C38" s="179"/>
      <c r="D38" s="80">
        <f t="shared" si="11"/>
        <v>0</v>
      </c>
      <c r="E38" s="179"/>
      <c r="F38" s="80">
        <f t="shared" si="12"/>
        <v>0</v>
      </c>
      <c r="G38" s="179">
        <f>+E38*1.035</f>
        <v>0</v>
      </c>
      <c r="H38" s="80">
        <f t="shared" si="13"/>
        <v>0</v>
      </c>
      <c r="I38" s="179">
        <f>+G38*1.032</f>
        <v>0</v>
      </c>
      <c r="J38" s="80">
        <f t="shared" si="14"/>
        <v>0</v>
      </c>
      <c r="K38" s="179">
        <f>+I38*1.025</f>
        <v>0</v>
      </c>
      <c r="L38" s="80">
        <f t="shared" si="15"/>
        <v>0</v>
      </c>
      <c r="M38" s="179">
        <f>+K38*1.025</f>
        <v>0</v>
      </c>
      <c r="N38" s="80">
        <f t="shared" si="16"/>
        <v>0</v>
      </c>
      <c r="O38" s="179">
        <f>+M38*1.025</f>
        <v>0</v>
      </c>
      <c r="P38" s="80">
        <f t="shared" si="17"/>
        <v>0</v>
      </c>
      <c r="Q38" s="179">
        <f>+O38*1.025</f>
        <v>0</v>
      </c>
      <c r="R38" s="80">
        <f t="shared" si="18"/>
        <v>0</v>
      </c>
      <c r="S38" s="179">
        <f>+Q38*1.025</f>
        <v>0</v>
      </c>
      <c r="T38" s="80">
        <f t="shared" si="19"/>
        <v>0</v>
      </c>
      <c r="U38" s="179">
        <f>+S38*1.025</f>
        <v>0</v>
      </c>
      <c r="V38" s="80">
        <f t="shared" si="20"/>
        <v>0</v>
      </c>
    </row>
    <row r="39" spans="1:22" ht="12.75" customHeight="1">
      <c r="A39" s="2" t="s">
        <v>374</v>
      </c>
      <c r="B39" s="35"/>
      <c r="C39" s="179">
        <v>26483</v>
      </c>
      <c r="D39" s="80">
        <f t="shared" si="11"/>
        <v>2.9405207152206229E-2</v>
      </c>
      <c r="E39" s="179"/>
      <c r="F39" s="80">
        <f t="shared" si="12"/>
        <v>0</v>
      </c>
      <c r="G39" s="179">
        <f>+E39*1.035</f>
        <v>0</v>
      </c>
      <c r="H39" s="80">
        <f t="shared" si="13"/>
        <v>0</v>
      </c>
      <c r="I39" s="179">
        <f>+G39*1.032</f>
        <v>0</v>
      </c>
      <c r="J39" s="80">
        <f t="shared" si="14"/>
        <v>0</v>
      </c>
      <c r="K39" s="179">
        <f>+I39*1.025</f>
        <v>0</v>
      </c>
      <c r="L39" s="80">
        <f t="shared" si="15"/>
        <v>0</v>
      </c>
      <c r="M39" s="179">
        <f>+K39*1.025</f>
        <v>0</v>
      </c>
      <c r="N39" s="80">
        <f t="shared" si="16"/>
        <v>0</v>
      </c>
      <c r="O39" s="179">
        <f>+M39*1.025</f>
        <v>0</v>
      </c>
      <c r="P39" s="80">
        <f t="shared" si="17"/>
        <v>0</v>
      </c>
      <c r="Q39" s="179">
        <f>+O39*1.025</f>
        <v>0</v>
      </c>
      <c r="R39" s="80">
        <f t="shared" si="18"/>
        <v>0</v>
      </c>
      <c r="S39" s="179">
        <f>+Q39*1.025</f>
        <v>0</v>
      </c>
      <c r="T39" s="80">
        <f t="shared" si="19"/>
        <v>0</v>
      </c>
      <c r="U39" s="179">
        <f>+S39*1.025</f>
        <v>0</v>
      </c>
      <c r="V39" s="80">
        <f t="shared" si="20"/>
        <v>0</v>
      </c>
    </row>
    <row r="40" spans="1:22" ht="12.75" customHeight="1">
      <c r="A40" s="2" t="s">
        <v>375</v>
      </c>
      <c r="B40" s="35"/>
      <c r="C40" s="179">
        <f>C36*0.124</f>
        <v>5444.5919999999996</v>
      </c>
      <c r="D40" s="80">
        <f t="shared" si="11"/>
        <v>6.0453632752801726E-3</v>
      </c>
      <c r="E40" s="179"/>
      <c r="F40" s="80">
        <f t="shared" si="12"/>
        <v>0</v>
      </c>
      <c r="G40" s="179">
        <f>G36*0.124</f>
        <v>0</v>
      </c>
      <c r="H40" s="80">
        <f t="shared" si="13"/>
        <v>0</v>
      </c>
      <c r="I40" s="179">
        <f>I36*0.124</f>
        <v>0</v>
      </c>
      <c r="J40" s="80">
        <f t="shared" si="14"/>
        <v>0</v>
      </c>
      <c r="K40" s="179">
        <f>K36*0.124</f>
        <v>0</v>
      </c>
      <c r="L40" s="80">
        <f t="shared" si="15"/>
        <v>0</v>
      </c>
      <c r="M40" s="179">
        <f>M36*0.124</f>
        <v>0</v>
      </c>
      <c r="N40" s="80">
        <f t="shared" si="16"/>
        <v>0</v>
      </c>
      <c r="O40" s="179">
        <f>O36*0.124</f>
        <v>0</v>
      </c>
      <c r="P40" s="80">
        <f t="shared" si="17"/>
        <v>0</v>
      </c>
      <c r="Q40" s="179">
        <f>Q36*0.124</f>
        <v>0</v>
      </c>
      <c r="R40" s="80">
        <f t="shared" si="18"/>
        <v>0</v>
      </c>
      <c r="S40" s="179">
        <f>S36*0.124</f>
        <v>0</v>
      </c>
      <c r="T40" s="80">
        <f t="shared" si="19"/>
        <v>0</v>
      </c>
      <c r="U40" s="179">
        <f>U36*0.124</f>
        <v>0</v>
      </c>
      <c r="V40" s="80">
        <f t="shared" si="20"/>
        <v>0</v>
      </c>
    </row>
    <row r="41" spans="1:22" ht="12.75" customHeight="1">
      <c r="A41" s="2" t="s">
        <v>376</v>
      </c>
      <c r="B41" s="35"/>
      <c r="C41" s="179">
        <f>C37*0.124</f>
        <v>31539.896000000001</v>
      </c>
      <c r="D41" s="80">
        <f t="shared" si="11"/>
        <v>3.5020094983160548E-2</v>
      </c>
      <c r="E41" s="179"/>
      <c r="F41" s="80">
        <f t="shared" si="12"/>
        <v>0</v>
      </c>
      <c r="G41" s="179">
        <f>G37*0.124</f>
        <v>0</v>
      </c>
      <c r="H41" s="80">
        <f t="shared" si="13"/>
        <v>0</v>
      </c>
      <c r="I41" s="179">
        <f>I37*0.124</f>
        <v>0</v>
      </c>
      <c r="J41" s="80">
        <f t="shared" si="14"/>
        <v>0</v>
      </c>
      <c r="K41" s="179">
        <f>K37*0.124</f>
        <v>0</v>
      </c>
      <c r="L41" s="80">
        <f t="shared" si="15"/>
        <v>0</v>
      </c>
      <c r="M41" s="179">
        <f>M37*0.124</f>
        <v>0</v>
      </c>
      <c r="N41" s="80">
        <f t="shared" si="16"/>
        <v>0</v>
      </c>
      <c r="O41" s="179">
        <f>O37*0.124</f>
        <v>0</v>
      </c>
      <c r="P41" s="80">
        <f t="shared" si="17"/>
        <v>0</v>
      </c>
      <c r="Q41" s="179">
        <f>Q37*0.124</f>
        <v>0</v>
      </c>
      <c r="R41" s="80">
        <f t="shared" si="18"/>
        <v>0</v>
      </c>
      <c r="S41" s="179">
        <f>S37*0.124</f>
        <v>0</v>
      </c>
      <c r="T41" s="80">
        <f t="shared" si="19"/>
        <v>0</v>
      </c>
      <c r="U41" s="179">
        <f>U37*0.124</f>
        <v>0</v>
      </c>
      <c r="V41" s="80">
        <f t="shared" si="20"/>
        <v>0</v>
      </c>
    </row>
    <row r="42" spans="1:22" ht="12.75" customHeight="1">
      <c r="A42" s="2" t="s">
        <v>377</v>
      </c>
      <c r="B42" s="35"/>
      <c r="C42" s="179"/>
      <c r="D42" s="80">
        <f t="shared" si="11"/>
        <v>0</v>
      </c>
      <c r="E42" s="179"/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79"/>
      <c r="D43" s="80">
        <f t="shared" si="11"/>
        <v>0</v>
      </c>
      <c r="E43" s="179"/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79"/>
      <c r="D44" s="80">
        <f t="shared" si="11"/>
        <v>0</v>
      </c>
      <c r="E44" s="179"/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82">
        <f>SUM(C36:C39)*0.094</f>
        <v>30526.03</v>
      </c>
      <c r="D45" s="80">
        <f t="shared" si="11"/>
        <v>3.3894356216609217E-2</v>
      </c>
      <c r="E45" s="182"/>
      <c r="F45" s="80">
        <f t="shared" si="12"/>
        <v>0</v>
      </c>
      <c r="G45" s="182">
        <f>SUM(G36:G39)*0.094</f>
        <v>0</v>
      </c>
      <c r="H45" s="80">
        <f t="shared" si="13"/>
        <v>0</v>
      </c>
      <c r="I45" s="182">
        <f>SUM(I36:I39)*0.094</f>
        <v>0</v>
      </c>
      <c r="J45" s="80">
        <f t="shared" si="14"/>
        <v>0</v>
      </c>
      <c r="K45" s="182">
        <f>SUM(K36:K39)*0.094</f>
        <v>0</v>
      </c>
      <c r="L45" s="80">
        <f t="shared" si="15"/>
        <v>0</v>
      </c>
      <c r="M45" s="182">
        <f>SUM(M36:M39)*0.094</f>
        <v>0</v>
      </c>
      <c r="N45" s="80">
        <f t="shared" si="16"/>
        <v>0</v>
      </c>
      <c r="O45" s="182">
        <f>SUM(O36:O39)*0.094</f>
        <v>0</v>
      </c>
      <c r="P45" s="80">
        <f t="shared" si="17"/>
        <v>0</v>
      </c>
      <c r="Q45" s="182">
        <f>SUM(Q36:Q39)*0.094</f>
        <v>0</v>
      </c>
      <c r="R45" s="80">
        <f t="shared" si="18"/>
        <v>0</v>
      </c>
      <c r="S45" s="182">
        <f>SUM(S36:S39)*0.094</f>
        <v>0</v>
      </c>
      <c r="T45" s="80">
        <f t="shared" si="19"/>
        <v>0</v>
      </c>
      <c r="U45" s="182">
        <f>SUM(U36:U39)*0.094</f>
        <v>0</v>
      </c>
      <c r="V45" s="80">
        <f t="shared" si="20"/>
        <v>0</v>
      </c>
    </row>
    <row r="46" spans="1:22" ht="12.75" customHeight="1">
      <c r="A46" s="1" t="s">
        <v>381</v>
      </c>
      <c r="B46" s="53"/>
      <c r="C46" s="82">
        <f>SUM(C36:C45)</f>
        <v>392255.51800000004</v>
      </c>
      <c r="D46" s="83">
        <f t="shared" si="11"/>
        <v>0.43553807209855233</v>
      </c>
      <c r="E46" s="82">
        <f>SUM(E36:E45)</f>
        <v>0</v>
      </c>
      <c r="F46" s="83">
        <f t="shared" si="12"/>
        <v>0</v>
      </c>
      <c r="G46" s="82">
        <f>SUM(G36:G45)</f>
        <v>0</v>
      </c>
      <c r="H46" s="83">
        <f t="shared" si="13"/>
        <v>0</v>
      </c>
      <c r="I46" s="82">
        <f>SUM(I36:I45)</f>
        <v>0</v>
      </c>
      <c r="J46" s="83">
        <f t="shared" si="14"/>
        <v>0</v>
      </c>
      <c r="K46" s="82">
        <f>SUM(K36:K45)</f>
        <v>0</v>
      </c>
      <c r="L46" s="83">
        <f t="shared" si="15"/>
        <v>0</v>
      </c>
      <c r="M46" s="82">
        <f>SUM(M36:M45)</f>
        <v>0</v>
      </c>
      <c r="N46" s="83">
        <f t="shared" si="16"/>
        <v>0</v>
      </c>
      <c r="O46" s="82">
        <f>SUM(O36:O45)</f>
        <v>0</v>
      </c>
      <c r="P46" s="83">
        <f t="shared" si="17"/>
        <v>0</v>
      </c>
      <c r="Q46" s="82">
        <f>SUM(Q36:Q45)</f>
        <v>0</v>
      </c>
      <c r="R46" s="83">
        <f t="shared" si="18"/>
        <v>0</v>
      </c>
      <c r="S46" s="82">
        <f>SUM(S36:S45)</f>
        <v>0</v>
      </c>
      <c r="T46" s="83">
        <f t="shared" si="19"/>
        <v>0</v>
      </c>
      <c r="U46" s="82">
        <f>SUM(U36:U45)</f>
        <v>0</v>
      </c>
      <c r="V46" s="83">
        <f t="shared" si="20"/>
        <v>0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1">IFERROR(C52/C$28,0)</f>
        <v>0</v>
      </c>
      <c r="E52" s="179">
        <v>0</v>
      </c>
      <c r="F52" s="80">
        <f t="shared" ref="F52:F104" si="22">IFERROR(E52/E$28,0)</f>
        <v>0</v>
      </c>
      <c r="G52" s="179">
        <v>0</v>
      </c>
      <c r="H52" s="80">
        <f t="shared" ref="H52:H104" si="23">IFERROR(G52/G$28,0)</f>
        <v>0</v>
      </c>
      <c r="I52" s="179">
        <v>0</v>
      </c>
      <c r="J52" s="80">
        <f t="shared" ref="J52:J104" si="24">IFERROR(I52/I$28,0)</f>
        <v>0</v>
      </c>
      <c r="K52" s="179">
        <v>0</v>
      </c>
      <c r="L52" s="80">
        <f t="shared" ref="L52:L104" si="25">IFERROR(K52/K$28,0)</f>
        <v>0</v>
      </c>
      <c r="M52" s="179">
        <v>0</v>
      </c>
      <c r="N52" s="80">
        <f t="shared" ref="N52:N104" si="26">IFERROR(M52/M$28,0)</f>
        <v>0</v>
      </c>
      <c r="O52" s="179">
        <v>0</v>
      </c>
      <c r="P52" s="80">
        <f t="shared" ref="P52:P104" si="27">IFERROR(O52/O$28,0)</f>
        <v>0</v>
      </c>
      <c r="Q52" s="179">
        <v>0</v>
      </c>
      <c r="R52" s="80">
        <f t="shared" ref="R52:R104" si="28">IFERROR(Q52/Q$28,0)</f>
        <v>0</v>
      </c>
      <c r="S52" s="179">
        <v>0</v>
      </c>
      <c r="T52" s="80">
        <f t="shared" ref="T52:T104" si="29">IFERROR(S52/S$28,0)</f>
        <v>0</v>
      </c>
      <c r="U52" s="179">
        <v>0</v>
      </c>
      <c r="V52" s="80">
        <f t="shared" ref="V52:V105" si="30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1"/>
        <v>0</v>
      </c>
      <c r="E53" s="179">
        <v>0</v>
      </c>
      <c r="F53" s="80">
        <f t="shared" si="22"/>
        <v>0</v>
      </c>
      <c r="G53" s="179">
        <v>0</v>
      </c>
      <c r="H53" s="80">
        <f t="shared" si="23"/>
        <v>0</v>
      </c>
      <c r="I53" s="179">
        <v>0</v>
      </c>
      <c r="J53" s="80">
        <f t="shared" si="24"/>
        <v>0</v>
      </c>
      <c r="K53" s="179">
        <v>0</v>
      </c>
      <c r="L53" s="80">
        <f t="shared" si="25"/>
        <v>0</v>
      </c>
      <c r="M53" s="179">
        <v>0</v>
      </c>
      <c r="N53" s="80">
        <f t="shared" si="26"/>
        <v>0</v>
      </c>
      <c r="O53" s="179">
        <v>0</v>
      </c>
      <c r="P53" s="80">
        <f t="shared" si="27"/>
        <v>0</v>
      </c>
      <c r="Q53" s="179">
        <v>0</v>
      </c>
      <c r="R53" s="80">
        <f t="shared" si="28"/>
        <v>0</v>
      </c>
      <c r="S53" s="179">
        <v>0</v>
      </c>
      <c r="T53" s="80">
        <f t="shared" si="29"/>
        <v>0</v>
      </c>
      <c r="U53" s="179">
        <v>0</v>
      </c>
      <c r="V53" s="80">
        <f t="shared" si="30"/>
        <v>0</v>
      </c>
      <c r="X53" s="200"/>
    </row>
    <row r="54" spans="1:24" ht="12.75" customHeight="1">
      <c r="A54" s="2" t="s">
        <v>385</v>
      </c>
      <c r="B54" s="35"/>
      <c r="C54" s="179">
        <v>630.43595999999991</v>
      </c>
      <c r="D54" s="80">
        <f t="shared" si="21"/>
        <v>6.9999999999999999E-4</v>
      </c>
      <c r="E54" s="179">
        <v>0</v>
      </c>
      <c r="F54" s="80">
        <f t="shared" si="22"/>
        <v>0</v>
      </c>
      <c r="G54" s="179">
        <v>0</v>
      </c>
      <c r="H54" s="80">
        <f t="shared" si="23"/>
        <v>0</v>
      </c>
      <c r="I54" s="179">
        <v>0</v>
      </c>
      <c r="J54" s="80">
        <f t="shared" si="24"/>
        <v>0</v>
      </c>
      <c r="K54" s="179">
        <v>0</v>
      </c>
      <c r="L54" s="80">
        <f t="shared" si="25"/>
        <v>0</v>
      </c>
      <c r="M54" s="179">
        <v>0</v>
      </c>
      <c r="N54" s="80">
        <f t="shared" si="26"/>
        <v>0</v>
      </c>
      <c r="O54" s="179">
        <v>0</v>
      </c>
      <c r="P54" s="80">
        <f t="shared" si="27"/>
        <v>0</v>
      </c>
      <c r="Q54" s="179">
        <v>0</v>
      </c>
      <c r="R54" s="80">
        <f t="shared" si="28"/>
        <v>0</v>
      </c>
      <c r="S54" s="179">
        <v>0</v>
      </c>
      <c r="T54" s="80">
        <f t="shared" si="29"/>
        <v>0</v>
      </c>
      <c r="U54" s="179">
        <v>0</v>
      </c>
      <c r="V54" s="80">
        <f t="shared" si="30"/>
        <v>0</v>
      </c>
      <c r="X54" s="200"/>
    </row>
    <row r="55" spans="1:24" ht="12.75" customHeight="1">
      <c r="A55" s="2" t="s">
        <v>386</v>
      </c>
      <c r="B55" s="35"/>
      <c r="C55" s="179">
        <v>90062.28</v>
      </c>
      <c r="D55" s="80">
        <f t="shared" si="21"/>
        <v>0.1</v>
      </c>
      <c r="E55" s="179">
        <v>0</v>
      </c>
      <c r="F55" s="80">
        <f t="shared" si="22"/>
        <v>0</v>
      </c>
      <c r="G55" s="179">
        <v>0</v>
      </c>
      <c r="H55" s="80">
        <f t="shared" si="23"/>
        <v>0</v>
      </c>
      <c r="I55" s="179">
        <v>0</v>
      </c>
      <c r="J55" s="80">
        <f t="shared" si="24"/>
        <v>0</v>
      </c>
      <c r="K55" s="179">
        <v>0</v>
      </c>
      <c r="L55" s="80">
        <f t="shared" si="25"/>
        <v>0</v>
      </c>
      <c r="M55" s="179">
        <v>0</v>
      </c>
      <c r="N55" s="80">
        <f t="shared" si="26"/>
        <v>0</v>
      </c>
      <c r="O55" s="179">
        <v>0</v>
      </c>
      <c r="P55" s="80">
        <f t="shared" si="27"/>
        <v>0</v>
      </c>
      <c r="Q55" s="179">
        <v>0</v>
      </c>
      <c r="R55" s="80">
        <f t="shared" si="28"/>
        <v>0</v>
      </c>
      <c r="S55" s="179">
        <v>0</v>
      </c>
      <c r="T55" s="80">
        <f t="shared" si="29"/>
        <v>0</v>
      </c>
      <c r="U55" s="179">
        <v>0</v>
      </c>
      <c r="V55" s="80">
        <f t="shared" si="30"/>
        <v>0</v>
      </c>
      <c r="X55" s="200"/>
    </row>
    <row r="56" spans="1:24" ht="12.75" customHeight="1">
      <c r="A56" s="2" t="s">
        <v>387</v>
      </c>
      <c r="B56" s="35"/>
      <c r="C56" s="179">
        <v>459.31762800000001</v>
      </c>
      <c r="D56" s="80">
        <f t="shared" si="21"/>
        <v>5.1000000000000004E-4</v>
      </c>
      <c r="E56" s="179">
        <v>0</v>
      </c>
      <c r="F56" s="80">
        <f t="shared" si="22"/>
        <v>0</v>
      </c>
      <c r="G56" s="179">
        <v>0</v>
      </c>
      <c r="H56" s="80">
        <f t="shared" si="23"/>
        <v>0</v>
      </c>
      <c r="I56" s="179">
        <v>0</v>
      </c>
      <c r="J56" s="80">
        <f t="shared" si="24"/>
        <v>0</v>
      </c>
      <c r="K56" s="179">
        <v>0</v>
      </c>
      <c r="L56" s="80">
        <f t="shared" si="25"/>
        <v>0</v>
      </c>
      <c r="M56" s="179">
        <v>0</v>
      </c>
      <c r="N56" s="80">
        <f t="shared" si="26"/>
        <v>0</v>
      </c>
      <c r="O56" s="179">
        <v>0</v>
      </c>
      <c r="P56" s="80">
        <f t="shared" si="27"/>
        <v>0</v>
      </c>
      <c r="Q56" s="179">
        <v>0</v>
      </c>
      <c r="R56" s="80">
        <f t="shared" si="28"/>
        <v>0</v>
      </c>
      <c r="S56" s="179">
        <v>0</v>
      </c>
      <c r="T56" s="80">
        <f t="shared" si="29"/>
        <v>0</v>
      </c>
      <c r="U56" s="179">
        <v>0</v>
      </c>
      <c r="V56" s="80">
        <f t="shared" si="30"/>
        <v>0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1"/>
        <v>0</v>
      </c>
      <c r="E57" s="179">
        <v>0</v>
      </c>
      <c r="F57" s="80">
        <f t="shared" si="22"/>
        <v>0</v>
      </c>
      <c r="G57" s="179">
        <v>0</v>
      </c>
      <c r="H57" s="80">
        <f t="shared" si="23"/>
        <v>0</v>
      </c>
      <c r="I57" s="179">
        <v>0</v>
      </c>
      <c r="J57" s="80">
        <f t="shared" si="24"/>
        <v>0</v>
      </c>
      <c r="K57" s="179">
        <v>0</v>
      </c>
      <c r="L57" s="80">
        <f t="shared" si="25"/>
        <v>0</v>
      </c>
      <c r="M57" s="179">
        <v>0</v>
      </c>
      <c r="N57" s="80">
        <f t="shared" si="26"/>
        <v>0</v>
      </c>
      <c r="O57" s="179">
        <v>0</v>
      </c>
      <c r="P57" s="80">
        <f t="shared" si="27"/>
        <v>0</v>
      </c>
      <c r="Q57" s="179">
        <v>0</v>
      </c>
      <c r="R57" s="80">
        <f t="shared" si="28"/>
        <v>0</v>
      </c>
      <c r="S57" s="179">
        <v>0</v>
      </c>
      <c r="T57" s="80">
        <f t="shared" si="29"/>
        <v>0</v>
      </c>
      <c r="U57" s="179">
        <v>0</v>
      </c>
      <c r="V57" s="80">
        <f t="shared" si="30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1"/>
        <v>0</v>
      </c>
      <c r="E58" s="179">
        <v>0</v>
      </c>
      <c r="F58" s="80">
        <f t="shared" si="22"/>
        <v>0</v>
      </c>
      <c r="G58" s="179">
        <v>0</v>
      </c>
      <c r="H58" s="80">
        <f t="shared" si="23"/>
        <v>0</v>
      </c>
      <c r="I58" s="179">
        <v>0</v>
      </c>
      <c r="J58" s="80">
        <f t="shared" si="24"/>
        <v>0</v>
      </c>
      <c r="K58" s="179">
        <v>0</v>
      </c>
      <c r="L58" s="80">
        <f t="shared" si="25"/>
        <v>0</v>
      </c>
      <c r="M58" s="179">
        <v>0</v>
      </c>
      <c r="N58" s="80">
        <f t="shared" si="26"/>
        <v>0</v>
      </c>
      <c r="O58" s="179">
        <v>0</v>
      </c>
      <c r="P58" s="80">
        <f t="shared" si="27"/>
        <v>0</v>
      </c>
      <c r="Q58" s="179">
        <v>0</v>
      </c>
      <c r="R58" s="80">
        <f t="shared" si="28"/>
        <v>0</v>
      </c>
      <c r="S58" s="179">
        <v>0</v>
      </c>
      <c r="T58" s="80">
        <f t="shared" si="29"/>
        <v>0</v>
      </c>
      <c r="U58" s="179">
        <v>0</v>
      </c>
      <c r="V58" s="80">
        <f t="shared" si="30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1"/>
        <v>0</v>
      </c>
      <c r="E59" s="179">
        <v>0</v>
      </c>
      <c r="F59" s="80">
        <f t="shared" si="22"/>
        <v>0</v>
      </c>
      <c r="G59" s="179">
        <v>0</v>
      </c>
      <c r="H59" s="80">
        <f t="shared" si="23"/>
        <v>0</v>
      </c>
      <c r="I59" s="179">
        <v>0</v>
      </c>
      <c r="J59" s="80">
        <f t="shared" si="24"/>
        <v>0</v>
      </c>
      <c r="K59" s="179">
        <v>0</v>
      </c>
      <c r="L59" s="80">
        <f t="shared" si="25"/>
        <v>0</v>
      </c>
      <c r="M59" s="179">
        <v>0</v>
      </c>
      <c r="N59" s="80">
        <f t="shared" si="26"/>
        <v>0</v>
      </c>
      <c r="O59" s="179">
        <v>0</v>
      </c>
      <c r="P59" s="80">
        <f t="shared" si="27"/>
        <v>0</v>
      </c>
      <c r="Q59" s="179">
        <v>0</v>
      </c>
      <c r="R59" s="80">
        <f t="shared" si="28"/>
        <v>0</v>
      </c>
      <c r="S59" s="179">
        <v>0</v>
      </c>
      <c r="T59" s="80">
        <f t="shared" si="29"/>
        <v>0</v>
      </c>
      <c r="U59" s="179">
        <v>0</v>
      </c>
      <c r="V59" s="80">
        <f t="shared" si="30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1"/>
        <v>0</v>
      </c>
      <c r="E60" s="179">
        <v>0</v>
      </c>
      <c r="F60" s="80">
        <f t="shared" si="22"/>
        <v>0</v>
      </c>
      <c r="G60" s="179">
        <v>0</v>
      </c>
      <c r="H60" s="80">
        <f t="shared" si="23"/>
        <v>0</v>
      </c>
      <c r="I60" s="179">
        <v>0</v>
      </c>
      <c r="J60" s="80">
        <f t="shared" si="24"/>
        <v>0</v>
      </c>
      <c r="K60" s="179">
        <v>0</v>
      </c>
      <c r="L60" s="80">
        <f t="shared" si="25"/>
        <v>0</v>
      </c>
      <c r="M60" s="179">
        <v>0</v>
      </c>
      <c r="N60" s="80">
        <f t="shared" si="26"/>
        <v>0</v>
      </c>
      <c r="O60" s="179">
        <v>0</v>
      </c>
      <c r="P60" s="80">
        <f t="shared" si="27"/>
        <v>0</v>
      </c>
      <c r="Q60" s="179">
        <v>0</v>
      </c>
      <c r="R60" s="80">
        <f t="shared" si="28"/>
        <v>0</v>
      </c>
      <c r="S60" s="179">
        <v>0</v>
      </c>
      <c r="T60" s="80">
        <f t="shared" si="29"/>
        <v>0</v>
      </c>
      <c r="U60" s="179">
        <v>0</v>
      </c>
      <c r="V60" s="80">
        <f t="shared" si="30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1"/>
        <v>0</v>
      </c>
      <c r="E61" s="179">
        <v>0</v>
      </c>
      <c r="F61" s="80">
        <f t="shared" si="22"/>
        <v>0</v>
      </c>
      <c r="G61" s="179">
        <v>0</v>
      </c>
      <c r="H61" s="80">
        <f t="shared" si="23"/>
        <v>0</v>
      </c>
      <c r="I61" s="179">
        <v>0</v>
      </c>
      <c r="J61" s="80">
        <f t="shared" si="24"/>
        <v>0</v>
      </c>
      <c r="K61" s="179">
        <v>0</v>
      </c>
      <c r="L61" s="80">
        <f t="shared" si="25"/>
        <v>0</v>
      </c>
      <c r="M61" s="179">
        <v>0</v>
      </c>
      <c r="N61" s="80">
        <f t="shared" si="26"/>
        <v>0</v>
      </c>
      <c r="O61" s="179">
        <v>0</v>
      </c>
      <c r="P61" s="80">
        <f t="shared" si="27"/>
        <v>0</v>
      </c>
      <c r="Q61" s="179">
        <v>0</v>
      </c>
      <c r="R61" s="80">
        <f t="shared" si="28"/>
        <v>0</v>
      </c>
      <c r="S61" s="179">
        <v>0</v>
      </c>
      <c r="T61" s="80">
        <f t="shared" si="29"/>
        <v>0</v>
      </c>
      <c r="U61" s="179">
        <v>0</v>
      </c>
      <c r="V61" s="80">
        <f t="shared" si="30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1"/>
        <v>0</v>
      </c>
      <c r="E62" s="179">
        <v>0</v>
      </c>
      <c r="F62" s="80">
        <f t="shared" si="22"/>
        <v>0</v>
      </c>
      <c r="G62" s="179">
        <v>0</v>
      </c>
      <c r="H62" s="80">
        <f t="shared" si="23"/>
        <v>0</v>
      </c>
      <c r="I62" s="179">
        <v>0</v>
      </c>
      <c r="J62" s="80">
        <f t="shared" si="24"/>
        <v>0</v>
      </c>
      <c r="K62" s="179">
        <v>0</v>
      </c>
      <c r="L62" s="80">
        <f t="shared" si="25"/>
        <v>0</v>
      </c>
      <c r="M62" s="179">
        <v>0</v>
      </c>
      <c r="N62" s="80">
        <f t="shared" si="26"/>
        <v>0</v>
      </c>
      <c r="O62" s="179">
        <v>0</v>
      </c>
      <c r="P62" s="80">
        <f t="shared" si="27"/>
        <v>0</v>
      </c>
      <c r="Q62" s="179">
        <v>0</v>
      </c>
      <c r="R62" s="80">
        <f t="shared" si="28"/>
        <v>0</v>
      </c>
      <c r="S62" s="179">
        <v>0</v>
      </c>
      <c r="T62" s="80">
        <f t="shared" si="29"/>
        <v>0</v>
      </c>
      <c r="U62" s="179">
        <v>0</v>
      </c>
      <c r="V62" s="80">
        <f t="shared" si="30"/>
        <v>0</v>
      </c>
      <c r="X62" s="200"/>
    </row>
    <row r="63" spans="1:24" ht="12.75" customHeight="1">
      <c r="A63" s="2" t="s">
        <v>394</v>
      </c>
      <c r="B63" s="35"/>
      <c r="C63" s="179">
        <v>12358.738327114055</v>
      </c>
      <c r="D63" s="80">
        <f t="shared" si="21"/>
        <v>1.3722435549171148E-2</v>
      </c>
      <c r="E63" s="179">
        <v>0</v>
      </c>
      <c r="F63" s="80">
        <f t="shared" si="22"/>
        <v>0</v>
      </c>
      <c r="G63" s="179">
        <v>0</v>
      </c>
      <c r="H63" s="80">
        <f t="shared" si="23"/>
        <v>0</v>
      </c>
      <c r="I63" s="179">
        <v>0</v>
      </c>
      <c r="J63" s="80">
        <f t="shared" si="24"/>
        <v>0</v>
      </c>
      <c r="K63" s="179">
        <v>0</v>
      </c>
      <c r="L63" s="80">
        <f t="shared" si="25"/>
        <v>0</v>
      </c>
      <c r="M63" s="179">
        <v>0</v>
      </c>
      <c r="N63" s="80">
        <f t="shared" si="26"/>
        <v>0</v>
      </c>
      <c r="O63" s="179">
        <v>0</v>
      </c>
      <c r="P63" s="80">
        <f t="shared" si="27"/>
        <v>0</v>
      </c>
      <c r="Q63" s="179">
        <v>0</v>
      </c>
      <c r="R63" s="80">
        <f t="shared" si="28"/>
        <v>0</v>
      </c>
      <c r="S63" s="179">
        <v>0</v>
      </c>
      <c r="T63" s="80">
        <f t="shared" si="29"/>
        <v>0</v>
      </c>
      <c r="U63" s="179">
        <v>0</v>
      </c>
      <c r="V63" s="80">
        <f t="shared" si="30"/>
        <v>0</v>
      </c>
      <c r="X63" s="200"/>
    </row>
    <row r="64" spans="1:24" ht="12.75" customHeight="1">
      <c r="A64" s="2" t="s">
        <v>395</v>
      </c>
      <c r="B64" s="35"/>
      <c r="C64" s="179">
        <v>4322.9894399999985</v>
      </c>
      <c r="D64" s="80">
        <f t="shared" si="21"/>
        <v>4.7999999999999987E-3</v>
      </c>
      <c r="E64" s="179">
        <v>0</v>
      </c>
      <c r="F64" s="80">
        <f t="shared" si="22"/>
        <v>0</v>
      </c>
      <c r="G64" s="179">
        <v>0</v>
      </c>
      <c r="H64" s="80">
        <f t="shared" si="23"/>
        <v>0</v>
      </c>
      <c r="I64" s="179">
        <v>0</v>
      </c>
      <c r="J64" s="80">
        <f t="shared" si="24"/>
        <v>0</v>
      </c>
      <c r="K64" s="179">
        <v>0</v>
      </c>
      <c r="L64" s="80">
        <f t="shared" si="25"/>
        <v>0</v>
      </c>
      <c r="M64" s="179">
        <v>0</v>
      </c>
      <c r="N64" s="80">
        <f t="shared" si="26"/>
        <v>0</v>
      </c>
      <c r="O64" s="179">
        <v>0</v>
      </c>
      <c r="P64" s="80">
        <f t="shared" si="27"/>
        <v>0</v>
      </c>
      <c r="Q64" s="179">
        <v>0</v>
      </c>
      <c r="R64" s="80">
        <f t="shared" si="28"/>
        <v>0</v>
      </c>
      <c r="S64" s="179">
        <v>0</v>
      </c>
      <c r="T64" s="80">
        <f t="shared" si="29"/>
        <v>0</v>
      </c>
      <c r="U64" s="179">
        <v>0</v>
      </c>
      <c r="V64" s="80">
        <f t="shared" si="30"/>
        <v>0</v>
      </c>
      <c r="X64" s="200"/>
    </row>
    <row r="65" spans="1:24" ht="12.75" customHeight="1">
      <c r="A65" s="2" t="s">
        <v>396</v>
      </c>
      <c r="B65" s="35"/>
      <c r="C65" s="179">
        <v>450.31139999999994</v>
      </c>
      <c r="D65" s="80">
        <f t="shared" si="21"/>
        <v>5.0000000000000001E-4</v>
      </c>
      <c r="E65" s="179">
        <v>0</v>
      </c>
      <c r="F65" s="80">
        <f t="shared" si="22"/>
        <v>0</v>
      </c>
      <c r="G65" s="179">
        <v>0</v>
      </c>
      <c r="H65" s="80">
        <f t="shared" si="23"/>
        <v>0</v>
      </c>
      <c r="I65" s="179">
        <v>0</v>
      </c>
      <c r="J65" s="80">
        <f t="shared" si="24"/>
        <v>0</v>
      </c>
      <c r="K65" s="179">
        <v>0</v>
      </c>
      <c r="L65" s="80">
        <f t="shared" si="25"/>
        <v>0</v>
      </c>
      <c r="M65" s="179">
        <v>0</v>
      </c>
      <c r="N65" s="80">
        <f t="shared" si="26"/>
        <v>0</v>
      </c>
      <c r="O65" s="179">
        <v>0</v>
      </c>
      <c r="P65" s="80">
        <f t="shared" si="27"/>
        <v>0</v>
      </c>
      <c r="Q65" s="179">
        <v>0</v>
      </c>
      <c r="R65" s="80">
        <f t="shared" si="28"/>
        <v>0</v>
      </c>
      <c r="S65" s="179">
        <v>0</v>
      </c>
      <c r="T65" s="80">
        <f t="shared" si="29"/>
        <v>0</v>
      </c>
      <c r="U65" s="179">
        <v>0</v>
      </c>
      <c r="V65" s="80">
        <f t="shared" si="30"/>
        <v>0</v>
      </c>
      <c r="X65" s="200"/>
    </row>
    <row r="66" spans="1:24" ht="12.75" customHeight="1">
      <c r="A66" s="2" t="s">
        <v>397</v>
      </c>
      <c r="B66" s="35"/>
      <c r="C66" s="179">
        <v>2521.7438399999996</v>
      </c>
      <c r="D66" s="80">
        <f t="shared" si="21"/>
        <v>2.8E-3</v>
      </c>
      <c r="E66" s="179">
        <v>0</v>
      </c>
      <c r="F66" s="80">
        <f t="shared" si="22"/>
        <v>0</v>
      </c>
      <c r="G66" s="179">
        <v>0</v>
      </c>
      <c r="H66" s="80">
        <f t="shared" si="23"/>
        <v>0</v>
      </c>
      <c r="I66" s="179">
        <v>0</v>
      </c>
      <c r="J66" s="80">
        <f t="shared" si="24"/>
        <v>0</v>
      </c>
      <c r="K66" s="179">
        <v>0</v>
      </c>
      <c r="L66" s="80">
        <f t="shared" si="25"/>
        <v>0</v>
      </c>
      <c r="M66" s="179">
        <v>0</v>
      </c>
      <c r="N66" s="80">
        <f t="shared" si="26"/>
        <v>0</v>
      </c>
      <c r="O66" s="179">
        <v>0</v>
      </c>
      <c r="P66" s="80">
        <f t="shared" si="27"/>
        <v>0</v>
      </c>
      <c r="Q66" s="179">
        <v>0</v>
      </c>
      <c r="R66" s="80">
        <f t="shared" si="28"/>
        <v>0</v>
      </c>
      <c r="S66" s="179">
        <v>0</v>
      </c>
      <c r="T66" s="80">
        <f t="shared" si="29"/>
        <v>0</v>
      </c>
      <c r="U66" s="179">
        <v>0</v>
      </c>
      <c r="V66" s="80">
        <f t="shared" si="30"/>
        <v>0</v>
      </c>
      <c r="X66" s="200"/>
    </row>
    <row r="67" spans="1:24" ht="12.75" customHeight="1">
      <c r="A67" s="2" t="s">
        <v>398</v>
      </c>
      <c r="B67" s="35"/>
      <c r="C67" s="179">
        <v>13509.341999999997</v>
      </c>
      <c r="D67" s="80">
        <f t="shared" si="21"/>
        <v>1.4999999999999998E-2</v>
      </c>
      <c r="E67" s="179">
        <v>0</v>
      </c>
      <c r="F67" s="80">
        <f t="shared" si="22"/>
        <v>0</v>
      </c>
      <c r="G67" s="179">
        <v>0</v>
      </c>
      <c r="H67" s="80">
        <f t="shared" si="23"/>
        <v>0</v>
      </c>
      <c r="I67" s="179">
        <v>0</v>
      </c>
      <c r="J67" s="80">
        <f t="shared" si="24"/>
        <v>0</v>
      </c>
      <c r="K67" s="179">
        <v>0</v>
      </c>
      <c r="L67" s="80">
        <f t="shared" si="25"/>
        <v>0</v>
      </c>
      <c r="M67" s="179">
        <v>0</v>
      </c>
      <c r="N67" s="80">
        <f t="shared" si="26"/>
        <v>0</v>
      </c>
      <c r="O67" s="179">
        <v>0</v>
      </c>
      <c r="P67" s="80">
        <f t="shared" si="27"/>
        <v>0</v>
      </c>
      <c r="Q67" s="179">
        <v>0</v>
      </c>
      <c r="R67" s="80">
        <f t="shared" si="28"/>
        <v>0</v>
      </c>
      <c r="S67" s="179">
        <v>0</v>
      </c>
      <c r="T67" s="80">
        <f t="shared" si="29"/>
        <v>0</v>
      </c>
      <c r="U67" s="179">
        <v>0</v>
      </c>
      <c r="V67" s="80">
        <f t="shared" si="30"/>
        <v>0</v>
      </c>
      <c r="X67" s="200"/>
    </row>
    <row r="68" spans="1:24" ht="12.75" customHeight="1">
      <c r="A68" s="2" t="s">
        <v>399</v>
      </c>
      <c r="B68" s="35"/>
      <c r="C68" s="179">
        <v>1531.0587599999997</v>
      </c>
      <c r="D68" s="80">
        <f t="shared" si="21"/>
        <v>1.6999999999999997E-3</v>
      </c>
      <c r="E68" s="179">
        <v>0</v>
      </c>
      <c r="F68" s="80">
        <f t="shared" si="22"/>
        <v>0</v>
      </c>
      <c r="G68" s="179">
        <v>0</v>
      </c>
      <c r="H68" s="80">
        <f t="shared" si="23"/>
        <v>0</v>
      </c>
      <c r="I68" s="179">
        <v>0</v>
      </c>
      <c r="J68" s="80">
        <f t="shared" si="24"/>
        <v>0</v>
      </c>
      <c r="K68" s="179">
        <v>0</v>
      </c>
      <c r="L68" s="80">
        <f t="shared" si="25"/>
        <v>0</v>
      </c>
      <c r="M68" s="179">
        <v>0</v>
      </c>
      <c r="N68" s="80">
        <f t="shared" si="26"/>
        <v>0</v>
      </c>
      <c r="O68" s="179">
        <v>0</v>
      </c>
      <c r="P68" s="80">
        <f t="shared" si="27"/>
        <v>0</v>
      </c>
      <c r="Q68" s="179">
        <v>0</v>
      </c>
      <c r="R68" s="80">
        <f t="shared" si="28"/>
        <v>0</v>
      </c>
      <c r="S68" s="179">
        <v>0</v>
      </c>
      <c r="T68" s="80">
        <f t="shared" si="29"/>
        <v>0</v>
      </c>
      <c r="U68" s="179">
        <v>0</v>
      </c>
      <c r="V68" s="80">
        <f t="shared" si="30"/>
        <v>0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1"/>
        <v>0</v>
      </c>
      <c r="E69" s="179">
        <v>0</v>
      </c>
      <c r="F69" s="80">
        <f t="shared" si="22"/>
        <v>0</v>
      </c>
      <c r="G69" s="179">
        <v>0</v>
      </c>
      <c r="H69" s="80">
        <f t="shared" si="23"/>
        <v>0</v>
      </c>
      <c r="I69" s="179">
        <v>0</v>
      </c>
      <c r="J69" s="80">
        <f t="shared" si="24"/>
        <v>0</v>
      </c>
      <c r="K69" s="179">
        <v>0</v>
      </c>
      <c r="L69" s="80">
        <f t="shared" si="25"/>
        <v>0</v>
      </c>
      <c r="M69" s="179">
        <v>0</v>
      </c>
      <c r="N69" s="80">
        <f t="shared" si="26"/>
        <v>0</v>
      </c>
      <c r="O69" s="179">
        <v>0</v>
      </c>
      <c r="P69" s="80">
        <f t="shared" si="27"/>
        <v>0</v>
      </c>
      <c r="Q69" s="179">
        <v>0</v>
      </c>
      <c r="R69" s="80">
        <f t="shared" si="28"/>
        <v>0</v>
      </c>
      <c r="S69" s="179">
        <v>0</v>
      </c>
      <c r="T69" s="80">
        <f t="shared" si="29"/>
        <v>0</v>
      </c>
      <c r="U69" s="179">
        <v>0</v>
      </c>
      <c r="V69" s="80">
        <f t="shared" si="30"/>
        <v>0</v>
      </c>
      <c r="X69" s="200"/>
    </row>
    <row r="70" spans="1:24" ht="12.75" customHeight="1">
      <c r="A70" s="2" t="s">
        <v>401</v>
      </c>
      <c r="B70" s="35"/>
      <c r="C70" s="179">
        <v>90.062280000000001</v>
      </c>
      <c r="D70" s="80">
        <f t="shared" si="21"/>
        <v>1E-4</v>
      </c>
      <c r="E70" s="179">
        <v>0</v>
      </c>
      <c r="F70" s="80">
        <f t="shared" si="22"/>
        <v>0</v>
      </c>
      <c r="G70" s="179">
        <v>0</v>
      </c>
      <c r="H70" s="80">
        <f t="shared" si="23"/>
        <v>0</v>
      </c>
      <c r="I70" s="179">
        <v>0</v>
      </c>
      <c r="J70" s="80">
        <f t="shared" si="24"/>
        <v>0</v>
      </c>
      <c r="K70" s="179">
        <v>0</v>
      </c>
      <c r="L70" s="80">
        <f t="shared" si="25"/>
        <v>0</v>
      </c>
      <c r="M70" s="179">
        <v>0</v>
      </c>
      <c r="N70" s="80">
        <f t="shared" si="26"/>
        <v>0</v>
      </c>
      <c r="O70" s="179">
        <v>0</v>
      </c>
      <c r="P70" s="80">
        <f t="shared" si="27"/>
        <v>0</v>
      </c>
      <c r="Q70" s="179">
        <v>0</v>
      </c>
      <c r="R70" s="80">
        <f t="shared" si="28"/>
        <v>0</v>
      </c>
      <c r="S70" s="179">
        <v>0</v>
      </c>
      <c r="T70" s="80">
        <f t="shared" si="29"/>
        <v>0</v>
      </c>
      <c r="U70" s="179">
        <v>0</v>
      </c>
      <c r="V70" s="80">
        <f t="shared" si="30"/>
        <v>0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1"/>
        <v>0</v>
      </c>
      <c r="E71" s="179">
        <v>0</v>
      </c>
      <c r="F71" s="80">
        <f t="shared" si="22"/>
        <v>0</v>
      </c>
      <c r="G71" s="179">
        <v>0</v>
      </c>
      <c r="H71" s="80">
        <f t="shared" si="23"/>
        <v>0</v>
      </c>
      <c r="I71" s="179">
        <v>0</v>
      </c>
      <c r="J71" s="80">
        <f t="shared" si="24"/>
        <v>0</v>
      </c>
      <c r="K71" s="179">
        <v>0</v>
      </c>
      <c r="L71" s="80">
        <f t="shared" si="25"/>
        <v>0</v>
      </c>
      <c r="M71" s="179">
        <v>0</v>
      </c>
      <c r="N71" s="80">
        <f t="shared" si="26"/>
        <v>0</v>
      </c>
      <c r="O71" s="179">
        <v>0</v>
      </c>
      <c r="P71" s="80">
        <f t="shared" si="27"/>
        <v>0</v>
      </c>
      <c r="Q71" s="179">
        <v>0</v>
      </c>
      <c r="R71" s="80">
        <f t="shared" si="28"/>
        <v>0</v>
      </c>
      <c r="S71" s="179">
        <v>0</v>
      </c>
      <c r="T71" s="80">
        <f t="shared" si="29"/>
        <v>0</v>
      </c>
      <c r="U71" s="179">
        <v>0</v>
      </c>
      <c r="V71" s="80">
        <f t="shared" si="30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1"/>
        <v>0</v>
      </c>
      <c r="E72" s="179">
        <v>0</v>
      </c>
      <c r="F72" s="80">
        <f t="shared" si="22"/>
        <v>0</v>
      </c>
      <c r="G72" s="179">
        <v>0</v>
      </c>
      <c r="H72" s="80">
        <f t="shared" si="23"/>
        <v>0</v>
      </c>
      <c r="I72" s="179">
        <v>0</v>
      </c>
      <c r="J72" s="80">
        <f t="shared" si="24"/>
        <v>0</v>
      </c>
      <c r="K72" s="179">
        <v>0</v>
      </c>
      <c r="L72" s="80">
        <f t="shared" si="25"/>
        <v>0</v>
      </c>
      <c r="M72" s="179">
        <v>0</v>
      </c>
      <c r="N72" s="80">
        <f t="shared" si="26"/>
        <v>0</v>
      </c>
      <c r="O72" s="179">
        <v>0</v>
      </c>
      <c r="P72" s="80">
        <f t="shared" si="27"/>
        <v>0</v>
      </c>
      <c r="Q72" s="179">
        <v>0</v>
      </c>
      <c r="R72" s="80">
        <f t="shared" si="28"/>
        <v>0</v>
      </c>
      <c r="S72" s="179">
        <v>0</v>
      </c>
      <c r="T72" s="80">
        <f t="shared" si="29"/>
        <v>0</v>
      </c>
      <c r="U72" s="179">
        <v>0</v>
      </c>
      <c r="V72" s="80">
        <f t="shared" si="30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1"/>
        <v>0</v>
      </c>
      <c r="E73" s="179">
        <v>0</v>
      </c>
      <c r="F73" s="80">
        <f t="shared" si="22"/>
        <v>0</v>
      </c>
      <c r="G73" s="179">
        <v>0</v>
      </c>
      <c r="H73" s="80">
        <f t="shared" si="23"/>
        <v>0</v>
      </c>
      <c r="I73" s="179">
        <v>0</v>
      </c>
      <c r="J73" s="80">
        <f t="shared" si="24"/>
        <v>0</v>
      </c>
      <c r="K73" s="179">
        <v>0</v>
      </c>
      <c r="L73" s="80">
        <f t="shared" si="25"/>
        <v>0</v>
      </c>
      <c r="M73" s="179">
        <v>0</v>
      </c>
      <c r="N73" s="80">
        <f t="shared" si="26"/>
        <v>0</v>
      </c>
      <c r="O73" s="179">
        <v>0</v>
      </c>
      <c r="P73" s="80">
        <f t="shared" si="27"/>
        <v>0</v>
      </c>
      <c r="Q73" s="179">
        <v>0</v>
      </c>
      <c r="R73" s="80">
        <f t="shared" si="28"/>
        <v>0</v>
      </c>
      <c r="S73" s="179">
        <v>0</v>
      </c>
      <c r="T73" s="80">
        <f t="shared" si="29"/>
        <v>0</v>
      </c>
      <c r="U73" s="179">
        <v>0</v>
      </c>
      <c r="V73" s="80">
        <f t="shared" si="30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1"/>
        <v>0</v>
      </c>
      <c r="E74" s="179">
        <v>0</v>
      </c>
      <c r="F74" s="80">
        <f t="shared" si="22"/>
        <v>0</v>
      </c>
      <c r="G74" s="179">
        <v>0</v>
      </c>
      <c r="H74" s="80">
        <f t="shared" si="23"/>
        <v>0</v>
      </c>
      <c r="I74" s="179">
        <v>0</v>
      </c>
      <c r="J74" s="80">
        <f t="shared" si="24"/>
        <v>0</v>
      </c>
      <c r="K74" s="179">
        <v>0</v>
      </c>
      <c r="L74" s="80">
        <f t="shared" si="25"/>
        <v>0</v>
      </c>
      <c r="M74" s="179">
        <v>0</v>
      </c>
      <c r="N74" s="80">
        <f t="shared" si="26"/>
        <v>0</v>
      </c>
      <c r="O74" s="179">
        <v>0</v>
      </c>
      <c r="P74" s="80">
        <f t="shared" si="27"/>
        <v>0</v>
      </c>
      <c r="Q74" s="179">
        <v>0</v>
      </c>
      <c r="R74" s="80">
        <f t="shared" si="28"/>
        <v>0</v>
      </c>
      <c r="S74" s="179">
        <v>0</v>
      </c>
      <c r="T74" s="80">
        <f t="shared" si="29"/>
        <v>0</v>
      </c>
      <c r="U74" s="179">
        <v>0</v>
      </c>
      <c r="V74" s="80">
        <f t="shared" si="30"/>
        <v>0</v>
      </c>
      <c r="X74" s="200"/>
    </row>
    <row r="75" spans="1:24" ht="12.75" customHeight="1">
      <c r="A75" s="2" t="s">
        <v>406</v>
      </c>
      <c r="B75" s="35"/>
      <c r="C75" s="179">
        <v>4503.1139999999996</v>
      </c>
      <c r="D75" s="80">
        <f t="shared" si="21"/>
        <v>5.0000000000000001E-3</v>
      </c>
      <c r="E75" s="179">
        <v>0</v>
      </c>
      <c r="F75" s="80">
        <f t="shared" si="22"/>
        <v>0</v>
      </c>
      <c r="G75" s="179">
        <v>0</v>
      </c>
      <c r="H75" s="80">
        <f t="shared" si="23"/>
        <v>0</v>
      </c>
      <c r="I75" s="179">
        <v>0</v>
      </c>
      <c r="J75" s="80">
        <f t="shared" si="24"/>
        <v>0</v>
      </c>
      <c r="K75" s="179">
        <v>0</v>
      </c>
      <c r="L75" s="80">
        <f t="shared" si="25"/>
        <v>0</v>
      </c>
      <c r="M75" s="179">
        <v>0</v>
      </c>
      <c r="N75" s="80">
        <f t="shared" si="26"/>
        <v>0</v>
      </c>
      <c r="O75" s="179">
        <v>0</v>
      </c>
      <c r="P75" s="80">
        <f t="shared" si="27"/>
        <v>0</v>
      </c>
      <c r="Q75" s="179">
        <v>0</v>
      </c>
      <c r="R75" s="80">
        <f t="shared" si="28"/>
        <v>0</v>
      </c>
      <c r="S75" s="179">
        <v>0</v>
      </c>
      <c r="T75" s="80">
        <f t="shared" si="29"/>
        <v>0</v>
      </c>
      <c r="U75" s="179">
        <v>0</v>
      </c>
      <c r="V75" s="80">
        <f t="shared" si="30"/>
        <v>0</v>
      </c>
      <c r="X75" s="200"/>
    </row>
    <row r="76" spans="1:24" ht="12.75" customHeight="1">
      <c r="A76" s="2" t="s">
        <v>407</v>
      </c>
      <c r="B76" s="35"/>
      <c r="C76" s="179">
        <v>360.24912</v>
      </c>
      <c r="D76" s="80">
        <f t="shared" si="21"/>
        <v>4.0000000000000002E-4</v>
      </c>
      <c r="E76" s="179">
        <v>0</v>
      </c>
      <c r="F76" s="80">
        <f t="shared" si="22"/>
        <v>0</v>
      </c>
      <c r="G76" s="179">
        <v>0</v>
      </c>
      <c r="H76" s="80">
        <f t="shared" si="23"/>
        <v>0</v>
      </c>
      <c r="I76" s="179">
        <v>0</v>
      </c>
      <c r="J76" s="80">
        <f t="shared" si="24"/>
        <v>0</v>
      </c>
      <c r="K76" s="179">
        <v>0</v>
      </c>
      <c r="L76" s="80">
        <f t="shared" si="25"/>
        <v>0</v>
      </c>
      <c r="M76" s="179">
        <v>0</v>
      </c>
      <c r="N76" s="80">
        <f t="shared" si="26"/>
        <v>0</v>
      </c>
      <c r="O76" s="179">
        <v>0</v>
      </c>
      <c r="P76" s="80">
        <f t="shared" si="27"/>
        <v>0</v>
      </c>
      <c r="Q76" s="179">
        <v>0</v>
      </c>
      <c r="R76" s="80">
        <f t="shared" si="28"/>
        <v>0</v>
      </c>
      <c r="S76" s="179">
        <v>0</v>
      </c>
      <c r="T76" s="80">
        <f t="shared" si="29"/>
        <v>0</v>
      </c>
      <c r="U76" s="179">
        <v>0</v>
      </c>
      <c r="V76" s="80">
        <f t="shared" si="30"/>
        <v>0</v>
      </c>
      <c r="X76" s="200"/>
    </row>
    <row r="77" spans="1:24" ht="12.75" customHeight="1">
      <c r="A77" s="2" t="s">
        <v>408</v>
      </c>
      <c r="B77" s="35"/>
      <c r="C77" s="179">
        <v>1170.8096399999997</v>
      </c>
      <c r="D77" s="80">
        <f t="shared" si="21"/>
        <v>1.2999999999999997E-3</v>
      </c>
      <c r="E77" s="179">
        <v>0</v>
      </c>
      <c r="F77" s="80">
        <f t="shared" si="22"/>
        <v>0</v>
      </c>
      <c r="G77" s="179">
        <v>0</v>
      </c>
      <c r="H77" s="80">
        <f t="shared" si="23"/>
        <v>0</v>
      </c>
      <c r="I77" s="179">
        <v>0</v>
      </c>
      <c r="J77" s="80">
        <f t="shared" si="24"/>
        <v>0</v>
      </c>
      <c r="K77" s="179">
        <v>0</v>
      </c>
      <c r="L77" s="80">
        <f t="shared" si="25"/>
        <v>0</v>
      </c>
      <c r="M77" s="179">
        <v>0</v>
      </c>
      <c r="N77" s="80">
        <f t="shared" si="26"/>
        <v>0</v>
      </c>
      <c r="O77" s="179">
        <v>0</v>
      </c>
      <c r="P77" s="80">
        <f t="shared" si="27"/>
        <v>0</v>
      </c>
      <c r="Q77" s="179">
        <v>0</v>
      </c>
      <c r="R77" s="80">
        <f t="shared" si="28"/>
        <v>0</v>
      </c>
      <c r="S77" s="179">
        <v>0</v>
      </c>
      <c r="T77" s="80">
        <f t="shared" si="29"/>
        <v>0</v>
      </c>
      <c r="U77" s="179">
        <v>0</v>
      </c>
      <c r="V77" s="80">
        <f t="shared" si="30"/>
        <v>0</v>
      </c>
      <c r="X77" s="200"/>
    </row>
    <row r="78" spans="1:24" ht="12.75" customHeight="1">
      <c r="A78" s="2" t="s">
        <v>409</v>
      </c>
      <c r="B78" s="35"/>
      <c r="C78" s="179">
        <v>19813.701599999997</v>
      </c>
      <c r="D78" s="80">
        <f t="shared" si="21"/>
        <v>2.1999999999999999E-2</v>
      </c>
      <c r="E78" s="179">
        <v>0</v>
      </c>
      <c r="F78" s="80">
        <f t="shared" si="22"/>
        <v>0</v>
      </c>
      <c r="G78" s="179">
        <v>0</v>
      </c>
      <c r="H78" s="80">
        <f t="shared" si="23"/>
        <v>0</v>
      </c>
      <c r="I78" s="179">
        <v>0</v>
      </c>
      <c r="J78" s="80">
        <f t="shared" si="24"/>
        <v>0</v>
      </c>
      <c r="K78" s="179">
        <v>0</v>
      </c>
      <c r="L78" s="80">
        <f t="shared" si="25"/>
        <v>0</v>
      </c>
      <c r="M78" s="179">
        <v>0</v>
      </c>
      <c r="N78" s="80">
        <f t="shared" si="26"/>
        <v>0</v>
      </c>
      <c r="O78" s="179">
        <v>0</v>
      </c>
      <c r="P78" s="80">
        <f t="shared" si="27"/>
        <v>0</v>
      </c>
      <c r="Q78" s="179">
        <v>0</v>
      </c>
      <c r="R78" s="80">
        <f t="shared" si="28"/>
        <v>0</v>
      </c>
      <c r="S78" s="179">
        <v>0</v>
      </c>
      <c r="T78" s="80">
        <f t="shared" si="29"/>
        <v>0</v>
      </c>
      <c r="U78" s="179">
        <v>0</v>
      </c>
      <c r="V78" s="80">
        <f t="shared" si="30"/>
        <v>0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1"/>
        <v>0</v>
      </c>
      <c r="E79" s="179">
        <v>0</v>
      </c>
      <c r="F79" s="80">
        <f t="shared" si="22"/>
        <v>0</v>
      </c>
      <c r="G79" s="179">
        <v>0</v>
      </c>
      <c r="H79" s="80">
        <f t="shared" si="23"/>
        <v>0</v>
      </c>
      <c r="I79" s="179">
        <v>0</v>
      </c>
      <c r="J79" s="80">
        <f t="shared" si="24"/>
        <v>0</v>
      </c>
      <c r="K79" s="179">
        <v>0</v>
      </c>
      <c r="L79" s="80">
        <f t="shared" si="25"/>
        <v>0</v>
      </c>
      <c r="M79" s="179">
        <v>0</v>
      </c>
      <c r="N79" s="80">
        <f t="shared" si="26"/>
        <v>0</v>
      </c>
      <c r="O79" s="179">
        <v>0</v>
      </c>
      <c r="P79" s="80">
        <f t="shared" si="27"/>
        <v>0</v>
      </c>
      <c r="Q79" s="179">
        <v>0</v>
      </c>
      <c r="R79" s="80">
        <f t="shared" si="28"/>
        <v>0</v>
      </c>
      <c r="S79" s="179">
        <v>0</v>
      </c>
      <c r="T79" s="80">
        <f t="shared" si="29"/>
        <v>0</v>
      </c>
      <c r="U79" s="179">
        <v>0</v>
      </c>
      <c r="V79" s="80">
        <f t="shared" si="30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1"/>
        <v>0</v>
      </c>
      <c r="E80" s="179">
        <v>0</v>
      </c>
      <c r="F80" s="80">
        <f t="shared" si="22"/>
        <v>0</v>
      </c>
      <c r="G80" s="179">
        <v>0</v>
      </c>
      <c r="H80" s="80">
        <f t="shared" si="23"/>
        <v>0</v>
      </c>
      <c r="I80" s="179">
        <v>0</v>
      </c>
      <c r="J80" s="80">
        <f t="shared" si="24"/>
        <v>0</v>
      </c>
      <c r="K80" s="179">
        <v>0</v>
      </c>
      <c r="L80" s="80">
        <f t="shared" si="25"/>
        <v>0</v>
      </c>
      <c r="M80" s="179">
        <v>0</v>
      </c>
      <c r="N80" s="80">
        <f t="shared" si="26"/>
        <v>0</v>
      </c>
      <c r="O80" s="179">
        <v>0</v>
      </c>
      <c r="P80" s="80">
        <f t="shared" si="27"/>
        <v>0</v>
      </c>
      <c r="Q80" s="179">
        <v>0</v>
      </c>
      <c r="R80" s="80">
        <f t="shared" si="28"/>
        <v>0</v>
      </c>
      <c r="S80" s="179">
        <v>0</v>
      </c>
      <c r="T80" s="80">
        <f t="shared" si="29"/>
        <v>0</v>
      </c>
      <c r="U80" s="179">
        <v>0</v>
      </c>
      <c r="V80" s="80">
        <f t="shared" si="30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1"/>
        <v>0</v>
      </c>
      <c r="E81" s="179">
        <v>0</v>
      </c>
      <c r="F81" s="80">
        <f t="shared" si="22"/>
        <v>0</v>
      </c>
      <c r="G81" s="179">
        <v>0</v>
      </c>
      <c r="H81" s="80">
        <f t="shared" si="23"/>
        <v>0</v>
      </c>
      <c r="I81" s="179">
        <v>0</v>
      </c>
      <c r="J81" s="80">
        <f t="shared" si="24"/>
        <v>0</v>
      </c>
      <c r="K81" s="179">
        <v>0</v>
      </c>
      <c r="L81" s="80">
        <f t="shared" si="25"/>
        <v>0</v>
      </c>
      <c r="M81" s="179">
        <v>0</v>
      </c>
      <c r="N81" s="80">
        <f t="shared" si="26"/>
        <v>0</v>
      </c>
      <c r="O81" s="179">
        <v>0</v>
      </c>
      <c r="P81" s="80">
        <f t="shared" si="27"/>
        <v>0</v>
      </c>
      <c r="Q81" s="179">
        <v>0</v>
      </c>
      <c r="R81" s="80">
        <f t="shared" si="28"/>
        <v>0</v>
      </c>
      <c r="S81" s="179">
        <v>0</v>
      </c>
      <c r="T81" s="80">
        <f t="shared" si="29"/>
        <v>0</v>
      </c>
      <c r="U81" s="179">
        <v>0</v>
      </c>
      <c r="V81" s="80">
        <f t="shared" si="30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1"/>
        <v>0</v>
      </c>
      <c r="E82" s="179">
        <v>0</v>
      </c>
      <c r="F82" s="80">
        <f t="shared" si="22"/>
        <v>0</v>
      </c>
      <c r="G82" s="179">
        <v>0</v>
      </c>
      <c r="H82" s="80">
        <f t="shared" si="23"/>
        <v>0</v>
      </c>
      <c r="I82" s="179">
        <v>0</v>
      </c>
      <c r="J82" s="80">
        <f t="shared" si="24"/>
        <v>0</v>
      </c>
      <c r="K82" s="179">
        <v>0</v>
      </c>
      <c r="L82" s="80">
        <f t="shared" si="25"/>
        <v>0</v>
      </c>
      <c r="M82" s="179">
        <v>0</v>
      </c>
      <c r="N82" s="80">
        <f t="shared" si="26"/>
        <v>0</v>
      </c>
      <c r="O82" s="179">
        <v>0</v>
      </c>
      <c r="P82" s="80">
        <f t="shared" si="27"/>
        <v>0</v>
      </c>
      <c r="Q82" s="179">
        <v>0</v>
      </c>
      <c r="R82" s="80">
        <f t="shared" si="28"/>
        <v>0</v>
      </c>
      <c r="S82" s="179">
        <v>0</v>
      </c>
      <c r="T82" s="80">
        <f t="shared" si="29"/>
        <v>0</v>
      </c>
      <c r="U82" s="179">
        <v>0</v>
      </c>
      <c r="V82" s="80">
        <f t="shared" si="30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1"/>
        <v>0</v>
      </c>
      <c r="E83" s="179">
        <v>0</v>
      </c>
      <c r="F83" s="80">
        <f t="shared" si="22"/>
        <v>0</v>
      </c>
      <c r="G83" s="179">
        <v>0</v>
      </c>
      <c r="H83" s="80">
        <f t="shared" si="23"/>
        <v>0</v>
      </c>
      <c r="I83" s="179">
        <v>0</v>
      </c>
      <c r="J83" s="80">
        <f t="shared" si="24"/>
        <v>0</v>
      </c>
      <c r="K83" s="179">
        <v>0</v>
      </c>
      <c r="L83" s="80">
        <f t="shared" si="25"/>
        <v>0</v>
      </c>
      <c r="M83" s="179">
        <v>0</v>
      </c>
      <c r="N83" s="80">
        <f t="shared" si="26"/>
        <v>0</v>
      </c>
      <c r="O83" s="179">
        <v>0</v>
      </c>
      <c r="P83" s="80">
        <f t="shared" si="27"/>
        <v>0</v>
      </c>
      <c r="Q83" s="179">
        <v>0</v>
      </c>
      <c r="R83" s="80">
        <f t="shared" si="28"/>
        <v>0</v>
      </c>
      <c r="S83" s="179">
        <v>0</v>
      </c>
      <c r="T83" s="80">
        <f t="shared" si="29"/>
        <v>0</v>
      </c>
      <c r="U83" s="179">
        <v>0</v>
      </c>
      <c r="V83" s="80">
        <f t="shared" si="30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1"/>
        <v>0</v>
      </c>
      <c r="E84" s="179">
        <v>0</v>
      </c>
      <c r="F84" s="80">
        <f t="shared" si="22"/>
        <v>0</v>
      </c>
      <c r="G84" s="179">
        <v>0</v>
      </c>
      <c r="H84" s="80">
        <f t="shared" si="23"/>
        <v>0</v>
      </c>
      <c r="I84" s="179">
        <v>0</v>
      </c>
      <c r="J84" s="80">
        <f t="shared" si="24"/>
        <v>0</v>
      </c>
      <c r="K84" s="179">
        <v>0</v>
      </c>
      <c r="L84" s="80">
        <f t="shared" si="25"/>
        <v>0</v>
      </c>
      <c r="M84" s="179">
        <v>0</v>
      </c>
      <c r="N84" s="80">
        <f t="shared" si="26"/>
        <v>0</v>
      </c>
      <c r="O84" s="179">
        <v>0</v>
      </c>
      <c r="P84" s="80">
        <f t="shared" si="27"/>
        <v>0</v>
      </c>
      <c r="Q84" s="179">
        <v>0</v>
      </c>
      <c r="R84" s="80">
        <f t="shared" si="28"/>
        <v>0</v>
      </c>
      <c r="S84" s="179">
        <v>0</v>
      </c>
      <c r="T84" s="80">
        <f t="shared" si="29"/>
        <v>0</v>
      </c>
      <c r="U84" s="179">
        <v>0</v>
      </c>
      <c r="V84" s="80">
        <f t="shared" si="30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1"/>
        <v>0</v>
      </c>
      <c r="E85" s="179">
        <v>0</v>
      </c>
      <c r="F85" s="80">
        <f t="shared" si="22"/>
        <v>0</v>
      </c>
      <c r="G85" s="179">
        <v>0</v>
      </c>
      <c r="H85" s="80">
        <f t="shared" si="23"/>
        <v>0</v>
      </c>
      <c r="I85" s="179">
        <v>0</v>
      </c>
      <c r="J85" s="80">
        <f t="shared" si="24"/>
        <v>0</v>
      </c>
      <c r="K85" s="179">
        <v>0</v>
      </c>
      <c r="L85" s="80">
        <f t="shared" si="25"/>
        <v>0</v>
      </c>
      <c r="M85" s="179">
        <v>0</v>
      </c>
      <c r="N85" s="80">
        <f t="shared" si="26"/>
        <v>0</v>
      </c>
      <c r="O85" s="179">
        <v>0</v>
      </c>
      <c r="P85" s="80">
        <f t="shared" si="27"/>
        <v>0</v>
      </c>
      <c r="Q85" s="179">
        <v>0</v>
      </c>
      <c r="R85" s="80">
        <f t="shared" si="28"/>
        <v>0</v>
      </c>
      <c r="S85" s="179">
        <v>0</v>
      </c>
      <c r="T85" s="80">
        <f t="shared" si="29"/>
        <v>0</v>
      </c>
      <c r="U85" s="179">
        <v>0</v>
      </c>
      <c r="V85" s="80">
        <f t="shared" si="30"/>
        <v>0</v>
      </c>
      <c r="X85" s="200"/>
    </row>
    <row r="86" spans="1:24" ht="12.75" customHeight="1">
      <c r="A86" s="2" t="s">
        <v>417</v>
      </c>
      <c r="B86" s="35"/>
      <c r="C86" s="179">
        <v>3602.4911999999995</v>
      </c>
      <c r="D86" s="80">
        <f t="shared" si="21"/>
        <v>4.0000000000000001E-3</v>
      </c>
      <c r="E86" s="179">
        <v>0</v>
      </c>
      <c r="F86" s="80">
        <f t="shared" si="22"/>
        <v>0</v>
      </c>
      <c r="G86" s="179">
        <v>0</v>
      </c>
      <c r="H86" s="80">
        <f t="shared" si="23"/>
        <v>0</v>
      </c>
      <c r="I86" s="179">
        <v>0</v>
      </c>
      <c r="J86" s="80">
        <f t="shared" si="24"/>
        <v>0</v>
      </c>
      <c r="K86" s="179">
        <v>0</v>
      </c>
      <c r="L86" s="80">
        <f t="shared" si="25"/>
        <v>0</v>
      </c>
      <c r="M86" s="179">
        <v>0</v>
      </c>
      <c r="N86" s="80">
        <f t="shared" si="26"/>
        <v>0</v>
      </c>
      <c r="O86" s="179">
        <v>0</v>
      </c>
      <c r="P86" s="80">
        <f t="shared" si="27"/>
        <v>0</v>
      </c>
      <c r="Q86" s="179">
        <v>0</v>
      </c>
      <c r="R86" s="80">
        <f t="shared" si="28"/>
        <v>0</v>
      </c>
      <c r="S86" s="179">
        <v>0</v>
      </c>
      <c r="T86" s="80">
        <f t="shared" si="29"/>
        <v>0</v>
      </c>
      <c r="U86" s="179">
        <v>0</v>
      </c>
      <c r="V86" s="80">
        <f t="shared" si="30"/>
        <v>0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1"/>
        <v>0</v>
      </c>
      <c r="E87" s="179">
        <v>0</v>
      </c>
      <c r="F87" s="80">
        <f t="shared" si="22"/>
        <v>0</v>
      </c>
      <c r="G87" s="179">
        <v>0</v>
      </c>
      <c r="H87" s="80">
        <f t="shared" si="23"/>
        <v>0</v>
      </c>
      <c r="I87" s="179">
        <v>0</v>
      </c>
      <c r="J87" s="80">
        <f t="shared" si="24"/>
        <v>0</v>
      </c>
      <c r="K87" s="179">
        <v>0</v>
      </c>
      <c r="L87" s="80">
        <f t="shared" si="25"/>
        <v>0</v>
      </c>
      <c r="M87" s="179">
        <v>0</v>
      </c>
      <c r="N87" s="80">
        <f t="shared" si="26"/>
        <v>0</v>
      </c>
      <c r="O87" s="179">
        <v>0</v>
      </c>
      <c r="P87" s="80">
        <f t="shared" si="27"/>
        <v>0</v>
      </c>
      <c r="Q87" s="179">
        <v>0</v>
      </c>
      <c r="R87" s="80">
        <f t="shared" si="28"/>
        <v>0</v>
      </c>
      <c r="S87" s="179">
        <v>0</v>
      </c>
      <c r="T87" s="80">
        <f t="shared" si="29"/>
        <v>0</v>
      </c>
      <c r="U87" s="179">
        <v>0</v>
      </c>
      <c r="V87" s="80">
        <f t="shared" si="30"/>
        <v>0</v>
      </c>
      <c r="X87" s="200"/>
    </row>
    <row r="88" spans="1:24" ht="12.75" customHeight="1">
      <c r="A88" s="2" t="s">
        <v>419</v>
      </c>
      <c r="B88" s="35"/>
      <c r="C88" s="179">
        <v>4593.1762799999997</v>
      </c>
      <c r="D88" s="80">
        <f t="shared" si="21"/>
        <v>5.1000000000000004E-3</v>
      </c>
      <c r="E88" s="179">
        <v>0</v>
      </c>
      <c r="F88" s="80">
        <f t="shared" si="22"/>
        <v>0</v>
      </c>
      <c r="G88" s="179">
        <v>0</v>
      </c>
      <c r="H88" s="80">
        <f t="shared" si="23"/>
        <v>0</v>
      </c>
      <c r="I88" s="179">
        <v>0</v>
      </c>
      <c r="J88" s="80">
        <f t="shared" si="24"/>
        <v>0</v>
      </c>
      <c r="K88" s="179">
        <v>0</v>
      </c>
      <c r="L88" s="80">
        <f t="shared" si="25"/>
        <v>0</v>
      </c>
      <c r="M88" s="179">
        <v>0</v>
      </c>
      <c r="N88" s="80">
        <f t="shared" si="26"/>
        <v>0</v>
      </c>
      <c r="O88" s="179">
        <v>0</v>
      </c>
      <c r="P88" s="80">
        <f t="shared" si="27"/>
        <v>0</v>
      </c>
      <c r="Q88" s="179">
        <v>0</v>
      </c>
      <c r="R88" s="80">
        <f t="shared" si="28"/>
        <v>0</v>
      </c>
      <c r="S88" s="179">
        <v>0</v>
      </c>
      <c r="T88" s="80">
        <f t="shared" si="29"/>
        <v>0</v>
      </c>
      <c r="U88" s="179">
        <v>0</v>
      </c>
      <c r="V88" s="80">
        <f t="shared" si="30"/>
        <v>0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1"/>
        <v>0</v>
      </c>
      <c r="E89" s="179">
        <v>0</v>
      </c>
      <c r="F89" s="80">
        <f t="shared" si="22"/>
        <v>0</v>
      </c>
      <c r="G89" s="179">
        <v>0</v>
      </c>
      <c r="H89" s="80">
        <f t="shared" si="23"/>
        <v>0</v>
      </c>
      <c r="I89" s="179">
        <v>0</v>
      </c>
      <c r="J89" s="80">
        <f t="shared" si="24"/>
        <v>0</v>
      </c>
      <c r="K89" s="179">
        <v>0</v>
      </c>
      <c r="L89" s="80">
        <f t="shared" si="25"/>
        <v>0</v>
      </c>
      <c r="M89" s="179">
        <v>0</v>
      </c>
      <c r="N89" s="80">
        <f t="shared" si="26"/>
        <v>0</v>
      </c>
      <c r="O89" s="179">
        <v>0</v>
      </c>
      <c r="P89" s="80">
        <f t="shared" si="27"/>
        <v>0</v>
      </c>
      <c r="Q89" s="179">
        <v>0</v>
      </c>
      <c r="R89" s="80">
        <f t="shared" si="28"/>
        <v>0</v>
      </c>
      <c r="S89" s="179">
        <v>0</v>
      </c>
      <c r="T89" s="80">
        <f t="shared" si="29"/>
        <v>0</v>
      </c>
      <c r="U89" s="179">
        <v>0</v>
      </c>
      <c r="V89" s="80">
        <f t="shared" si="30"/>
        <v>0</v>
      </c>
      <c r="X89" s="200"/>
    </row>
    <row r="90" spans="1:24" ht="12.75" customHeight="1">
      <c r="A90" s="2" t="s">
        <v>421</v>
      </c>
      <c r="B90" s="35"/>
      <c r="C90" s="179">
        <v>180.12456</v>
      </c>
      <c r="D90" s="80">
        <f t="shared" si="21"/>
        <v>2.0000000000000001E-4</v>
      </c>
      <c r="E90" s="179">
        <v>0</v>
      </c>
      <c r="F90" s="80">
        <f t="shared" si="22"/>
        <v>0</v>
      </c>
      <c r="G90" s="179">
        <v>0</v>
      </c>
      <c r="H90" s="80">
        <f t="shared" si="23"/>
        <v>0</v>
      </c>
      <c r="I90" s="179">
        <v>0</v>
      </c>
      <c r="J90" s="80">
        <f t="shared" si="24"/>
        <v>0</v>
      </c>
      <c r="K90" s="179">
        <v>0</v>
      </c>
      <c r="L90" s="80">
        <f t="shared" si="25"/>
        <v>0</v>
      </c>
      <c r="M90" s="179">
        <v>0</v>
      </c>
      <c r="N90" s="80">
        <f t="shared" si="26"/>
        <v>0</v>
      </c>
      <c r="O90" s="179">
        <v>0</v>
      </c>
      <c r="P90" s="80">
        <f t="shared" si="27"/>
        <v>0</v>
      </c>
      <c r="Q90" s="179">
        <v>0</v>
      </c>
      <c r="R90" s="80">
        <f t="shared" si="28"/>
        <v>0</v>
      </c>
      <c r="S90" s="179">
        <v>0</v>
      </c>
      <c r="T90" s="80">
        <f t="shared" si="29"/>
        <v>0</v>
      </c>
      <c r="U90" s="179">
        <v>0</v>
      </c>
      <c r="V90" s="80">
        <f t="shared" si="30"/>
        <v>0</v>
      </c>
      <c r="X90" s="200"/>
    </row>
    <row r="91" spans="1:24" ht="12.75" customHeight="1">
      <c r="A91" s="2" t="s">
        <v>422</v>
      </c>
      <c r="C91" s="179">
        <v>0</v>
      </c>
      <c r="D91" s="80">
        <f t="shared" si="21"/>
        <v>0</v>
      </c>
      <c r="E91" s="179">
        <v>0</v>
      </c>
      <c r="F91" s="80">
        <f t="shared" si="22"/>
        <v>0</v>
      </c>
      <c r="G91" s="179">
        <v>0</v>
      </c>
      <c r="H91" s="80">
        <f t="shared" si="23"/>
        <v>0</v>
      </c>
      <c r="I91" s="179">
        <v>0</v>
      </c>
      <c r="J91" s="80">
        <f t="shared" si="24"/>
        <v>0</v>
      </c>
      <c r="K91" s="179">
        <v>0</v>
      </c>
      <c r="L91" s="80">
        <f t="shared" si="25"/>
        <v>0</v>
      </c>
      <c r="M91" s="179">
        <v>0</v>
      </c>
      <c r="N91" s="80">
        <f t="shared" si="26"/>
        <v>0</v>
      </c>
      <c r="O91" s="179">
        <v>0</v>
      </c>
      <c r="P91" s="80">
        <f t="shared" si="27"/>
        <v>0</v>
      </c>
      <c r="Q91" s="179">
        <v>0</v>
      </c>
      <c r="R91" s="80">
        <f t="shared" si="28"/>
        <v>0</v>
      </c>
      <c r="S91" s="179">
        <v>0</v>
      </c>
      <c r="T91" s="80">
        <f t="shared" si="29"/>
        <v>0</v>
      </c>
      <c r="U91" s="179">
        <v>0</v>
      </c>
      <c r="V91" s="80">
        <f t="shared" si="30"/>
        <v>0</v>
      </c>
      <c r="X91" s="200"/>
    </row>
    <row r="92" spans="1:24" ht="12.75" customHeight="1">
      <c r="A92" s="2" t="s">
        <v>423</v>
      </c>
      <c r="B92" s="35"/>
      <c r="C92" s="179">
        <v>4683.2385599999989</v>
      </c>
      <c r="D92" s="80">
        <f t="shared" si="21"/>
        <v>5.1999999999999989E-3</v>
      </c>
      <c r="E92" s="179">
        <v>0</v>
      </c>
      <c r="F92" s="80">
        <f t="shared" si="22"/>
        <v>0</v>
      </c>
      <c r="G92" s="179">
        <v>0</v>
      </c>
      <c r="H92" s="80">
        <f t="shared" si="23"/>
        <v>0</v>
      </c>
      <c r="I92" s="179">
        <v>0</v>
      </c>
      <c r="J92" s="80">
        <f t="shared" si="24"/>
        <v>0</v>
      </c>
      <c r="K92" s="179">
        <v>0</v>
      </c>
      <c r="L92" s="80">
        <f t="shared" si="25"/>
        <v>0</v>
      </c>
      <c r="M92" s="179">
        <v>0</v>
      </c>
      <c r="N92" s="80">
        <f t="shared" si="26"/>
        <v>0</v>
      </c>
      <c r="O92" s="179">
        <v>0</v>
      </c>
      <c r="P92" s="80">
        <f t="shared" si="27"/>
        <v>0</v>
      </c>
      <c r="Q92" s="179">
        <v>0</v>
      </c>
      <c r="R92" s="80">
        <f t="shared" si="28"/>
        <v>0</v>
      </c>
      <c r="S92" s="179">
        <v>0</v>
      </c>
      <c r="T92" s="80">
        <f t="shared" si="29"/>
        <v>0</v>
      </c>
      <c r="U92" s="179">
        <v>0</v>
      </c>
      <c r="V92" s="80">
        <f t="shared" si="30"/>
        <v>0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1"/>
        <v>0</v>
      </c>
      <c r="E93" s="179">
        <v>0</v>
      </c>
      <c r="F93" s="80">
        <f t="shared" si="22"/>
        <v>0</v>
      </c>
      <c r="G93" s="179">
        <v>0</v>
      </c>
      <c r="H93" s="80">
        <f t="shared" si="23"/>
        <v>0</v>
      </c>
      <c r="I93" s="179">
        <v>0</v>
      </c>
      <c r="J93" s="80">
        <f t="shared" si="24"/>
        <v>0</v>
      </c>
      <c r="K93" s="179">
        <v>0</v>
      </c>
      <c r="L93" s="80">
        <f t="shared" si="25"/>
        <v>0</v>
      </c>
      <c r="M93" s="179">
        <v>0</v>
      </c>
      <c r="N93" s="80">
        <f t="shared" si="26"/>
        <v>0</v>
      </c>
      <c r="O93" s="179">
        <v>0</v>
      </c>
      <c r="P93" s="80">
        <f t="shared" si="27"/>
        <v>0</v>
      </c>
      <c r="Q93" s="179">
        <v>0</v>
      </c>
      <c r="R93" s="80">
        <f t="shared" si="28"/>
        <v>0</v>
      </c>
      <c r="S93" s="179">
        <v>0</v>
      </c>
      <c r="T93" s="80">
        <f t="shared" si="29"/>
        <v>0</v>
      </c>
      <c r="U93" s="179">
        <v>0</v>
      </c>
      <c r="V93" s="80">
        <f t="shared" si="30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1"/>
        <v>0</v>
      </c>
      <c r="E94" s="179">
        <v>0</v>
      </c>
      <c r="F94" s="80">
        <f t="shared" si="22"/>
        <v>0</v>
      </c>
      <c r="G94" s="179">
        <v>0</v>
      </c>
      <c r="H94" s="80">
        <f t="shared" si="23"/>
        <v>0</v>
      </c>
      <c r="I94" s="179">
        <v>0</v>
      </c>
      <c r="J94" s="80">
        <f t="shared" si="24"/>
        <v>0</v>
      </c>
      <c r="K94" s="179">
        <v>0</v>
      </c>
      <c r="L94" s="80">
        <f t="shared" si="25"/>
        <v>0</v>
      </c>
      <c r="M94" s="179">
        <v>0</v>
      </c>
      <c r="N94" s="80">
        <f t="shared" si="26"/>
        <v>0</v>
      </c>
      <c r="O94" s="179">
        <v>0</v>
      </c>
      <c r="P94" s="80">
        <f t="shared" si="27"/>
        <v>0</v>
      </c>
      <c r="Q94" s="179">
        <v>0</v>
      </c>
      <c r="R94" s="80">
        <f t="shared" si="28"/>
        <v>0</v>
      </c>
      <c r="S94" s="179">
        <v>0</v>
      </c>
      <c r="T94" s="80">
        <f t="shared" si="29"/>
        <v>0</v>
      </c>
      <c r="U94" s="179">
        <v>0</v>
      </c>
      <c r="V94" s="80">
        <f t="shared" si="30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1"/>
        <v>0</v>
      </c>
      <c r="E95" s="179">
        <v>0</v>
      </c>
      <c r="F95" s="80">
        <f t="shared" si="22"/>
        <v>0</v>
      </c>
      <c r="G95" s="179">
        <v>0</v>
      </c>
      <c r="H95" s="80">
        <f t="shared" si="23"/>
        <v>0</v>
      </c>
      <c r="I95" s="179">
        <v>0</v>
      </c>
      <c r="J95" s="80">
        <f t="shared" si="24"/>
        <v>0</v>
      </c>
      <c r="K95" s="179">
        <v>0</v>
      </c>
      <c r="L95" s="80">
        <f t="shared" si="25"/>
        <v>0</v>
      </c>
      <c r="M95" s="179">
        <v>0</v>
      </c>
      <c r="N95" s="80">
        <f t="shared" si="26"/>
        <v>0</v>
      </c>
      <c r="O95" s="179">
        <v>0</v>
      </c>
      <c r="P95" s="80">
        <f t="shared" si="27"/>
        <v>0</v>
      </c>
      <c r="Q95" s="179">
        <v>0</v>
      </c>
      <c r="R95" s="80">
        <f t="shared" si="28"/>
        <v>0</v>
      </c>
      <c r="S95" s="179">
        <v>0</v>
      </c>
      <c r="T95" s="80">
        <f t="shared" si="29"/>
        <v>0</v>
      </c>
      <c r="U95" s="179">
        <v>0</v>
      </c>
      <c r="V95" s="80">
        <f t="shared" si="30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1"/>
        <v>0</v>
      </c>
      <c r="E96" s="179">
        <v>0</v>
      </c>
      <c r="F96" s="80">
        <f t="shared" si="22"/>
        <v>0</v>
      </c>
      <c r="G96" s="179">
        <v>0</v>
      </c>
      <c r="H96" s="80">
        <f t="shared" si="23"/>
        <v>0</v>
      </c>
      <c r="I96" s="179">
        <v>0</v>
      </c>
      <c r="J96" s="80">
        <f t="shared" si="24"/>
        <v>0</v>
      </c>
      <c r="K96" s="179">
        <v>0</v>
      </c>
      <c r="L96" s="80">
        <f t="shared" si="25"/>
        <v>0</v>
      </c>
      <c r="M96" s="179">
        <v>0</v>
      </c>
      <c r="N96" s="80">
        <f t="shared" si="26"/>
        <v>0</v>
      </c>
      <c r="O96" s="179">
        <v>0</v>
      </c>
      <c r="P96" s="80">
        <f t="shared" si="27"/>
        <v>0</v>
      </c>
      <c r="Q96" s="179">
        <v>0</v>
      </c>
      <c r="R96" s="80">
        <f t="shared" si="28"/>
        <v>0</v>
      </c>
      <c r="S96" s="179">
        <v>0</v>
      </c>
      <c r="T96" s="80">
        <f t="shared" si="29"/>
        <v>0</v>
      </c>
      <c r="U96" s="179">
        <v>0</v>
      </c>
      <c r="V96" s="80">
        <f t="shared" si="30"/>
        <v>0</v>
      </c>
      <c r="X96" s="200"/>
    </row>
    <row r="97" spans="1:24" ht="12.75" customHeight="1">
      <c r="A97" s="2" t="s">
        <v>428</v>
      </c>
      <c r="B97" s="35"/>
      <c r="C97" s="179">
        <v>14386.2035</v>
      </c>
      <c r="D97" s="80">
        <f t="shared" si="21"/>
        <v>1.5973616812721154E-2</v>
      </c>
      <c r="E97" s="179">
        <v>0</v>
      </c>
      <c r="F97" s="80">
        <f t="shared" si="22"/>
        <v>0</v>
      </c>
      <c r="G97" s="179">
        <v>0</v>
      </c>
      <c r="H97" s="80">
        <f t="shared" si="23"/>
        <v>0</v>
      </c>
      <c r="I97" s="179">
        <v>0</v>
      </c>
      <c r="J97" s="80">
        <f t="shared" si="24"/>
        <v>0</v>
      </c>
      <c r="K97" s="179">
        <v>0</v>
      </c>
      <c r="L97" s="80">
        <f t="shared" si="25"/>
        <v>0</v>
      </c>
      <c r="M97" s="179">
        <v>0</v>
      </c>
      <c r="N97" s="80">
        <f t="shared" si="26"/>
        <v>0</v>
      </c>
      <c r="O97" s="179">
        <v>0</v>
      </c>
      <c r="P97" s="80">
        <f t="shared" si="27"/>
        <v>0</v>
      </c>
      <c r="Q97" s="179">
        <v>0</v>
      </c>
      <c r="R97" s="80">
        <f t="shared" si="28"/>
        <v>0</v>
      </c>
      <c r="S97" s="179">
        <v>0</v>
      </c>
      <c r="T97" s="80">
        <f t="shared" si="29"/>
        <v>0</v>
      </c>
      <c r="U97" s="179">
        <v>0</v>
      </c>
      <c r="V97" s="80">
        <f t="shared" si="30"/>
        <v>0</v>
      </c>
      <c r="X97" s="200"/>
    </row>
    <row r="98" spans="1:24" ht="12.75" customHeight="1">
      <c r="A98" s="117" t="s">
        <v>431</v>
      </c>
      <c r="B98" s="35"/>
      <c r="C98" s="179">
        <v>1080.7473599999996</v>
      </c>
      <c r="D98" s="80">
        <f t="shared" si="21"/>
        <v>1.1999999999999997E-3</v>
      </c>
      <c r="E98" s="179">
        <v>0</v>
      </c>
      <c r="F98" s="80">
        <f t="shared" si="22"/>
        <v>0</v>
      </c>
      <c r="G98" s="179">
        <v>0</v>
      </c>
      <c r="H98" s="80">
        <f t="shared" si="23"/>
        <v>0</v>
      </c>
      <c r="I98" s="179">
        <v>0</v>
      </c>
      <c r="J98" s="80">
        <f t="shared" si="24"/>
        <v>0</v>
      </c>
      <c r="K98" s="179">
        <v>0</v>
      </c>
      <c r="L98" s="80">
        <f t="shared" si="25"/>
        <v>0</v>
      </c>
      <c r="M98" s="179">
        <v>0</v>
      </c>
      <c r="N98" s="80">
        <f t="shared" si="26"/>
        <v>0</v>
      </c>
      <c r="O98" s="179">
        <v>0</v>
      </c>
      <c r="P98" s="80">
        <f t="shared" si="27"/>
        <v>0</v>
      </c>
      <c r="Q98" s="179">
        <v>0</v>
      </c>
      <c r="R98" s="80">
        <f t="shared" si="28"/>
        <v>0</v>
      </c>
      <c r="S98" s="179">
        <v>0</v>
      </c>
      <c r="T98" s="80">
        <f t="shared" si="29"/>
        <v>0</v>
      </c>
      <c r="U98" s="179">
        <v>0</v>
      </c>
      <c r="V98" s="80">
        <f t="shared" si="30"/>
        <v>0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1"/>
        <v>0</v>
      </c>
      <c r="E99" s="179">
        <v>0</v>
      </c>
      <c r="F99" s="80">
        <f t="shared" si="22"/>
        <v>0</v>
      </c>
      <c r="G99" s="179">
        <v>0</v>
      </c>
      <c r="H99" s="80">
        <f t="shared" si="23"/>
        <v>0</v>
      </c>
      <c r="I99" s="179">
        <v>0</v>
      </c>
      <c r="J99" s="80">
        <f t="shared" si="24"/>
        <v>0</v>
      </c>
      <c r="K99" s="179">
        <v>0</v>
      </c>
      <c r="L99" s="80">
        <f t="shared" si="25"/>
        <v>0</v>
      </c>
      <c r="M99" s="179">
        <v>0</v>
      </c>
      <c r="N99" s="80">
        <f t="shared" si="26"/>
        <v>0</v>
      </c>
      <c r="O99" s="179">
        <v>0</v>
      </c>
      <c r="P99" s="80">
        <f t="shared" si="27"/>
        <v>0</v>
      </c>
      <c r="Q99" s="179">
        <v>0</v>
      </c>
      <c r="R99" s="80">
        <f t="shared" si="28"/>
        <v>0</v>
      </c>
      <c r="S99" s="179">
        <v>0</v>
      </c>
      <c r="T99" s="80">
        <f t="shared" si="29"/>
        <v>0</v>
      </c>
      <c r="U99" s="179">
        <v>0</v>
      </c>
      <c r="V99" s="80">
        <f t="shared" si="30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1"/>
        <v>0</v>
      </c>
      <c r="E100" s="179">
        <v>0</v>
      </c>
      <c r="F100" s="80">
        <f t="shared" si="22"/>
        <v>0</v>
      </c>
      <c r="G100" s="179">
        <v>0</v>
      </c>
      <c r="H100" s="80">
        <f t="shared" si="23"/>
        <v>0</v>
      </c>
      <c r="I100" s="179">
        <v>0</v>
      </c>
      <c r="J100" s="80">
        <f t="shared" si="24"/>
        <v>0</v>
      </c>
      <c r="K100" s="179">
        <v>0</v>
      </c>
      <c r="L100" s="80">
        <f t="shared" si="25"/>
        <v>0</v>
      </c>
      <c r="M100" s="179">
        <v>0</v>
      </c>
      <c r="N100" s="80">
        <f t="shared" si="26"/>
        <v>0</v>
      </c>
      <c r="O100" s="179">
        <v>0</v>
      </c>
      <c r="P100" s="80">
        <f t="shared" si="27"/>
        <v>0</v>
      </c>
      <c r="Q100" s="179">
        <v>0</v>
      </c>
      <c r="R100" s="80">
        <f t="shared" si="28"/>
        <v>0</v>
      </c>
      <c r="S100" s="179">
        <v>0</v>
      </c>
      <c r="T100" s="80">
        <f t="shared" si="29"/>
        <v>0</v>
      </c>
      <c r="U100" s="179">
        <v>0</v>
      </c>
      <c r="V100" s="80">
        <f t="shared" si="30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1"/>
        <v>0</v>
      </c>
      <c r="E101" s="179"/>
      <c r="F101" s="80">
        <f t="shared" si="22"/>
        <v>0</v>
      </c>
      <c r="G101" s="179"/>
      <c r="H101" s="80">
        <f t="shared" si="23"/>
        <v>0</v>
      </c>
      <c r="I101" s="179">
        <v>0</v>
      </c>
      <c r="J101" s="80">
        <f t="shared" si="24"/>
        <v>0</v>
      </c>
      <c r="K101" s="179">
        <v>0</v>
      </c>
      <c r="L101" s="80">
        <f t="shared" si="25"/>
        <v>0</v>
      </c>
      <c r="M101" s="179">
        <v>0</v>
      </c>
      <c r="N101" s="80">
        <f t="shared" si="26"/>
        <v>0</v>
      </c>
      <c r="O101" s="179">
        <v>0</v>
      </c>
      <c r="P101" s="80">
        <f t="shared" si="27"/>
        <v>0</v>
      </c>
      <c r="Q101" s="179">
        <v>0</v>
      </c>
      <c r="R101" s="80">
        <f t="shared" si="28"/>
        <v>0</v>
      </c>
      <c r="S101" s="179">
        <v>0</v>
      </c>
      <c r="T101" s="80">
        <f t="shared" si="29"/>
        <v>0</v>
      </c>
      <c r="U101" s="179">
        <v>0</v>
      </c>
      <c r="V101" s="80">
        <f t="shared" si="30"/>
        <v>0</v>
      </c>
      <c r="X101" s="200"/>
    </row>
    <row r="102" spans="1:24" ht="12.75" customHeight="1">
      <c r="A102" s="117" t="s">
        <v>433</v>
      </c>
      <c r="B102" s="35"/>
      <c r="C102" s="179">
        <v>9006.2279999999992</v>
      </c>
      <c r="D102" s="80">
        <f t="shared" si="21"/>
        <v>0.01</v>
      </c>
      <c r="E102" s="179">
        <v>0</v>
      </c>
      <c r="F102" s="80">
        <f t="shared" si="22"/>
        <v>0</v>
      </c>
      <c r="G102" s="179">
        <v>0</v>
      </c>
      <c r="H102" s="80">
        <f t="shared" si="23"/>
        <v>0</v>
      </c>
      <c r="I102" s="179">
        <v>0</v>
      </c>
      <c r="J102" s="80">
        <f t="shared" si="24"/>
        <v>0</v>
      </c>
      <c r="K102" s="179">
        <v>0</v>
      </c>
      <c r="L102" s="80">
        <f t="shared" si="25"/>
        <v>0</v>
      </c>
      <c r="M102" s="179">
        <v>0</v>
      </c>
      <c r="N102" s="80">
        <f t="shared" si="26"/>
        <v>0</v>
      </c>
      <c r="O102" s="179">
        <v>0</v>
      </c>
      <c r="P102" s="80">
        <f t="shared" si="27"/>
        <v>0</v>
      </c>
      <c r="Q102" s="179">
        <v>0</v>
      </c>
      <c r="R102" s="80">
        <f t="shared" si="28"/>
        <v>0</v>
      </c>
      <c r="S102" s="179">
        <v>0</v>
      </c>
      <c r="T102" s="80">
        <f t="shared" si="29"/>
        <v>0</v>
      </c>
      <c r="U102" s="179">
        <v>0</v>
      </c>
      <c r="V102" s="80">
        <f t="shared" si="30"/>
        <v>0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1"/>
        <v>0</v>
      </c>
      <c r="E103" s="179">
        <v>0</v>
      </c>
      <c r="F103" s="80">
        <f t="shared" si="22"/>
        <v>0</v>
      </c>
      <c r="G103" s="179">
        <v>0</v>
      </c>
      <c r="H103" s="80">
        <f t="shared" si="23"/>
        <v>0</v>
      </c>
      <c r="I103" s="179">
        <v>0</v>
      </c>
      <c r="J103" s="80">
        <f t="shared" si="24"/>
        <v>0</v>
      </c>
      <c r="K103" s="179">
        <v>0</v>
      </c>
      <c r="L103" s="80">
        <f t="shared" si="25"/>
        <v>0</v>
      </c>
      <c r="M103" s="179">
        <v>0</v>
      </c>
      <c r="N103" s="80">
        <f t="shared" si="26"/>
        <v>0</v>
      </c>
      <c r="O103" s="179">
        <v>0</v>
      </c>
      <c r="P103" s="80">
        <f t="shared" si="27"/>
        <v>0</v>
      </c>
      <c r="Q103" s="179">
        <v>0</v>
      </c>
      <c r="R103" s="80">
        <f t="shared" si="28"/>
        <v>0</v>
      </c>
      <c r="S103" s="179">
        <v>0</v>
      </c>
      <c r="T103" s="80">
        <f t="shared" si="29"/>
        <v>0</v>
      </c>
      <c r="U103" s="179">
        <v>0</v>
      </c>
      <c r="V103" s="80">
        <f t="shared" si="30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1"/>
        <v>0</v>
      </c>
      <c r="E104" s="179">
        <v>0</v>
      </c>
      <c r="F104" s="80">
        <f t="shared" si="22"/>
        <v>0</v>
      </c>
      <c r="G104" s="179">
        <v>0</v>
      </c>
      <c r="H104" s="80">
        <f t="shared" si="23"/>
        <v>0</v>
      </c>
      <c r="I104" s="179">
        <v>0</v>
      </c>
      <c r="J104" s="80">
        <f t="shared" si="24"/>
        <v>0</v>
      </c>
      <c r="K104" s="179">
        <v>0</v>
      </c>
      <c r="L104" s="80">
        <f t="shared" si="25"/>
        <v>0</v>
      </c>
      <c r="M104" s="179">
        <v>0</v>
      </c>
      <c r="N104" s="80">
        <f t="shared" si="26"/>
        <v>0</v>
      </c>
      <c r="O104" s="179">
        <v>0</v>
      </c>
      <c r="P104" s="80">
        <f t="shared" si="27"/>
        <v>0</v>
      </c>
      <c r="Q104" s="179">
        <v>0</v>
      </c>
      <c r="R104" s="80">
        <f t="shared" si="28"/>
        <v>0</v>
      </c>
      <c r="S104" s="179">
        <v>0</v>
      </c>
      <c r="T104" s="80">
        <f t="shared" si="29"/>
        <v>0</v>
      </c>
      <c r="U104" s="179">
        <v>0</v>
      </c>
      <c r="V104" s="80">
        <f t="shared" si="30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189316.36345511404</v>
      </c>
      <c r="D105" s="83">
        <f t="shared" ref="D105" si="31">IFERROR(C105/C$28,0)</f>
        <v>0.2102060523618923</v>
      </c>
      <c r="E105" s="82">
        <f>SUM(E52:E104)</f>
        <v>0</v>
      </c>
      <c r="F105" s="83">
        <f t="shared" ref="F105" si="32">IFERROR(E105/E$28,0)</f>
        <v>0</v>
      </c>
      <c r="G105" s="82">
        <f>SUM(G52:G104)</f>
        <v>0</v>
      </c>
      <c r="H105" s="83">
        <f t="shared" ref="H105" si="33">IFERROR(G105/G$28,0)</f>
        <v>0</v>
      </c>
      <c r="I105" s="82">
        <f>SUM(I52:I104)</f>
        <v>0</v>
      </c>
      <c r="J105" s="83">
        <f t="shared" ref="J105" si="34">IFERROR(I105/I$28,0)</f>
        <v>0</v>
      </c>
      <c r="K105" s="82">
        <f>SUM(K52:K104)</f>
        <v>0</v>
      </c>
      <c r="L105" s="83">
        <f t="shared" ref="L105" si="35">IFERROR(K105/K$28,0)</f>
        <v>0</v>
      </c>
      <c r="M105" s="82">
        <f>SUM(M52:M104)</f>
        <v>0</v>
      </c>
      <c r="N105" s="83">
        <f t="shared" ref="N105" si="36">IFERROR(M105/M$28,0)</f>
        <v>0</v>
      </c>
      <c r="O105" s="82">
        <f>SUM(O52:O104)</f>
        <v>0</v>
      </c>
      <c r="P105" s="83">
        <f t="shared" ref="P105" si="37">IFERROR(O105/O$28,0)</f>
        <v>0</v>
      </c>
      <c r="Q105" s="82">
        <f>SUM(Q52:Q104)</f>
        <v>0</v>
      </c>
      <c r="R105" s="83">
        <f t="shared" ref="R105" si="38">IFERROR(Q105/Q$28,0)</f>
        <v>0</v>
      </c>
      <c r="S105" s="82">
        <f>SUM(S52:S104)</f>
        <v>0</v>
      </c>
      <c r="T105" s="83">
        <f t="shared" ref="T105" si="39">IFERROR(S105/S$28,0)</f>
        <v>0</v>
      </c>
      <c r="U105" s="82">
        <f>SUM(U52:U104)</f>
        <v>0</v>
      </c>
      <c r="V105" s="83">
        <f t="shared" si="30"/>
        <v>0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43460.341744885809</v>
      </c>
      <c r="D107" s="83">
        <f>IFERROR(C107/C$28,0)</f>
        <v>4.8255875539555307E-2</v>
      </c>
      <c r="E107" s="82">
        <f>E28-E33-E46-E105</f>
        <v>0</v>
      </c>
      <c r="F107" s="83">
        <f>IFERROR(E107/E$28,0)</f>
        <v>0</v>
      </c>
      <c r="G107" s="82">
        <f>G28-G33-G46-G105</f>
        <v>0</v>
      </c>
      <c r="H107" s="83">
        <f>IFERROR(G107/G$28,0)</f>
        <v>0</v>
      </c>
      <c r="I107" s="82">
        <f>I28-I33-I46-I105</f>
        <v>0</v>
      </c>
      <c r="J107" s="83">
        <f>IFERROR(I107/I$28,0)</f>
        <v>0</v>
      </c>
      <c r="K107" s="82">
        <f>K28-K33-K46-K105</f>
        <v>0</v>
      </c>
      <c r="L107" s="83">
        <f>IFERROR(K107/K$28,0)</f>
        <v>0</v>
      </c>
      <c r="M107" s="82">
        <f>M28-M33-M46-M105</f>
        <v>0</v>
      </c>
      <c r="N107" s="83">
        <f>IFERROR(M107/M$28,0)</f>
        <v>0</v>
      </c>
      <c r="O107" s="82">
        <f>O28-O33-O46-O105</f>
        <v>0</v>
      </c>
      <c r="P107" s="83">
        <f>IFERROR(O107/O$28,0)</f>
        <v>0</v>
      </c>
      <c r="Q107" s="82">
        <f>Q28-Q33-Q46-Q105</f>
        <v>0</v>
      </c>
      <c r="R107" s="83">
        <f>IFERROR(Q107/Q$28,0)</f>
        <v>0</v>
      </c>
      <c r="S107" s="82">
        <f>S28-S33-S46-S105</f>
        <v>0</v>
      </c>
      <c r="T107" s="83">
        <f>IFERROR(S107/S$28,0)</f>
        <v>0</v>
      </c>
      <c r="U107" s="82">
        <f>U28-U33-U46-U105</f>
        <v>0</v>
      </c>
      <c r="V107" s="83">
        <f>IFERROR(U107/U$28,0)</f>
        <v>0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7" tint="0.59999389629810485"/>
  </sheetPr>
  <dimension ref="A1:X119"/>
  <sheetViews>
    <sheetView topLeftCell="A9" zoomScale="70" zoomScaleNormal="70" workbookViewId="0" xr3:uid="{96AA9D09-0E06-52DD-9EE1-B522AFA11096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37.425781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46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Sushi Maki (Graham Center)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36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209</v>
      </c>
      <c r="E8" s="109">
        <f>+C8</f>
        <v>209</v>
      </c>
      <c r="G8" s="109">
        <f>+E8</f>
        <v>209</v>
      </c>
      <c r="I8" s="109">
        <f>+G8</f>
        <v>209</v>
      </c>
      <c r="K8" s="109">
        <f>+I8</f>
        <v>209</v>
      </c>
      <c r="M8" s="109">
        <f>+K8</f>
        <v>209</v>
      </c>
      <c r="O8" s="109">
        <f>+M8</f>
        <v>209</v>
      </c>
      <c r="Q8" s="109">
        <f>+O8</f>
        <v>209</v>
      </c>
      <c r="S8" s="109">
        <f>+Q8</f>
        <v>209</v>
      </c>
      <c r="U8" s="109">
        <f>+S8</f>
        <v>209</v>
      </c>
    </row>
    <row r="10" spans="1:22" ht="12.75" customHeight="1">
      <c r="A10" s="2" t="s">
        <v>449</v>
      </c>
      <c r="C10" s="109"/>
      <c r="E10" s="109"/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450</v>
      </c>
      <c r="C12" s="110"/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451</v>
      </c>
      <c r="C14" s="121">
        <f>C12*C10*C8</f>
        <v>0</v>
      </c>
      <c r="E14" s="121">
        <f>E12*E10*E8</f>
        <v>0</v>
      </c>
      <c r="G14" s="121">
        <f>G12*G10*G8</f>
        <v>0</v>
      </c>
      <c r="I14" s="121">
        <f>I12*I10*I8</f>
        <v>0</v>
      </c>
      <c r="K14" s="121">
        <f>K12*K10*K8</f>
        <v>0</v>
      </c>
      <c r="M14" s="121">
        <f>M12*M10*M8</f>
        <v>0</v>
      </c>
      <c r="O14" s="121">
        <f>O12*O10*O8</f>
        <v>0</v>
      </c>
      <c r="Q14" s="121">
        <f>Q12*Q10*Q8</f>
        <v>0</v>
      </c>
      <c r="S14" s="121">
        <f>S12*S10*S8</f>
        <v>0</v>
      </c>
      <c r="U14" s="121">
        <f>U12*U10*U8</f>
        <v>0</v>
      </c>
    </row>
    <row r="15" spans="1:22" ht="12.75" customHeight="1">
      <c r="A15" s="39">
        <v>7.0000000000000007E-2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</f>
        <v>0</v>
      </c>
      <c r="D19" s="80">
        <f>IFERROR(C19/C$28,0)</f>
        <v>0</v>
      </c>
      <c r="E19" s="208">
        <f>+E14-E20</f>
        <v>0</v>
      </c>
      <c r="F19" s="80">
        <f>IFERROR(E19/E$28,0)</f>
        <v>0</v>
      </c>
      <c r="G19" s="111">
        <f>E19*1.02</f>
        <v>0</v>
      </c>
      <c r="H19" s="80">
        <f>IFERROR(G19/G$28,0)</f>
        <v>0</v>
      </c>
      <c r="I19" s="111">
        <f>G19*1.02</f>
        <v>0</v>
      </c>
      <c r="J19" s="80">
        <f>IFERROR(I19/I$28,0)</f>
        <v>0</v>
      </c>
      <c r="K19" s="111">
        <f>I19*1.02</f>
        <v>0</v>
      </c>
      <c r="L19" s="80">
        <f>IFERROR(K19/K$28,0)</f>
        <v>0</v>
      </c>
      <c r="M19" s="111">
        <f>K19*1.02</f>
        <v>0</v>
      </c>
      <c r="N19" s="80">
        <f>IFERROR(M19/M$28,0)</f>
        <v>0</v>
      </c>
      <c r="O19" s="111">
        <f>M19*1.02</f>
        <v>0</v>
      </c>
      <c r="P19" s="80">
        <f>IFERROR(O19/O$28,0)</f>
        <v>0</v>
      </c>
      <c r="Q19" s="111">
        <f>O19*1.02</f>
        <v>0</v>
      </c>
      <c r="R19" s="80">
        <f>IFERROR(Q19/Q$28,0)</f>
        <v>0</v>
      </c>
      <c r="S19" s="111">
        <f>Q19*1.02</f>
        <v>0</v>
      </c>
      <c r="T19" s="80">
        <f>IFERROR(S19/S$28,0)</f>
        <v>0</v>
      </c>
      <c r="U19" s="111">
        <f>S19*1.02</f>
        <v>0</v>
      </c>
      <c r="V19" s="80">
        <f>IFERROR(U19/U$28,0)</f>
        <v>0</v>
      </c>
    </row>
    <row r="20" spans="1:24" ht="12.75" customHeight="1">
      <c r="A20" s="2" t="s">
        <v>357</v>
      </c>
      <c r="B20" s="35"/>
      <c r="C20" s="111">
        <f>+C14*12.38%</f>
        <v>0</v>
      </c>
      <c r="D20" s="80">
        <f>IFERROR(C20/C$28,0)</f>
        <v>0</v>
      </c>
      <c r="E20" s="111">
        <f>+E14*53.27%</f>
        <v>0</v>
      </c>
      <c r="F20" s="80">
        <f>IFERROR(E20/E$28,0)</f>
        <v>0</v>
      </c>
      <c r="G20" s="111">
        <f t="shared" ref="G20:U21" si="0">E20*1.02</f>
        <v>0</v>
      </c>
      <c r="H20" s="80">
        <f>IFERROR(G20/G$28,0)</f>
        <v>0</v>
      </c>
      <c r="I20" s="111">
        <f t="shared" si="0"/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2" t="s">
        <v>358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459</v>
      </c>
      <c r="B27" s="35"/>
      <c r="C27" s="112">
        <f>700000*0.25</f>
        <v>175000</v>
      </c>
      <c r="D27" s="80">
        <f t="shared" si="1"/>
        <v>1</v>
      </c>
      <c r="E27" s="112">
        <f>+C27*1.02</f>
        <v>178500</v>
      </c>
      <c r="F27" s="80">
        <f t="shared" si="2"/>
        <v>1</v>
      </c>
      <c r="G27" s="112">
        <f>+E27*1.02</f>
        <v>182070</v>
      </c>
      <c r="H27" s="80">
        <f t="shared" si="3"/>
        <v>1</v>
      </c>
      <c r="I27" s="112">
        <f>+G27*1.02</f>
        <v>185711.4</v>
      </c>
      <c r="J27" s="80">
        <f t="shared" si="4"/>
        <v>1</v>
      </c>
      <c r="K27" s="112">
        <f>+I27*1.02</f>
        <v>189425.628</v>
      </c>
      <c r="L27" s="80">
        <f t="shared" si="5"/>
        <v>1</v>
      </c>
      <c r="M27" s="112">
        <f>+K27*1.02</f>
        <v>193214.14056</v>
      </c>
      <c r="N27" s="80">
        <f t="shared" si="6"/>
        <v>1</v>
      </c>
      <c r="O27" s="112">
        <f>+M27*1.02</f>
        <v>197078.42337120001</v>
      </c>
      <c r="P27" s="80">
        <f t="shared" si="7"/>
        <v>1</v>
      </c>
      <c r="Q27" s="112">
        <f>+O27*1.02</f>
        <v>201019.99183862403</v>
      </c>
      <c r="R27" s="80">
        <f t="shared" si="8"/>
        <v>1</v>
      </c>
      <c r="S27" s="112">
        <f>+Q27*1.02</f>
        <v>205040.3916753965</v>
      </c>
      <c r="T27" s="80">
        <f t="shared" si="9"/>
        <v>1</v>
      </c>
      <c r="U27" s="112">
        <f>+S27*1.02</f>
        <v>209141.19950890445</v>
      </c>
      <c r="V27" s="80">
        <f t="shared" si="10"/>
        <v>1</v>
      </c>
    </row>
    <row r="28" spans="1:24" ht="12.75" customHeight="1">
      <c r="A28" s="1" t="s">
        <v>365</v>
      </c>
      <c r="B28" s="53"/>
      <c r="C28" s="82">
        <f>SUM(C19:C27)</f>
        <v>175000</v>
      </c>
      <c r="D28" s="83">
        <f t="shared" si="1"/>
        <v>1</v>
      </c>
      <c r="E28" s="82">
        <f>SUM(E19:E27)</f>
        <v>178500</v>
      </c>
      <c r="F28" s="83">
        <f t="shared" si="2"/>
        <v>1</v>
      </c>
      <c r="G28" s="82">
        <f>SUM(G19:G27)</f>
        <v>182070</v>
      </c>
      <c r="H28" s="83">
        <f t="shared" si="3"/>
        <v>1</v>
      </c>
      <c r="I28" s="82">
        <f>SUM(I19:I27)</f>
        <v>185711.4</v>
      </c>
      <c r="J28" s="83">
        <f t="shared" si="4"/>
        <v>1</v>
      </c>
      <c r="K28" s="82">
        <f>SUM(K19:K27)</f>
        <v>189425.628</v>
      </c>
      <c r="L28" s="83">
        <f t="shared" si="5"/>
        <v>1</v>
      </c>
      <c r="M28" s="82">
        <f>SUM(M19:M27)</f>
        <v>193214.14056</v>
      </c>
      <c r="N28" s="83">
        <f t="shared" si="6"/>
        <v>1</v>
      </c>
      <c r="O28" s="82">
        <f>SUM(O19:O27)</f>
        <v>197078.42337120001</v>
      </c>
      <c r="P28" s="83">
        <f t="shared" si="7"/>
        <v>1</v>
      </c>
      <c r="Q28" s="82">
        <f>SUM(Q19:Q27)</f>
        <v>201019.99183862403</v>
      </c>
      <c r="R28" s="83">
        <f t="shared" si="8"/>
        <v>1</v>
      </c>
      <c r="S28" s="82">
        <f>SUM(S19:S27)</f>
        <v>205040.3916753965</v>
      </c>
      <c r="T28" s="83">
        <f t="shared" si="9"/>
        <v>1</v>
      </c>
      <c r="U28" s="82">
        <f>SUM(U19:U27)</f>
        <v>209141.19950890445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0</v>
      </c>
      <c r="D31" s="80">
        <f>IFERROR(C31/C$28,0)</f>
        <v>0</v>
      </c>
      <c r="E31" s="179">
        <f>$C$30*E14</f>
        <v>0</v>
      </c>
      <c r="F31" s="80">
        <f>IFERROR(E31/E$28,0)</f>
        <v>0</v>
      </c>
      <c r="G31" s="179">
        <f>$C$30*G14</f>
        <v>0</v>
      </c>
      <c r="H31" s="80">
        <f>IFERROR(G31/G$28,0)</f>
        <v>0</v>
      </c>
      <c r="I31" s="179">
        <f>$C$30*I14</f>
        <v>0</v>
      </c>
      <c r="J31" s="80">
        <f>IFERROR(I31/I$28,0)</f>
        <v>0</v>
      </c>
      <c r="K31" s="179">
        <f>$C$30*K14</f>
        <v>0</v>
      </c>
      <c r="L31" s="80">
        <f>IFERROR(K31/K$28,0)</f>
        <v>0</v>
      </c>
      <c r="M31" s="179">
        <f>$C$30*M14</f>
        <v>0</v>
      </c>
      <c r="N31" s="80">
        <f>IFERROR(M31/M$28,0)</f>
        <v>0</v>
      </c>
      <c r="O31" s="179">
        <f>$C$30*O14</f>
        <v>0</v>
      </c>
      <c r="P31" s="80">
        <f>IFERROR(O31/O$28,0)</f>
        <v>0</v>
      </c>
      <c r="Q31" s="179">
        <f>$C$30*Q14</f>
        <v>0</v>
      </c>
      <c r="R31" s="80">
        <f>IFERROR(Q31/Q$28,0)</f>
        <v>0</v>
      </c>
      <c r="S31" s="179">
        <f>$C$30*S14</f>
        <v>0</v>
      </c>
      <c r="T31" s="80">
        <f>IFERROR(S31/S$28,0)</f>
        <v>0</v>
      </c>
      <c r="U31" s="179">
        <f>$C$30*U14</f>
        <v>0</v>
      </c>
      <c r="V31" s="80">
        <f>IFERROR(U31/U$28,0)</f>
        <v>0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0</v>
      </c>
      <c r="D33" s="83">
        <f>IFERROR(C33/C$28,0)</f>
        <v>0</v>
      </c>
      <c r="E33" s="82">
        <f>SUM(E31:E32)</f>
        <v>0</v>
      </c>
      <c r="F33" s="83">
        <f>IFERROR(E33/E$28,0)</f>
        <v>0</v>
      </c>
      <c r="G33" s="82">
        <f>SUM(G31:G32)</f>
        <v>0</v>
      </c>
      <c r="H33" s="83">
        <f>IFERROR(G33/G$28,0)</f>
        <v>0</v>
      </c>
      <c r="I33" s="82">
        <f>SUM(I31:I32)</f>
        <v>0</v>
      </c>
      <c r="J33" s="83">
        <f>IFERROR(I33/I$28,0)</f>
        <v>0</v>
      </c>
      <c r="K33" s="82">
        <f>SUM(K31:K32)</f>
        <v>0</v>
      </c>
      <c r="L33" s="83">
        <f>IFERROR(K33/K$28,0)</f>
        <v>0</v>
      </c>
      <c r="M33" s="82">
        <f>SUM(M31:M32)</f>
        <v>0</v>
      </c>
      <c r="N33" s="83">
        <f>IFERROR(M33/M$28,0)</f>
        <v>0</v>
      </c>
      <c r="O33" s="82">
        <f>SUM(O31:O32)</f>
        <v>0</v>
      </c>
      <c r="P33" s="83">
        <f>IFERROR(O33/O$28,0)</f>
        <v>0</v>
      </c>
      <c r="Q33" s="82">
        <f>SUM(Q31:Q32)</f>
        <v>0</v>
      </c>
      <c r="R33" s="83">
        <f>IFERROR(Q33/Q$28,0)</f>
        <v>0</v>
      </c>
      <c r="S33" s="82">
        <f>SUM(S31:S32)</f>
        <v>0</v>
      </c>
      <c r="T33" s="83">
        <f>IFERROR(S33/S$28,0)</f>
        <v>0</v>
      </c>
      <c r="U33" s="82">
        <f>SUM(U31:U32)</f>
        <v>0</v>
      </c>
      <c r="V33" s="83">
        <f>IFERROR(U33/U$28,0)</f>
        <v>0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13"/>
      <c r="D36" s="80">
        <f t="shared" ref="D36:D46" si="11">IFERROR(C36/C$28,0)</f>
        <v>0</v>
      </c>
      <c r="E36" s="179"/>
      <c r="F36" s="80">
        <f t="shared" ref="F36:F46" si="12">IFERROR(E36/E$28,0)</f>
        <v>0</v>
      </c>
      <c r="G36" s="179"/>
      <c r="H36" s="80">
        <f t="shared" ref="H36:H46" si="13">IFERROR(G36/G$28,0)</f>
        <v>0</v>
      </c>
      <c r="I36" s="179"/>
      <c r="J36" s="80">
        <f t="shared" ref="J36:J46" si="14">IFERROR(I36/I$28,0)</f>
        <v>0</v>
      </c>
      <c r="K36" s="179"/>
      <c r="L36" s="80">
        <f t="shared" ref="L36:L46" si="15">IFERROR(K36/K$28,0)</f>
        <v>0</v>
      </c>
      <c r="M36" s="179"/>
      <c r="N36" s="80">
        <f t="shared" ref="N36:N46" si="16">IFERROR(M36/M$28,0)</f>
        <v>0</v>
      </c>
      <c r="O36" s="179"/>
      <c r="P36" s="80">
        <f t="shared" ref="P36:P46" si="17">IFERROR(O36/O$28,0)</f>
        <v>0</v>
      </c>
      <c r="Q36" s="179"/>
      <c r="R36" s="80">
        <f t="shared" ref="R36:R46" si="18">IFERROR(Q36/Q$28,0)</f>
        <v>0</v>
      </c>
      <c r="S36" s="179"/>
      <c r="T36" s="80">
        <f t="shared" ref="T36:T46" si="19">IFERROR(S36/S$28,0)</f>
        <v>0</v>
      </c>
      <c r="U36" s="179"/>
      <c r="V36" s="80">
        <f t="shared" ref="V36:V46" si="20">IFERROR(U36/U$28,0)</f>
        <v>0</v>
      </c>
    </row>
    <row r="37" spans="1:22" ht="12.75" customHeight="1">
      <c r="A37" s="2" t="s">
        <v>372</v>
      </c>
      <c r="B37" s="35"/>
      <c r="C37" s="113"/>
      <c r="D37" s="80">
        <f t="shared" si="11"/>
        <v>0</v>
      </c>
      <c r="E37" s="179">
        <f>+C37*1.112</f>
        <v>0</v>
      </c>
      <c r="F37" s="80">
        <f t="shared" si="12"/>
        <v>0</v>
      </c>
      <c r="G37" s="179">
        <f>+E37*1.035</f>
        <v>0</v>
      </c>
      <c r="H37" s="80">
        <f t="shared" si="13"/>
        <v>0</v>
      </c>
      <c r="I37" s="179">
        <f>+G37*1.032</f>
        <v>0</v>
      </c>
      <c r="J37" s="80">
        <f t="shared" si="14"/>
        <v>0</v>
      </c>
      <c r="K37" s="179">
        <f>+I37*1.025</f>
        <v>0</v>
      </c>
      <c r="L37" s="80">
        <f t="shared" si="15"/>
        <v>0</v>
      </c>
      <c r="M37" s="179">
        <f>+K37*1.025</f>
        <v>0</v>
      </c>
      <c r="N37" s="80">
        <f t="shared" si="16"/>
        <v>0</v>
      </c>
      <c r="O37" s="179">
        <f>+M37*1.025</f>
        <v>0</v>
      </c>
      <c r="P37" s="80">
        <f t="shared" si="17"/>
        <v>0</v>
      </c>
      <c r="Q37" s="179">
        <f>+O37*1.025</f>
        <v>0</v>
      </c>
      <c r="R37" s="80">
        <f t="shared" si="18"/>
        <v>0</v>
      </c>
      <c r="S37" s="179">
        <f>+Q37*1.025</f>
        <v>0</v>
      </c>
      <c r="T37" s="80">
        <f t="shared" si="19"/>
        <v>0</v>
      </c>
      <c r="U37" s="179">
        <f>+S37*1.025</f>
        <v>0</v>
      </c>
      <c r="V37" s="80">
        <f t="shared" si="20"/>
        <v>0</v>
      </c>
    </row>
    <row r="38" spans="1:22" ht="12.75" customHeight="1">
      <c r="A38" s="2" t="s">
        <v>373</v>
      </c>
      <c r="B38" s="35"/>
      <c r="C38" s="113"/>
      <c r="D38" s="80">
        <f t="shared" si="11"/>
        <v>0</v>
      </c>
      <c r="E38" s="179">
        <f t="shared" ref="E38:E39" si="21">+C38*1.112</f>
        <v>0</v>
      </c>
      <c r="F38" s="80">
        <f t="shared" si="12"/>
        <v>0</v>
      </c>
      <c r="G38" s="179">
        <f>+E38*1.035</f>
        <v>0</v>
      </c>
      <c r="H38" s="80">
        <f t="shared" si="13"/>
        <v>0</v>
      </c>
      <c r="I38" s="179">
        <f>+G38*1.032</f>
        <v>0</v>
      </c>
      <c r="J38" s="80">
        <f t="shared" si="14"/>
        <v>0</v>
      </c>
      <c r="K38" s="179">
        <f>+I38*1.025</f>
        <v>0</v>
      </c>
      <c r="L38" s="80">
        <f t="shared" si="15"/>
        <v>0</v>
      </c>
      <c r="M38" s="179">
        <f>+K38*1.025</f>
        <v>0</v>
      </c>
      <c r="N38" s="80">
        <f t="shared" si="16"/>
        <v>0</v>
      </c>
      <c r="O38" s="179">
        <f>+M38*1.025</f>
        <v>0</v>
      </c>
      <c r="P38" s="80">
        <f t="shared" si="17"/>
        <v>0</v>
      </c>
      <c r="Q38" s="179">
        <f>+O38*1.025</f>
        <v>0</v>
      </c>
      <c r="R38" s="80">
        <f t="shared" si="18"/>
        <v>0</v>
      </c>
      <c r="S38" s="179">
        <f>+Q38*1.025</f>
        <v>0</v>
      </c>
      <c r="T38" s="80">
        <f t="shared" si="19"/>
        <v>0</v>
      </c>
      <c r="U38" s="179">
        <f>+S38*1.025</f>
        <v>0</v>
      </c>
      <c r="V38" s="80">
        <f t="shared" si="20"/>
        <v>0</v>
      </c>
    </row>
    <row r="39" spans="1:22" ht="12.75" customHeight="1">
      <c r="A39" s="2" t="s">
        <v>374</v>
      </c>
      <c r="B39" s="35"/>
      <c r="C39" s="113"/>
      <c r="D39" s="80">
        <f t="shared" si="11"/>
        <v>0</v>
      </c>
      <c r="E39" s="179">
        <f t="shared" si="21"/>
        <v>0</v>
      </c>
      <c r="F39" s="80">
        <f t="shared" si="12"/>
        <v>0</v>
      </c>
      <c r="G39" s="179">
        <f>+E39*1.035</f>
        <v>0</v>
      </c>
      <c r="H39" s="80">
        <f t="shared" si="13"/>
        <v>0</v>
      </c>
      <c r="I39" s="179">
        <f>+G39*1.032</f>
        <v>0</v>
      </c>
      <c r="J39" s="80">
        <f t="shared" si="14"/>
        <v>0</v>
      </c>
      <c r="K39" s="179">
        <f>+I39*1.025</f>
        <v>0</v>
      </c>
      <c r="L39" s="80">
        <f t="shared" si="15"/>
        <v>0</v>
      </c>
      <c r="M39" s="179">
        <f>+K39*1.025</f>
        <v>0</v>
      </c>
      <c r="N39" s="80">
        <f t="shared" si="16"/>
        <v>0</v>
      </c>
      <c r="O39" s="179">
        <f>+M39*1.025</f>
        <v>0</v>
      </c>
      <c r="P39" s="80">
        <f t="shared" si="17"/>
        <v>0</v>
      </c>
      <c r="Q39" s="179">
        <f>+O39*1.025</f>
        <v>0</v>
      </c>
      <c r="R39" s="80">
        <f t="shared" si="18"/>
        <v>0</v>
      </c>
      <c r="S39" s="179">
        <f>+Q39*1.025</f>
        <v>0</v>
      </c>
      <c r="T39" s="80">
        <f t="shared" si="19"/>
        <v>0</v>
      </c>
      <c r="U39" s="179">
        <f>+S39*1.025</f>
        <v>0</v>
      </c>
      <c r="V39" s="80">
        <f t="shared" si="20"/>
        <v>0</v>
      </c>
    </row>
    <row r="40" spans="1:22" ht="12.75" customHeight="1">
      <c r="A40" s="2" t="s">
        <v>375</v>
      </c>
      <c r="B40" s="35"/>
      <c r="C40" s="113">
        <f>C36*0.124</f>
        <v>0</v>
      </c>
      <c r="D40" s="80">
        <f t="shared" si="11"/>
        <v>0</v>
      </c>
      <c r="E40" s="113">
        <f>E36*0.124</f>
        <v>0</v>
      </c>
      <c r="F40" s="80">
        <f t="shared" si="12"/>
        <v>0</v>
      </c>
      <c r="G40" s="113">
        <f>G36*0.124</f>
        <v>0</v>
      </c>
      <c r="H40" s="80">
        <f t="shared" si="13"/>
        <v>0</v>
      </c>
      <c r="I40" s="113">
        <f>I36*0.124</f>
        <v>0</v>
      </c>
      <c r="J40" s="80">
        <f t="shared" si="14"/>
        <v>0</v>
      </c>
      <c r="K40" s="113">
        <f>K36*0.124</f>
        <v>0</v>
      </c>
      <c r="L40" s="80">
        <f t="shared" si="15"/>
        <v>0</v>
      </c>
      <c r="M40" s="113">
        <f>M36*0.124</f>
        <v>0</v>
      </c>
      <c r="N40" s="80">
        <f t="shared" si="16"/>
        <v>0</v>
      </c>
      <c r="O40" s="113">
        <f>O36*0.124</f>
        <v>0</v>
      </c>
      <c r="P40" s="80">
        <f t="shared" si="17"/>
        <v>0</v>
      </c>
      <c r="Q40" s="113">
        <f>Q36*0.124</f>
        <v>0</v>
      </c>
      <c r="R40" s="80">
        <f t="shared" si="18"/>
        <v>0</v>
      </c>
      <c r="S40" s="113">
        <f>S36*0.124</f>
        <v>0</v>
      </c>
      <c r="T40" s="80">
        <f t="shared" si="19"/>
        <v>0</v>
      </c>
      <c r="U40" s="113">
        <f>U36*0.124</f>
        <v>0</v>
      </c>
      <c r="V40" s="80">
        <f t="shared" si="20"/>
        <v>0</v>
      </c>
    </row>
    <row r="41" spans="1:22" ht="12.75" customHeight="1">
      <c r="A41" s="2" t="s">
        <v>376</v>
      </c>
      <c r="B41" s="35"/>
      <c r="C41" s="113">
        <f>C37*0.124</f>
        <v>0</v>
      </c>
      <c r="D41" s="80">
        <f t="shared" si="11"/>
        <v>0</v>
      </c>
      <c r="E41" s="113">
        <f>E37*0.124</f>
        <v>0</v>
      </c>
      <c r="F41" s="80">
        <f t="shared" si="12"/>
        <v>0</v>
      </c>
      <c r="G41" s="113">
        <f>G37*0.124</f>
        <v>0</v>
      </c>
      <c r="H41" s="80">
        <f t="shared" si="13"/>
        <v>0</v>
      </c>
      <c r="I41" s="113">
        <f>I37*0.124</f>
        <v>0</v>
      </c>
      <c r="J41" s="80">
        <f t="shared" si="14"/>
        <v>0</v>
      </c>
      <c r="K41" s="113">
        <f>K37*0.124</f>
        <v>0</v>
      </c>
      <c r="L41" s="80">
        <f t="shared" si="15"/>
        <v>0</v>
      </c>
      <c r="M41" s="113">
        <f>M37*0.124</f>
        <v>0</v>
      </c>
      <c r="N41" s="80">
        <f t="shared" si="16"/>
        <v>0</v>
      </c>
      <c r="O41" s="113">
        <f>O37*0.124</f>
        <v>0</v>
      </c>
      <c r="P41" s="80">
        <f t="shared" si="17"/>
        <v>0</v>
      </c>
      <c r="Q41" s="113">
        <f>Q37*0.124</f>
        <v>0</v>
      </c>
      <c r="R41" s="80">
        <f t="shared" si="18"/>
        <v>0</v>
      </c>
      <c r="S41" s="113">
        <f>S37*0.124</f>
        <v>0</v>
      </c>
      <c r="T41" s="80">
        <f t="shared" si="19"/>
        <v>0</v>
      </c>
      <c r="U41" s="113">
        <f>U37*0.124</f>
        <v>0</v>
      </c>
      <c r="V41" s="80">
        <f t="shared" si="20"/>
        <v>0</v>
      </c>
    </row>
    <row r="42" spans="1:22" ht="12.75" customHeight="1">
      <c r="A42" s="2" t="s">
        <v>377</v>
      </c>
      <c r="B42" s="35"/>
      <c r="C42" s="113"/>
      <c r="D42" s="80">
        <f t="shared" si="11"/>
        <v>0</v>
      </c>
      <c r="E42" s="179"/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13"/>
      <c r="D43" s="80">
        <f t="shared" si="11"/>
        <v>0</v>
      </c>
      <c r="E43" s="179"/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13"/>
      <c r="D44" s="80">
        <f t="shared" si="11"/>
        <v>0</v>
      </c>
      <c r="E44" s="179"/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14">
        <f>SUM(C36:C39)*0.094</f>
        <v>0</v>
      </c>
      <c r="D45" s="80">
        <f t="shared" si="11"/>
        <v>0</v>
      </c>
      <c r="E45" s="114">
        <f>SUM(E36:E39)*0.094</f>
        <v>0</v>
      </c>
      <c r="F45" s="80">
        <f t="shared" si="12"/>
        <v>0</v>
      </c>
      <c r="G45" s="114">
        <f>SUM(G36:G39)*0.094</f>
        <v>0</v>
      </c>
      <c r="H45" s="80">
        <f t="shared" si="13"/>
        <v>0</v>
      </c>
      <c r="I45" s="114">
        <f>SUM(I36:I39)*0.094</f>
        <v>0</v>
      </c>
      <c r="J45" s="80">
        <f t="shared" si="14"/>
        <v>0</v>
      </c>
      <c r="K45" s="114">
        <f>SUM(K36:K39)*0.094</f>
        <v>0</v>
      </c>
      <c r="L45" s="80">
        <f t="shared" si="15"/>
        <v>0</v>
      </c>
      <c r="M45" s="114">
        <f>SUM(M36:M39)*0.094</f>
        <v>0</v>
      </c>
      <c r="N45" s="80">
        <f t="shared" si="16"/>
        <v>0</v>
      </c>
      <c r="O45" s="114">
        <f>SUM(O36:O39)*0.094</f>
        <v>0</v>
      </c>
      <c r="P45" s="80">
        <f t="shared" si="17"/>
        <v>0</v>
      </c>
      <c r="Q45" s="114">
        <f>SUM(Q36:Q39)*0.094</f>
        <v>0</v>
      </c>
      <c r="R45" s="80">
        <f t="shared" si="18"/>
        <v>0</v>
      </c>
      <c r="S45" s="114">
        <f>SUM(S36:S39)*0.094</f>
        <v>0</v>
      </c>
      <c r="T45" s="80">
        <f t="shared" si="19"/>
        <v>0</v>
      </c>
      <c r="U45" s="114">
        <f>SUM(U36:U39)*0.094</f>
        <v>0</v>
      </c>
      <c r="V45" s="80">
        <f t="shared" si="20"/>
        <v>0</v>
      </c>
    </row>
    <row r="46" spans="1:22" ht="12.75" customHeight="1">
      <c r="A46" s="1" t="s">
        <v>381</v>
      </c>
      <c r="B46" s="53"/>
      <c r="C46" s="82">
        <f>SUM(C36:C45)</f>
        <v>0</v>
      </c>
      <c r="D46" s="83">
        <f t="shared" si="11"/>
        <v>0</v>
      </c>
      <c r="E46" s="82">
        <f>SUM(E36:E45)</f>
        <v>0</v>
      </c>
      <c r="F46" s="83">
        <f t="shared" si="12"/>
        <v>0</v>
      </c>
      <c r="G46" s="82">
        <f>SUM(G36:G45)</f>
        <v>0</v>
      </c>
      <c r="H46" s="83">
        <f t="shared" si="13"/>
        <v>0</v>
      </c>
      <c r="I46" s="82">
        <f>SUM(I36:I45)</f>
        <v>0</v>
      </c>
      <c r="J46" s="83">
        <f t="shared" si="14"/>
        <v>0</v>
      </c>
      <c r="K46" s="82">
        <f>SUM(K36:K45)</f>
        <v>0</v>
      </c>
      <c r="L46" s="83">
        <f t="shared" si="15"/>
        <v>0</v>
      </c>
      <c r="M46" s="82">
        <f>SUM(M36:M45)</f>
        <v>0</v>
      </c>
      <c r="N46" s="83">
        <f t="shared" si="16"/>
        <v>0</v>
      </c>
      <c r="O46" s="82">
        <f>SUM(O36:O45)</f>
        <v>0</v>
      </c>
      <c r="P46" s="83">
        <f t="shared" si="17"/>
        <v>0</v>
      </c>
      <c r="Q46" s="82">
        <f>SUM(Q36:Q45)</f>
        <v>0</v>
      </c>
      <c r="R46" s="83">
        <f t="shared" si="18"/>
        <v>0</v>
      </c>
      <c r="S46" s="82">
        <f>SUM(S36:S45)</f>
        <v>0</v>
      </c>
      <c r="T46" s="83">
        <f t="shared" si="19"/>
        <v>0</v>
      </c>
      <c r="U46" s="82">
        <f>SUM(U36:U45)</f>
        <v>0</v>
      </c>
      <c r="V46" s="83">
        <f t="shared" si="20"/>
        <v>0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83" si="22">IFERROR(C52/C$28,0)</f>
        <v>0</v>
      </c>
      <c r="E52" s="179">
        <v>0</v>
      </c>
      <c r="F52" s="80">
        <f t="shared" ref="F52:F105" si="23">IFERROR(E52/E$28,0)</f>
        <v>0</v>
      </c>
      <c r="G52" s="179">
        <v>0</v>
      </c>
      <c r="H52" s="80">
        <f t="shared" ref="H52:H105" si="24">IFERROR(G52/G$28,0)</f>
        <v>0</v>
      </c>
      <c r="I52" s="179">
        <v>0</v>
      </c>
      <c r="J52" s="80">
        <f t="shared" ref="J52:J105" si="25">IFERROR(I52/I$28,0)</f>
        <v>0</v>
      </c>
      <c r="K52" s="179">
        <v>0</v>
      </c>
      <c r="L52" s="80">
        <f t="shared" ref="L52:L105" si="26">IFERROR(K52/K$28,0)</f>
        <v>0</v>
      </c>
      <c r="M52" s="179">
        <v>0</v>
      </c>
      <c r="N52" s="80">
        <f t="shared" ref="N52:N105" si="27">IFERROR(M52/M$28,0)</f>
        <v>0</v>
      </c>
      <c r="O52" s="179">
        <v>0</v>
      </c>
      <c r="P52" s="80">
        <f t="shared" ref="P52:P105" si="28">IFERROR(O52/O$28,0)</f>
        <v>0</v>
      </c>
      <c r="Q52" s="179">
        <v>0</v>
      </c>
      <c r="R52" s="80">
        <f t="shared" ref="R52:R105" si="29">IFERROR(Q52/Q$28,0)</f>
        <v>0</v>
      </c>
      <c r="S52" s="179">
        <v>0</v>
      </c>
      <c r="T52" s="80">
        <f t="shared" ref="T52:T105" si="30">IFERROR(S52/S$28,0)</f>
        <v>0</v>
      </c>
      <c r="U52" s="179">
        <v>0</v>
      </c>
      <c r="V52" s="80">
        <f t="shared" ref="V52:V105" si="31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2"/>
        <v>0</v>
      </c>
      <c r="E53" s="179">
        <v>0</v>
      </c>
      <c r="F53" s="80">
        <f t="shared" si="23"/>
        <v>0</v>
      </c>
      <c r="G53" s="179">
        <v>0</v>
      </c>
      <c r="H53" s="80">
        <f t="shared" si="24"/>
        <v>0</v>
      </c>
      <c r="I53" s="179">
        <v>0</v>
      </c>
      <c r="J53" s="80">
        <f t="shared" si="25"/>
        <v>0</v>
      </c>
      <c r="K53" s="179">
        <v>0</v>
      </c>
      <c r="L53" s="80">
        <f t="shared" si="26"/>
        <v>0</v>
      </c>
      <c r="M53" s="179">
        <v>0</v>
      </c>
      <c r="N53" s="80">
        <f t="shared" si="27"/>
        <v>0</v>
      </c>
      <c r="O53" s="179">
        <v>0</v>
      </c>
      <c r="P53" s="80">
        <f t="shared" si="28"/>
        <v>0</v>
      </c>
      <c r="Q53" s="179">
        <v>0</v>
      </c>
      <c r="R53" s="80">
        <f t="shared" si="29"/>
        <v>0</v>
      </c>
      <c r="S53" s="179">
        <v>0</v>
      </c>
      <c r="T53" s="80">
        <f t="shared" si="30"/>
        <v>0</v>
      </c>
      <c r="U53" s="179">
        <v>0</v>
      </c>
      <c r="V53" s="80">
        <f t="shared" si="31"/>
        <v>0</v>
      </c>
      <c r="X53" s="200"/>
    </row>
    <row r="54" spans="1:24" ht="12.75" customHeight="1">
      <c r="A54" s="2" t="s">
        <v>385</v>
      </c>
      <c r="B54" s="35"/>
      <c r="C54" s="179">
        <v>0</v>
      </c>
      <c r="D54" s="80">
        <f t="shared" si="22"/>
        <v>0</v>
      </c>
      <c r="E54" s="179">
        <v>0</v>
      </c>
      <c r="F54" s="80">
        <f t="shared" si="23"/>
        <v>0</v>
      </c>
      <c r="G54" s="179">
        <v>0</v>
      </c>
      <c r="H54" s="80">
        <f t="shared" si="24"/>
        <v>0</v>
      </c>
      <c r="I54" s="179">
        <v>0</v>
      </c>
      <c r="J54" s="80">
        <f t="shared" si="25"/>
        <v>0</v>
      </c>
      <c r="K54" s="179">
        <v>0</v>
      </c>
      <c r="L54" s="80">
        <f t="shared" si="26"/>
        <v>0</v>
      </c>
      <c r="M54" s="179">
        <v>0</v>
      </c>
      <c r="N54" s="80">
        <f t="shared" si="27"/>
        <v>0</v>
      </c>
      <c r="O54" s="179">
        <v>0</v>
      </c>
      <c r="P54" s="80">
        <f t="shared" si="28"/>
        <v>0</v>
      </c>
      <c r="Q54" s="179">
        <v>0</v>
      </c>
      <c r="R54" s="80">
        <f t="shared" si="29"/>
        <v>0</v>
      </c>
      <c r="S54" s="179">
        <v>0</v>
      </c>
      <c r="T54" s="80">
        <f t="shared" si="30"/>
        <v>0</v>
      </c>
      <c r="U54" s="179">
        <v>0</v>
      </c>
      <c r="V54" s="80">
        <f t="shared" si="31"/>
        <v>0</v>
      </c>
      <c r="X54" s="200"/>
    </row>
    <row r="55" spans="1:24" ht="12.75" customHeight="1">
      <c r="A55" s="2" t="s">
        <v>386</v>
      </c>
      <c r="B55" s="35"/>
      <c r="C55" s="179">
        <v>0</v>
      </c>
      <c r="D55" s="80">
        <f t="shared" si="22"/>
        <v>0</v>
      </c>
      <c r="E55" s="179">
        <v>0</v>
      </c>
      <c r="F55" s="80">
        <f t="shared" si="23"/>
        <v>0</v>
      </c>
      <c r="G55" s="179">
        <v>0</v>
      </c>
      <c r="H55" s="80">
        <f t="shared" si="24"/>
        <v>0</v>
      </c>
      <c r="I55" s="179">
        <v>0</v>
      </c>
      <c r="J55" s="80">
        <f t="shared" si="25"/>
        <v>0</v>
      </c>
      <c r="K55" s="179">
        <v>0</v>
      </c>
      <c r="L55" s="80">
        <f t="shared" si="26"/>
        <v>0</v>
      </c>
      <c r="M55" s="179">
        <v>0</v>
      </c>
      <c r="N55" s="80">
        <f t="shared" si="27"/>
        <v>0</v>
      </c>
      <c r="O55" s="179">
        <v>0</v>
      </c>
      <c r="P55" s="80">
        <f t="shared" si="28"/>
        <v>0</v>
      </c>
      <c r="Q55" s="179">
        <v>0</v>
      </c>
      <c r="R55" s="80">
        <f t="shared" si="29"/>
        <v>0</v>
      </c>
      <c r="S55" s="179">
        <v>0</v>
      </c>
      <c r="T55" s="80">
        <f t="shared" si="30"/>
        <v>0</v>
      </c>
      <c r="U55" s="179">
        <v>0</v>
      </c>
      <c r="V55" s="80">
        <f t="shared" si="31"/>
        <v>0</v>
      </c>
      <c r="X55" s="200"/>
    </row>
    <row r="56" spans="1:24" ht="12.75" customHeight="1">
      <c r="A56" s="2" t="s">
        <v>387</v>
      </c>
      <c r="B56" s="35"/>
      <c r="C56" s="179">
        <v>0</v>
      </c>
      <c r="D56" s="80">
        <f t="shared" si="22"/>
        <v>0</v>
      </c>
      <c r="E56" s="179">
        <v>0</v>
      </c>
      <c r="F56" s="80">
        <f t="shared" si="23"/>
        <v>0</v>
      </c>
      <c r="G56" s="179">
        <v>0</v>
      </c>
      <c r="H56" s="80">
        <f t="shared" si="24"/>
        <v>0</v>
      </c>
      <c r="I56" s="179">
        <v>0</v>
      </c>
      <c r="J56" s="80">
        <f t="shared" si="25"/>
        <v>0</v>
      </c>
      <c r="K56" s="179">
        <v>0</v>
      </c>
      <c r="L56" s="80">
        <f t="shared" si="26"/>
        <v>0</v>
      </c>
      <c r="M56" s="179">
        <v>0</v>
      </c>
      <c r="N56" s="80">
        <f t="shared" si="27"/>
        <v>0</v>
      </c>
      <c r="O56" s="179">
        <v>0</v>
      </c>
      <c r="P56" s="80">
        <f t="shared" si="28"/>
        <v>0</v>
      </c>
      <c r="Q56" s="179">
        <v>0</v>
      </c>
      <c r="R56" s="80">
        <f t="shared" si="29"/>
        <v>0</v>
      </c>
      <c r="S56" s="179">
        <v>0</v>
      </c>
      <c r="T56" s="80">
        <f t="shared" si="30"/>
        <v>0</v>
      </c>
      <c r="U56" s="179">
        <v>0</v>
      </c>
      <c r="V56" s="80">
        <f t="shared" si="31"/>
        <v>0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2"/>
        <v>0</v>
      </c>
      <c r="E57" s="179">
        <v>0</v>
      </c>
      <c r="F57" s="80">
        <f t="shared" si="23"/>
        <v>0</v>
      </c>
      <c r="G57" s="179">
        <v>0</v>
      </c>
      <c r="H57" s="80">
        <f t="shared" si="24"/>
        <v>0</v>
      </c>
      <c r="I57" s="179">
        <v>0</v>
      </c>
      <c r="J57" s="80">
        <f t="shared" si="25"/>
        <v>0</v>
      </c>
      <c r="K57" s="179">
        <v>0</v>
      </c>
      <c r="L57" s="80">
        <f t="shared" si="26"/>
        <v>0</v>
      </c>
      <c r="M57" s="179">
        <v>0</v>
      </c>
      <c r="N57" s="80">
        <f t="shared" si="27"/>
        <v>0</v>
      </c>
      <c r="O57" s="179">
        <v>0</v>
      </c>
      <c r="P57" s="80">
        <f t="shared" si="28"/>
        <v>0</v>
      </c>
      <c r="Q57" s="179">
        <v>0</v>
      </c>
      <c r="R57" s="80">
        <f t="shared" si="29"/>
        <v>0</v>
      </c>
      <c r="S57" s="179">
        <v>0</v>
      </c>
      <c r="T57" s="80">
        <f t="shared" si="30"/>
        <v>0</v>
      </c>
      <c r="U57" s="179">
        <v>0</v>
      </c>
      <c r="V57" s="80">
        <f t="shared" si="31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2"/>
        <v>0</v>
      </c>
      <c r="E58" s="179">
        <v>0</v>
      </c>
      <c r="F58" s="80">
        <f t="shared" si="23"/>
        <v>0</v>
      </c>
      <c r="G58" s="179">
        <v>0</v>
      </c>
      <c r="H58" s="80">
        <f t="shared" si="24"/>
        <v>0</v>
      </c>
      <c r="I58" s="179">
        <v>0</v>
      </c>
      <c r="J58" s="80">
        <f t="shared" si="25"/>
        <v>0</v>
      </c>
      <c r="K58" s="179">
        <v>0</v>
      </c>
      <c r="L58" s="80">
        <f t="shared" si="26"/>
        <v>0</v>
      </c>
      <c r="M58" s="179">
        <v>0</v>
      </c>
      <c r="N58" s="80">
        <f t="shared" si="27"/>
        <v>0</v>
      </c>
      <c r="O58" s="179">
        <v>0</v>
      </c>
      <c r="P58" s="80">
        <f t="shared" si="28"/>
        <v>0</v>
      </c>
      <c r="Q58" s="179">
        <v>0</v>
      </c>
      <c r="R58" s="80">
        <f t="shared" si="29"/>
        <v>0</v>
      </c>
      <c r="S58" s="179">
        <v>0</v>
      </c>
      <c r="T58" s="80">
        <f t="shared" si="30"/>
        <v>0</v>
      </c>
      <c r="U58" s="179">
        <v>0</v>
      </c>
      <c r="V58" s="80">
        <f t="shared" si="31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2"/>
        <v>0</v>
      </c>
      <c r="E59" s="179">
        <v>0</v>
      </c>
      <c r="F59" s="80">
        <f t="shared" si="23"/>
        <v>0</v>
      </c>
      <c r="G59" s="179">
        <v>0</v>
      </c>
      <c r="H59" s="80">
        <f t="shared" si="24"/>
        <v>0</v>
      </c>
      <c r="I59" s="179">
        <v>0</v>
      </c>
      <c r="J59" s="80">
        <f t="shared" si="25"/>
        <v>0</v>
      </c>
      <c r="K59" s="179">
        <v>0</v>
      </c>
      <c r="L59" s="80">
        <f t="shared" si="26"/>
        <v>0</v>
      </c>
      <c r="M59" s="179">
        <v>0</v>
      </c>
      <c r="N59" s="80">
        <f t="shared" si="27"/>
        <v>0</v>
      </c>
      <c r="O59" s="179">
        <v>0</v>
      </c>
      <c r="P59" s="80">
        <f t="shared" si="28"/>
        <v>0</v>
      </c>
      <c r="Q59" s="179">
        <v>0</v>
      </c>
      <c r="R59" s="80">
        <f t="shared" si="29"/>
        <v>0</v>
      </c>
      <c r="S59" s="179">
        <v>0</v>
      </c>
      <c r="T59" s="80">
        <f t="shared" si="30"/>
        <v>0</v>
      </c>
      <c r="U59" s="179">
        <v>0</v>
      </c>
      <c r="V59" s="80">
        <f t="shared" si="31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2"/>
        <v>0</v>
      </c>
      <c r="E60" s="179">
        <v>0</v>
      </c>
      <c r="F60" s="80">
        <f t="shared" si="23"/>
        <v>0</v>
      </c>
      <c r="G60" s="179">
        <v>0</v>
      </c>
      <c r="H60" s="80">
        <f t="shared" si="24"/>
        <v>0</v>
      </c>
      <c r="I60" s="179">
        <v>0</v>
      </c>
      <c r="J60" s="80">
        <f t="shared" si="25"/>
        <v>0</v>
      </c>
      <c r="K60" s="179">
        <v>0</v>
      </c>
      <c r="L60" s="80">
        <f t="shared" si="26"/>
        <v>0</v>
      </c>
      <c r="M60" s="179">
        <v>0</v>
      </c>
      <c r="N60" s="80">
        <f t="shared" si="27"/>
        <v>0</v>
      </c>
      <c r="O60" s="179">
        <v>0</v>
      </c>
      <c r="P60" s="80">
        <f t="shared" si="28"/>
        <v>0</v>
      </c>
      <c r="Q60" s="179">
        <v>0</v>
      </c>
      <c r="R60" s="80">
        <f t="shared" si="29"/>
        <v>0</v>
      </c>
      <c r="S60" s="179">
        <v>0</v>
      </c>
      <c r="T60" s="80">
        <f t="shared" si="30"/>
        <v>0</v>
      </c>
      <c r="U60" s="179">
        <v>0</v>
      </c>
      <c r="V60" s="80">
        <f t="shared" si="31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2"/>
        <v>0</v>
      </c>
      <c r="E61" s="179">
        <v>0</v>
      </c>
      <c r="F61" s="80">
        <f t="shared" si="23"/>
        <v>0</v>
      </c>
      <c r="G61" s="179">
        <v>0</v>
      </c>
      <c r="H61" s="80">
        <f t="shared" si="24"/>
        <v>0</v>
      </c>
      <c r="I61" s="179">
        <v>0</v>
      </c>
      <c r="J61" s="80">
        <f t="shared" si="25"/>
        <v>0</v>
      </c>
      <c r="K61" s="179">
        <v>0</v>
      </c>
      <c r="L61" s="80">
        <f t="shared" si="26"/>
        <v>0</v>
      </c>
      <c r="M61" s="179">
        <v>0</v>
      </c>
      <c r="N61" s="80">
        <f t="shared" si="27"/>
        <v>0</v>
      </c>
      <c r="O61" s="179">
        <v>0</v>
      </c>
      <c r="P61" s="80">
        <f t="shared" si="28"/>
        <v>0</v>
      </c>
      <c r="Q61" s="179">
        <v>0</v>
      </c>
      <c r="R61" s="80">
        <f t="shared" si="29"/>
        <v>0</v>
      </c>
      <c r="S61" s="179">
        <v>0</v>
      </c>
      <c r="T61" s="80">
        <f t="shared" si="30"/>
        <v>0</v>
      </c>
      <c r="U61" s="179">
        <v>0</v>
      </c>
      <c r="V61" s="80">
        <f t="shared" si="31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2"/>
        <v>0</v>
      </c>
      <c r="E62" s="179">
        <v>0</v>
      </c>
      <c r="F62" s="80">
        <f t="shared" si="23"/>
        <v>0</v>
      </c>
      <c r="G62" s="179">
        <v>0</v>
      </c>
      <c r="H62" s="80">
        <f t="shared" si="24"/>
        <v>0</v>
      </c>
      <c r="I62" s="179">
        <v>0</v>
      </c>
      <c r="J62" s="80">
        <f t="shared" si="25"/>
        <v>0</v>
      </c>
      <c r="K62" s="179">
        <v>0</v>
      </c>
      <c r="L62" s="80">
        <f t="shared" si="26"/>
        <v>0</v>
      </c>
      <c r="M62" s="179">
        <v>0</v>
      </c>
      <c r="N62" s="80">
        <f t="shared" si="27"/>
        <v>0</v>
      </c>
      <c r="O62" s="179">
        <v>0</v>
      </c>
      <c r="P62" s="80">
        <f t="shared" si="28"/>
        <v>0</v>
      </c>
      <c r="Q62" s="179">
        <v>0</v>
      </c>
      <c r="R62" s="80">
        <f t="shared" si="29"/>
        <v>0</v>
      </c>
      <c r="S62" s="179">
        <v>0</v>
      </c>
      <c r="T62" s="80">
        <f t="shared" si="30"/>
        <v>0</v>
      </c>
      <c r="U62" s="179">
        <v>0</v>
      </c>
      <c r="V62" s="80">
        <f t="shared" si="31"/>
        <v>0</v>
      </c>
      <c r="X62" s="200"/>
    </row>
    <row r="63" spans="1:24" ht="12.75" customHeight="1">
      <c r="A63" s="2" t="s">
        <v>394</v>
      </c>
      <c r="B63" s="35"/>
      <c r="C63" s="179">
        <v>0</v>
      </c>
      <c r="D63" s="80">
        <f t="shared" si="22"/>
        <v>0</v>
      </c>
      <c r="E63" s="179">
        <v>0</v>
      </c>
      <c r="F63" s="80">
        <f t="shared" si="23"/>
        <v>0</v>
      </c>
      <c r="G63" s="179">
        <v>0</v>
      </c>
      <c r="H63" s="80">
        <f t="shared" si="24"/>
        <v>0</v>
      </c>
      <c r="I63" s="179">
        <v>0</v>
      </c>
      <c r="J63" s="80">
        <f t="shared" si="25"/>
        <v>0</v>
      </c>
      <c r="K63" s="179">
        <v>0</v>
      </c>
      <c r="L63" s="80">
        <f t="shared" si="26"/>
        <v>0</v>
      </c>
      <c r="M63" s="179">
        <v>0</v>
      </c>
      <c r="N63" s="80">
        <f t="shared" si="27"/>
        <v>0</v>
      </c>
      <c r="O63" s="179">
        <v>0</v>
      </c>
      <c r="P63" s="80">
        <f t="shared" si="28"/>
        <v>0</v>
      </c>
      <c r="Q63" s="179">
        <v>0</v>
      </c>
      <c r="R63" s="80">
        <f t="shared" si="29"/>
        <v>0</v>
      </c>
      <c r="S63" s="179">
        <v>0</v>
      </c>
      <c r="T63" s="80">
        <f t="shared" si="30"/>
        <v>0</v>
      </c>
      <c r="U63" s="179">
        <v>0</v>
      </c>
      <c r="V63" s="80">
        <f t="shared" si="31"/>
        <v>0</v>
      </c>
      <c r="X63" s="200"/>
    </row>
    <row r="64" spans="1:24" ht="12.75" customHeight="1">
      <c r="A64" s="2" t="s">
        <v>395</v>
      </c>
      <c r="B64" s="35"/>
      <c r="C64" s="179">
        <v>0</v>
      </c>
      <c r="D64" s="80">
        <f t="shared" si="22"/>
        <v>0</v>
      </c>
      <c r="E64" s="179">
        <v>0</v>
      </c>
      <c r="F64" s="80">
        <f t="shared" si="23"/>
        <v>0</v>
      </c>
      <c r="G64" s="179">
        <v>0</v>
      </c>
      <c r="H64" s="80">
        <f t="shared" si="24"/>
        <v>0</v>
      </c>
      <c r="I64" s="179">
        <v>0</v>
      </c>
      <c r="J64" s="80">
        <f t="shared" si="25"/>
        <v>0</v>
      </c>
      <c r="K64" s="179">
        <v>0</v>
      </c>
      <c r="L64" s="80">
        <f t="shared" si="26"/>
        <v>0</v>
      </c>
      <c r="M64" s="179">
        <v>0</v>
      </c>
      <c r="N64" s="80">
        <f t="shared" si="27"/>
        <v>0</v>
      </c>
      <c r="O64" s="179">
        <v>0</v>
      </c>
      <c r="P64" s="80">
        <f t="shared" si="28"/>
        <v>0</v>
      </c>
      <c r="Q64" s="179">
        <v>0</v>
      </c>
      <c r="R64" s="80">
        <f t="shared" si="29"/>
        <v>0</v>
      </c>
      <c r="S64" s="179">
        <v>0</v>
      </c>
      <c r="T64" s="80">
        <f t="shared" si="30"/>
        <v>0</v>
      </c>
      <c r="U64" s="179">
        <v>0</v>
      </c>
      <c r="V64" s="80">
        <f t="shared" si="31"/>
        <v>0</v>
      </c>
      <c r="X64" s="200"/>
    </row>
    <row r="65" spans="1:24" ht="12.75" customHeight="1">
      <c r="A65" s="2" t="s">
        <v>396</v>
      </c>
      <c r="B65" s="35"/>
      <c r="C65" s="179">
        <v>0</v>
      </c>
      <c r="D65" s="80">
        <f t="shared" si="22"/>
        <v>0</v>
      </c>
      <c r="E65" s="179">
        <v>0</v>
      </c>
      <c r="F65" s="80">
        <f t="shared" si="23"/>
        <v>0</v>
      </c>
      <c r="G65" s="179">
        <v>0</v>
      </c>
      <c r="H65" s="80">
        <f t="shared" si="24"/>
        <v>0</v>
      </c>
      <c r="I65" s="179">
        <v>0</v>
      </c>
      <c r="J65" s="80">
        <f t="shared" si="25"/>
        <v>0</v>
      </c>
      <c r="K65" s="179">
        <v>0</v>
      </c>
      <c r="L65" s="80">
        <f t="shared" si="26"/>
        <v>0</v>
      </c>
      <c r="M65" s="179">
        <v>0</v>
      </c>
      <c r="N65" s="80">
        <f t="shared" si="27"/>
        <v>0</v>
      </c>
      <c r="O65" s="179">
        <v>0</v>
      </c>
      <c r="P65" s="80">
        <f t="shared" si="28"/>
        <v>0</v>
      </c>
      <c r="Q65" s="179">
        <v>0</v>
      </c>
      <c r="R65" s="80">
        <f t="shared" si="29"/>
        <v>0</v>
      </c>
      <c r="S65" s="179">
        <v>0</v>
      </c>
      <c r="T65" s="80">
        <f t="shared" si="30"/>
        <v>0</v>
      </c>
      <c r="U65" s="179">
        <v>0</v>
      </c>
      <c r="V65" s="80">
        <f t="shared" si="31"/>
        <v>0</v>
      </c>
      <c r="X65" s="200"/>
    </row>
    <row r="66" spans="1:24" ht="12.75" customHeight="1">
      <c r="A66" s="2" t="s">
        <v>397</v>
      </c>
      <c r="B66" s="35"/>
      <c r="C66" s="179">
        <v>0</v>
      </c>
      <c r="D66" s="80">
        <f t="shared" si="22"/>
        <v>0</v>
      </c>
      <c r="E66" s="179">
        <v>0</v>
      </c>
      <c r="F66" s="80">
        <f t="shared" si="23"/>
        <v>0</v>
      </c>
      <c r="G66" s="179">
        <v>0</v>
      </c>
      <c r="H66" s="80">
        <f t="shared" si="24"/>
        <v>0</v>
      </c>
      <c r="I66" s="179">
        <v>0</v>
      </c>
      <c r="J66" s="80">
        <f t="shared" si="25"/>
        <v>0</v>
      </c>
      <c r="K66" s="179">
        <v>0</v>
      </c>
      <c r="L66" s="80">
        <f t="shared" si="26"/>
        <v>0</v>
      </c>
      <c r="M66" s="179">
        <v>0</v>
      </c>
      <c r="N66" s="80">
        <f t="shared" si="27"/>
        <v>0</v>
      </c>
      <c r="O66" s="179">
        <v>0</v>
      </c>
      <c r="P66" s="80">
        <f t="shared" si="28"/>
        <v>0</v>
      </c>
      <c r="Q66" s="179">
        <v>0</v>
      </c>
      <c r="R66" s="80">
        <f t="shared" si="29"/>
        <v>0</v>
      </c>
      <c r="S66" s="179">
        <v>0</v>
      </c>
      <c r="T66" s="80">
        <f t="shared" si="30"/>
        <v>0</v>
      </c>
      <c r="U66" s="179">
        <v>0</v>
      </c>
      <c r="V66" s="80">
        <f t="shared" si="31"/>
        <v>0</v>
      </c>
      <c r="X66" s="200"/>
    </row>
    <row r="67" spans="1:24" ht="12.75" customHeight="1">
      <c r="A67" s="2" t="s">
        <v>398</v>
      </c>
      <c r="B67" s="35"/>
      <c r="C67" s="179">
        <v>0</v>
      </c>
      <c r="D67" s="80">
        <f t="shared" si="22"/>
        <v>0</v>
      </c>
      <c r="E67" s="179">
        <v>0</v>
      </c>
      <c r="F67" s="80">
        <f t="shared" si="23"/>
        <v>0</v>
      </c>
      <c r="G67" s="179">
        <v>0</v>
      </c>
      <c r="H67" s="80">
        <f t="shared" si="24"/>
        <v>0</v>
      </c>
      <c r="I67" s="179">
        <v>0</v>
      </c>
      <c r="J67" s="80">
        <f t="shared" si="25"/>
        <v>0</v>
      </c>
      <c r="K67" s="179">
        <v>0</v>
      </c>
      <c r="L67" s="80">
        <f t="shared" si="26"/>
        <v>0</v>
      </c>
      <c r="M67" s="179">
        <v>0</v>
      </c>
      <c r="N67" s="80">
        <f t="shared" si="27"/>
        <v>0</v>
      </c>
      <c r="O67" s="179">
        <v>0</v>
      </c>
      <c r="P67" s="80">
        <f t="shared" si="28"/>
        <v>0</v>
      </c>
      <c r="Q67" s="179">
        <v>0</v>
      </c>
      <c r="R67" s="80">
        <f t="shared" si="29"/>
        <v>0</v>
      </c>
      <c r="S67" s="179">
        <v>0</v>
      </c>
      <c r="T67" s="80">
        <f t="shared" si="30"/>
        <v>0</v>
      </c>
      <c r="U67" s="179">
        <v>0</v>
      </c>
      <c r="V67" s="80">
        <f t="shared" si="31"/>
        <v>0</v>
      </c>
      <c r="X67" s="200"/>
    </row>
    <row r="68" spans="1:24" ht="12.75" customHeight="1">
      <c r="A68" s="2" t="s">
        <v>399</v>
      </c>
      <c r="B68" s="35"/>
      <c r="C68" s="179">
        <v>0</v>
      </c>
      <c r="D68" s="80">
        <f t="shared" si="22"/>
        <v>0</v>
      </c>
      <c r="E68" s="179">
        <v>0</v>
      </c>
      <c r="F68" s="80">
        <f t="shared" si="23"/>
        <v>0</v>
      </c>
      <c r="G68" s="179">
        <v>0</v>
      </c>
      <c r="H68" s="80">
        <f t="shared" si="24"/>
        <v>0</v>
      </c>
      <c r="I68" s="179">
        <v>0</v>
      </c>
      <c r="J68" s="80">
        <f t="shared" si="25"/>
        <v>0</v>
      </c>
      <c r="K68" s="179">
        <v>0</v>
      </c>
      <c r="L68" s="80">
        <f t="shared" si="26"/>
        <v>0</v>
      </c>
      <c r="M68" s="179">
        <v>0</v>
      </c>
      <c r="N68" s="80">
        <f t="shared" si="27"/>
        <v>0</v>
      </c>
      <c r="O68" s="179">
        <v>0</v>
      </c>
      <c r="P68" s="80">
        <f t="shared" si="28"/>
        <v>0</v>
      </c>
      <c r="Q68" s="179">
        <v>0</v>
      </c>
      <c r="R68" s="80">
        <f t="shared" si="29"/>
        <v>0</v>
      </c>
      <c r="S68" s="179">
        <v>0</v>
      </c>
      <c r="T68" s="80">
        <f t="shared" si="30"/>
        <v>0</v>
      </c>
      <c r="U68" s="179">
        <v>0</v>
      </c>
      <c r="V68" s="80">
        <f t="shared" si="31"/>
        <v>0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2"/>
        <v>0</v>
      </c>
      <c r="E69" s="179">
        <v>0</v>
      </c>
      <c r="F69" s="80">
        <f t="shared" si="23"/>
        <v>0</v>
      </c>
      <c r="G69" s="179">
        <v>0</v>
      </c>
      <c r="H69" s="80">
        <f t="shared" si="24"/>
        <v>0</v>
      </c>
      <c r="I69" s="179">
        <v>0</v>
      </c>
      <c r="J69" s="80">
        <f t="shared" si="25"/>
        <v>0</v>
      </c>
      <c r="K69" s="179">
        <v>0</v>
      </c>
      <c r="L69" s="80">
        <f t="shared" si="26"/>
        <v>0</v>
      </c>
      <c r="M69" s="179">
        <v>0</v>
      </c>
      <c r="N69" s="80">
        <f t="shared" si="27"/>
        <v>0</v>
      </c>
      <c r="O69" s="179">
        <v>0</v>
      </c>
      <c r="P69" s="80">
        <f t="shared" si="28"/>
        <v>0</v>
      </c>
      <c r="Q69" s="179">
        <v>0</v>
      </c>
      <c r="R69" s="80">
        <f t="shared" si="29"/>
        <v>0</v>
      </c>
      <c r="S69" s="179">
        <v>0</v>
      </c>
      <c r="T69" s="80">
        <f t="shared" si="30"/>
        <v>0</v>
      </c>
      <c r="U69" s="179">
        <v>0</v>
      </c>
      <c r="V69" s="80">
        <f t="shared" si="31"/>
        <v>0</v>
      </c>
      <c r="X69" s="200"/>
    </row>
    <row r="70" spans="1:24" ht="12.75" customHeight="1">
      <c r="A70" s="2" t="s">
        <v>401</v>
      </c>
      <c r="B70" s="35"/>
      <c r="C70" s="179">
        <v>0</v>
      </c>
      <c r="D70" s="80">
        <f t="shared" si="22"/>
        <v>0</v>
      </c>
      <c r="E70" s="179">
        <v>0</v>
      </c>
      <c r="F70" s="80">
        <f t="shared" si="23"/>
        <v>0</v>
      </c>
      <c r="G70" s="179">
        <v>0</v>
      </c>
      <c r="H70" s="80">
        <f t="shared" si="24"/>
        <v>0</v>
      </c>
      <c r="I70" s="179">
        <v>0</v>
      </c>
      <c r="J70" s="80">
        <f t="shared" si="25"/>
        <v>0</v>
      </c>
      <c r="K70" s="179">
        <v>0</v>
      </c>
      <c r="L70" s="80">
        <f t="shared" si="26"/>
        <v>0</v>
      </c>
      <c r="M70" s="179">
        <v>0</v>
      </c>
      <c r="N70" s="80">
        <f t="shared" si="27"/>
        <v>0</v>
      </c>
      <c r="O70" s="179">
        <v>0</v>
      </c>
      <c r="P70" s="80">
        <f t="shared" si="28"/>
        <v>0</v>
      </c>
      <c r="Q70" s="179">
        <v>0</v>
      </c>
      <c r="R70" s="80">
        <f t="shared" si="29"/>
        <v>0</v>
      </c>
      <c r="S70" s="179">
        <v>0</v>
      </c>
      <c r="T70" s="80">
        <f t="shared" si="30"/>
        <v>0</v>
      </c>
      <c r="U70" s="179">
        <v>0</v>
      </c>
      <c r="V70" s="80">
        <f t="shared" si="31"/>
        <v>0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2"/>
        <v>0</v>
      </c>
      <c r="E71" s="179">
        <v>0</v>
      </c>
      <c r="F71" s="80">
        <f t="shared" si="23"/>
        <v>0</v>
      </c>
      <c r="G71" s="179">
        <v>0</v>
      </c>
      <c r="H71" s="80">
        <f t="shared" si="24"/>
        <v>0</v>
      </c>
      <c r="I71" s="179">
        <v>0</v>
      </c>
      <c r="J71" s="80">
        <f t="shared" si="25"/>
        <v>0</v>
      </c>
      <c r="K71" s="179">
        <v>0</v>
      </c>
      <c r="L71" s="80">
        <f t="shared" si="26"/>
        <v>0</v>
      </c>
      <c r="M71" s="179">
        <v>0</v>
      </c>
      <c r="N71" s="80">
        <f t="shared" si="27"/>
        <v>0</v>
      </c>
      <c r="O71" s="179">
        <v>0</v>
      </c>
      <c r="P71" s="80">
        <f t="shared" si="28"/>
        <v>0</v>
      </c>
      <c r="Q71" s="179">
        <v>0</v>
      </c>
      <c r="R71" s="80">
        <f t="shared" si="29"/>
        <v>0</v>
      </c>
      <c r="S71" s="179">
        <v>0</v>
      </c>
      <c r="T71" s="80">
        <f t="shared" si="30"/>
        <v>0</v>
      </c>
      <c r="U71" s="179">
        <v>0</v>
      </c>
      <c r="V71" s="80">
        <f t="shared" si="31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2"/>
        <v>0</v>
      </c>
      <c r="E72" s="179">
        <v>0</v>
      </c>
      <c r="F72" s="80">
        <f t="shared" si="23"/>
        <v>0</v>
      </c>
      <c r="G72" s="179">
        <v>0</v>
      </c>
      <c r="H72" s="80">
        <f t="shared" si="24"/>
        <v>0</v>
      </c>
      <c r="I72" s="179">
        <v>0</v>
      </c>
      <c r="J72" s="80">
        <f t="shared" si="25"/>
        <v>0</v>
      </c>
      <c r="K72" s="179">
        <v>0</v>
      </c>
      <c r="L72" s="80">
        <f t="shared" si="26"/>
        <v>0</v>
      </c>
      <c r="M72" s="179">
        <v>0</v>
      </c>
      <c r="N72" s="80">
        <f t="shared" si="27"/>
        <v>0</v>
      </c>
      <c r="O72" s="179">
        <v>0</v>
      </c>
      <c r="P72" s="80">
        <f t="shared" si="28"/>
        <v>0</v>
      </c>
      <c r="Q72" s="179">
        <v>0</v>
      </c>
      <c r="R72" s="80">
        <f t="shared" si="29"/>
        <v>0</v>
      </c>
      <c r="S72" s="179">
        <v>0</v>
      </c>
      <c r="T72" s="80">
        <f t="shared" si="30"/>
        <v>0</v>
      </c>
      <c r="U72" s="179">
        <v>0</v>
      </c>
      <c r="V72" s="80">
        <f t="shared" si="31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2"/>
        <v>0</v>
      </c>
      <c r="E73" s="179">
        <v>0</v>
      </c>
      <c r="F73" s="80">
        <f t="shared" si="23"/>
        <v>0</v>
      </c>
      <c r="G73" s="179">
        <v>0</v>
      </c>
      <c r="H73" s="80">
        <f t="shared" si="24"/>
        <v>0</v>
      </c>
      <c r="I73" s="179">
        <v>0</v>
      </c>
      <c r="J73" s="80">
        <f t="shared" si="25"/>
        <v>0</v>
      </c>
      <c r="K73" s="179">
        <v>0</v>
      </c>
      <c r="L73" s="80">
        <f t="shared" si="26"/>
        <v>0</v>
      </c>
      <c r="M73" s="179">
        <v>0</v>
      </c>
      <c r="N73" s="80">
        <f t="shared" si="27"/>
        <v>0</v>
      </c>
      <c r="O73" s="179">
        <v>0</v>
      </c>
      <c r="P73" s="80">
        <f t="shared" si="28"/>
        <v>0</v>
      </c>
      <c r="Q73" s="179">
        <v>0</v>
      </c>
      <c r="R73" s="80">
        <f t="shared" si="29"/>
        <v>0</v>
      </c>
      <c r="S73" s="179">
        <v>0</v>
      </c>
      <c r="T73" s="80">
        <f t="shared" si="30"/>
        <v>0</v>
      </c>
      <c r="U73" s="179">
        <v>0</v>
      </c>
      <c r="V73" s="80">
        <f t="shared" si="31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2"/>
        <v>0</v>
      </c>
      <c r="E74" s="179">
        <v>0</v>
      </c>
      <c r="F74" s="80">
        <f t="shared" si="23"/>
        <v>0</v>
      </c>
      <c r="G74" s="179">
        <v>0</v>
      </c>
      <c r="H74" s="80">
        <f t="shared" si="24"/>
        <v>0</v>
      </c>
      <c r="I74" s="179">
        <v>0</v>
      </c>
      <c r="J74" s="80">
        <f t="shared" si="25"/>
        <v>0</v>
      </c>
      <c r="K74" s="179">
        <v>0</v>
      </c>
      <c r="L74" s="80">
        <f t="shared" si="26"/>
        <v>0</v>
      </c>
      <c r="M74" s="179">
        <v>0</v>
      </c>
      <c r="N74" s="80">
        <f t="shared" si="27"/>
        <v>0</v>
      </c>
      <c r="O74" s="179">
        <v>0</v>
      </c>
      <c r="P74" s="80">
        <f t="shared" si="28"/>
        <v>0</v>
      </c>
      <c r="Q74" s="179">
        <v>0</v>
      </c>
      <c r="R74" s="80">
        <f t="shared" si="29"/>
        <v>0</v>
      </c>
      <c r="S74" s="179">
        <v>0</v>
      </c>
      <c r="T74" s="80">
        <f t="shared" si="30"/>
        <v>0</v>
      </c>
      <c r="U74" s="179">
        <v>0</v>
      </c>
      <c r="V74" s="80">
        <f t="shared" si="31"/>
        <v>0</v>
      </c>
      <c r="X74" s="200"/>
    </row>
    <row r="75" spans="1:24" ht="12.75" customHeight="1">
      <c r="A75" s="2" t="s">
        <v>406</v>
      </c>
      <c r="B75" s="35"/>
      <c r="C75" s="179">
        <v>0</v>
      </c>
      <c r="D75" s="80">
        <f t="shared" si="22"/>
        <v>0</v>
      </c>
      <c r="E75" s="179">
        <v>0</v>
      </c>
      <c r="F75" s="80">
        <f t="shared" si="23"/>
        <v>0</v>
      </c>
      <c r="G75" s="179">
        <v>0</v>
      </c>
      <c r="H75" s="80">
        <f t="shared" si="24"/>
        <v>0</v>
      </c>
      <c r="I75" s="179">
        <v>0</v>
      </c>
      <c r="J75" s="80">
        <f t="shared" si="25"/>
        <v>0</v>
      </c>
      <c r="K75" s="179">
        <v>0</v>
      </c>
      <c r="L75" s="80">
        <f t="shared" si="26"/>
        <v>0</v>
      </c>
      <c r="M75" s="179">
        <v>0</v>
      </c>
      <c r="N75" s="80">
        <f t="shared" si="27"/>
        <v>0</v>
      </c>
      <c r="O75" s="179">
        <v>0</v>
      </c>
      <c r="P75" s="80">
        <f t="shared" si="28"/>
        <v>0</v>
      </c>
      <c r="Q75" s="179">
        <v>0</v>
      </c>
      <c r="R75" s="80">
        <f t="shared" si="29"/>
        <v>0</v>
      </c>
      <c r="S75" s="179">
        <v>0</v>
      </c>
      <c r="T75" s="80">
        <f t="shared" si="30"/>
        <v>0</v>
      </c>
      <c r="U75" s="179">
        <v>0</v>
      </c>
      <c r="V75" s="80">
        <f t="shared" si="31"/>
        <v>0</v>
      </c>
      <c r="X75" s="200"/>
    </row>
    <row r="76" spans="1:24" ht="12.75" customHeight="1">
      <c r="A76" s="2" t="s">
        <v>407</v>
      </c>
      <c r="B76" s="35"/>
      <c r="C76" s="179">
        <v>0</v>
      </c>
      <c r="D76" s="80">
        <f t="shared" si="22"/>
        <v>0</v>
      </c>
      <c r="E76" s="179">
        <v>0</v>
      </c>
      <c r="F76" s="80">
        <f t="shared" si="23"/>
        <v>0</v>
      </c>
      <c r="G76" s="179">
        <v>0</v>
      </c>
      <c r="H76" s="80">
        <f t="shared" si="24"/>
        <v>0</v>
      </c>
      <c r="I76" s="179">
        <v>0</v>
      </c>
      <c r="J76" s="80">
        <f t="shared" si="25"/>
        <v>0</v>
      </c>
      <c r="K76" s="179">
        <v>0</v>
      </c>
      <c r="L76" s="80">
        <f t="shared" si="26"/>
        <v>0</v>
      </c>
      <c r="M76" s="179">
        <v>0</v>
      </c>
      <c r="N76" s="80">
        <f t="shared" si="27"/>
        <v>0</v>
      </c>
      <c r="O76" s="179">
        <v>0</v>
      </c>
      <c r="P76" s="80">
        <f t="shared" si="28"/>
        <v>0</v>
      </c>
      <c r="Q76" s="179">
        <v>0</v>
      </c>
      <c r="R76" s="80">
        <f t="shared" si="29"/>
        <v>0</v>
      </c>
      <c r="S76" s="179">
        <v>0</v>
      </c>
      <c r="T76" s="80">
        <f t="shared" si="30"/>
        <v>0</v>
      </c>
      <c r="U76" s="179">
        <v>0</v>
      </c>
      <c r="V76" s="80">
        <f t="shared" si="31"/>
        <v>0</v>
      </c>
      <c r="X76" s="200"/>
    </row>
    <row r="77" spans="1:24" ht="12.75" customHeight="1">
      <c r="A77" s="2" t="s">
        <v>408</v>
      </c>
      <c r="B77" s="35"/>
      <c r="C77" s="179">
        <v>0</v>
      </c>
      <c r="D77" s="80">
        <f t="shared" si="22"/>
        <v>0</v>
      </c>
      <c r="E77" s="179">
        <v>0</v>
      </c>
      <c r="F77" s="80">
        <f t="shared" si="23"/>
        <v>0</v>
      </c>
      <c r="G77" s="179">
        <v>0</v>
      </c>
      <c r="H77" s="80">
        <f t="shared" si="24"/>
        <v>0</v>
      </c>
      <c r="I77" s="179">
        <v>0</v>
      </c>
      <c r="J77" s="80">
        <f t="shared" si="25"/>
        <v>0</v>
      </c>
      <c r="K77" s="179">
        <v>0</v>
      </c>
      <c r="L77" s="80">
        <f t="shared" si="26"/>
        <v>0</v>
      </c>
      <c r="M77" s="179">
        <v>0</v>
      </c>
      <c r="N77" s="80">
        <f t="shared" si="27"/>
        <v>0</v>
      </c>
      <c r="O77" s="179">
        <v>0</v>
      </c>
      <c r="P77" s="80">
        <f t="shared" si="28"/>
        <v>0</v>
      </c>
      <c r="Q77" s="179">
        <v>0</v>
      </c>
      <c r="R77" s="80">
        <f t="shared" si="29"/>
        <v>0</v>
      </c>
      <c r="S77" s="179">
        <v>0</v>
      </c>
      <c r="T77" s="80">
        <f t="shared" si="30"/>
        <v>0</v>
      </c>
      <c r="U77" s="179">
        <v>0</v>
      </c>
      <c r="V77" s="80">
        <f t="shared" si="31"/>
        <v>0</v>
      </c>
      <c r="X77" s="200"/>
    </row>
    <row r="78" spans="1:24" ht="12.75" customHeight="1">
      <c r="A78" s="2" t="s">
        <v>409</v>
      </c>
      <c r="B78" s="35"/>
      <c r="C78" s="179">
        <v>0</v>
      </c>
      <c r="D78" s="80">
        <f t="shared" si="22"/>
        <v>0</v>
      </c>
      <c r="E78" s="179">
        <v>0</v>
      </c>
      <c r="F78" s="80">
        <f t="shared" si="23"/>
        <v>0</v>
      </c>
      <c r="G78" s="179">
        <v>0</v>
      </c>
      <c r="H78" s="80">
        <f t="shared" si="24"/>
        <v>0</v>
      </c>
      <c r="I78" s="179">
        <v>0</v>
      </c>
      <c r="J78" s="80">
        <f t="shared" si="25"/>
        <v>0</v>
      </c>
      <c r="K78" s="179">
        <v>0</v>
      </c>
      <c r="L78" s="80">
        <f t="shared" si="26"/>
        <v>0</v>
      </c>
      <c r="M78" s="179">
        <v>0</v>
      </c>
      <c r="N78" s="80">
        <f t="shared" si="27"/>
        <v>0</v>
      </c>
      <c r="O78" s="179">
        <v>0</v>
      </c>
      <c r="P78" s="80">
        <f t="shared" si="28"/>
        <v>0</v>
      </c>
      <c r="Q78" s="179">
        <v>0</v>
      </c>
      <c r="R78" s="80">
        <f t="shared" si="29"/>
        <v>0</v>
      </c>
      <c r="S78" s="179">
        <v>0</v>
      </c>
      <c r="T78" s="80">
        <f t="shared" si="30"/>
        <v>0</v>
      </c>
      <c r="U78" s="179">
        <v>0</v>
      </c>
      <c r="V78" s="80">
        <f t="shared" si="31"/>
        <v>0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2"/>
        <v>0</v>
      </c>
      <c r="E79" s="179">
        <v>0</v>
      </c>
      <c r="F79" s="80">
        <f t="shared" si="23"/>
        <v>0</v>
      </c>
      <c r="G79" s="179">
        <v>0</v>
      </c>
      <c r="H79" s="80">
        <f t="shared" si="24"/>
        <v>0</v>
      </c>
      <c r="I79" s="179">
        <v>0</v>
      </c>
      <c r="J79" s="80">
        <f t="shared" si="25"/>
        <v>0</v>
      </c>
      <c r="K79" s="179">
        <v>0</v>
      </c>
      <c r="L79" s="80">
        <f t="shared" si="26"/>
        <v>0</v>
      </c>
      <c r="M79" s="179">
        <v>0</v>
      </c>
      <c r="N79" s="80">
        <f t="shared" si="27"/>
        <v>0</v>
      </c>
      <c r="O79" s="179">
        <v>0</v>
      </c>
      <c r="P79" s="80">
        <f t="shared" si="28"/>
        <v>0</v>
      </c>
      <c r="Q79" s="179">
        <v>0</v>
      </c>
      <c r="R79" s="80">
        <f t="shared" si="29"/>
        <v>0</v>
      </c>
      <c r="S79" s="179">
        <v>0</v>
      </c>
      <c r="T79" s="80">
        <f t="shared" si="30"/>
        <v>0</v>
      </c>
      <c r="U79" s="179">
        <v>0</v>
      </c>
      <c r="V79" s="80">
        <f t="shared" si="31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2"/>
        <v>0</v>
      </c>
      <c r="E80" s="179">
        <v>0</v>
      </c>
      <c r="F80" s="80">
        <f t="shared" si="23"/>
        <v>0</v>
      </c>
      <c r="G80" s="179">
        <v>0</v>
      </c>
      <c r="H80" s="80">
        <f t="shared" si="24"/>
        <v>0</v>
      </c>
      <c r="I80" s="179">
        <v>0</v>
      </c>
      <c r="J80" s="80">
        <f t="shared" si="25"/>
        <v>0</v>
      </c>
      <c r="K80" s="179">
        <v>0</v>
      </c>
      <c r="L80" s="80">
        <f t="shared" si="26"/>
        <v>0</v>
      </c>
      <c r="M80" s="179">
        <v>0</v>
      </c>
      <c r="N80" s="80">
        <f t="shared" si="27"/>
        <v>0</v>
      </c>
      <c r="O80" s="179">
        <v>0</v>
      </c>
      <c r="P80" s="80">
        <f t="shared" si="28"/>
        <v>0</v>
      </c>
      <c r="Q80" s="179">
        <v>0</v>
      </c>
      <c r="R80" s="80">
        <f t="shared" si="29"/>
        <v>0</v>
      </c>
      <c r="S80" s="179">
        <v>0</v>
      </c>
      <c r="T80" s="80">
        <f t="shared" si="30"/>
        <v>0</v>
      </c>
      <c r="U80" s="179">
        <v>0</v>
      </c>
      <c r="V80" s="80">
        <f t="shared" si="31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2"/>
        <v>0</v>
      </c>
      <c r="E81" s="179">
        <v>0</v>
      </c>
      <c r="F81" s="80">
        <f t="shared" si="23"/>
        <v>0</v>
      </c>
      <c r="G81" s="179">
        <v>0</v>
      </c>
      <c r="H81" s="80">
        <f t="shared" si="24"/>
        <v>0</v>
      </c>
      <c r="I81" s="179">
        <v>0</v>
      </c>
      <c r="J81" s="80">
        <f t="shared" si="25"/>
        <v>0</v>
      </c>
      <c r="K81" s="179">
        <v>0</v>
      </c>
      <c r="L81" s="80">
        <f t="shared" si="26"/>
        <v>0</v>
      </c>
      <c r="M81" s="179">
        <v>0</v>
      </c>
      <c r="N81" s="80">
        <f t="shared" si="27"/>
        <v>0</v>
      </c>
      <c r="O81" s="179">
        <v>0</v>
      </c>
      <c r="P81" s="80">
        <f t="shared" si="28"/>
        <v>0</v>
      </c>
      <c r="Q81" s="179">
        <v>0</v>
      </c>
      <c r="R81" s="80">
        <f t="shared" si="29"/>
        <v>0</v>
      </c>
      <c r="S81" s="179">
        <v>0</v>
      </c>
      <c r="T81" s="80">
        <f t="shared" si="30"/>
        <v>0</v>
      </c>
      <c r="U81" s="179">
        <v>0</v>
      </c>
      <c r="V81" s="80">
        <f t="shared" si="31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2"/>
        <v>0</v>
      </c>
      <c r="E82" s="179">
        <v>0</v>
      </c>
      <c r="F82" s="80">
        <f t="shared" si="23"/>
        <v>0</v>
      </c>
      <c r="G82" s="179">
        <v>0</v>
      </c>
      <c r="H82" s="80">
        <f t="shared" si="24"/>
        <v>0</v>
      </c>
      <c r="I82" s="179">
        <v>0</v>
      </c>
      <c r="J82" s="80">
        <f t="shared" si="25"/>
        <v>0</v>
      </c>
      <c r="K82" s="179">
        <v>0</v>
      </c>
      <c r="L82" s="80">
        <f t="shared" si="26"/>
        <v>0</v>
      </c>
      <c r="M82" s="179">
        <v>0</v>
      </c>
      <c r="N82" s="80">
        <f t="shared" si="27"/>
        <v>0</v>
      </c>
      <c r="O82" s="179">
        <v>0</v>
      </c>
      <c r="P82" s="80">
        <f t="shared" si="28"/>
        <v>0</v>
      </c>
      <c r="Q82" s="179">
        <v>0</v>
      </c>
      <c r="R82" s="80">
        <f t="shared" si="29"/>
        <v>0</v>
      </c>
      <c r="S82" s="179">
        <v>0</v>
      </c>
      <c r="T82" s="80">
        <f t="shared" si="30"/>
        <v>0</v>
      </c>
      <c r="U82" s="179">
        <v>0</v>
      </c>
      <c r="V82" s="80">
        <f t="shared" si="31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2"/>
        <v>0</v>
      </c>
      <c r="E83" s="179">
        <v>0</v>
      </c>
      <c r="F83" s="80">
        <f t="shared" si="23"/>
        <v>0</v>
      </c>
      <c r="G83" s="179">
        <v>0</v>
      </c>
      <c r="H83" s="80">
        <f t="shared" si="24"/>
        <v>0</v>
      </c>
      <c r="I83" s="179">
        <v>0</v>
      </c>
      <c r="J83" s="80">
        <f t="shared" si="25"/>
        <v>0</v>
      </c>
      <c r="K83" s="179">
        <v>0</v>
      </c>
      <c r="L83" s="80">
        <f t="shared" si="26"/>
        <v>0</v>
      </c>
      <c r="M83" s="179">
        <v>0</v>
      </c>
      <c r="N83" s="80">
        <f t="shared" si="27"/>
        <v>0</v>
      </c>
      <c r="O83" s="179">
        <v>0</v>
      </c>
      <c r="P83" s="80">
        <f t="shared" si="28"/>
        <v>0</v>
      </c>
      <c r="Q83" s="179">
        <v>0</v>
      </c>
      <c r="R83" s="80">
        <f t="shared" si="29"/>
        <v>0</v>
      </c>
      <c r="S83" s="179">
        <v>0</v>
      </c>
      <c r="T83" s="80">
        <f t="shared" si="30"/>
        <v>0</v>
      </c>
      <c r="U83" s="179">
        <v>0</v>
      </c>
      <c r="V83" s="80">
        <f t="shared" si="31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ref="D84:D105" si="32">IFERROR(C84/C$28,0)</f>
        <v>0</v>
      </c>
      <c r="E84" s="179">
        <v>0</v>
      </c>
      <c r="F84" s="80">
        <f t="shared" si="23"/>
        <v>0</v>
      </c>
      <c r="G84" s="179">
        <v>0</v>
      </c>
      <c r="H84" s="80">
        <f t="shared" si="24"/>
        <v>0</v>
      </c>
      <c r="I84" s="179">
        <v>0</v>
      </c>
      <c r="J84" s="80">
        <f t="shared" si="25"/>
        <v>0</v>
      </c>
      <c r="K84" s="179">
        <v>0</v>
      </c>
      <c r="L84" s="80">
        <f t="shared" si="26"/>
        <v>0</v>
      </c>
      <c r="M84" s="179">
        <v>0</v>
      </c>
      <c r="N84" s="80">
        <f t="shared" si="27"/>
        <v>0</v>
      </c>
      <c r="O84" s="179">
        <v>0</v>
      </c>
      <c r="P84" s="80">
        <f t="shared" si="28"/>
        <v>0</v>
      </c>
      <c r="Q84" s="179">
        <v>0</v>
      </c>
      <c r="R84" s="80">
        <f t="shared" si="29"/>
        <v>0</v>
      </c>
      <c r="S84" s="179">
        <v>0</v>
      </c>
      <c r="T84" s="80">
        <f t="shared" si="30"/>
        <v>0</v>
      </c>
      <c r="U84" s="179">
        <v>0</v>
      </c>
      <c r="V84" s="80">
        <f t="shared" si="31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32"/>
        <v>0</v>
      </c>
      <c r="E85" s="179">
        <v>0</v>
      </c>
      <c r="F85" s="80">
        <f t="shared" si="23"/>
        <v>0</v>
      </c>
      <c r="G85" s="179">
        <v>0</v>
      </c>
      <c r="H85" s="80">
        <f t="shared" si="24"/>
        <v>0</v>
      </c>
      <c r="I85" s="179">
        <v>0</v>
      </c>
      <c r="J85" s="80">
        <f t="shared" si="25"/>
        <v>0</v>
      </c>
      <c r="K85" s="179">
        <v>0</v>
      </c>
      <c r="L85" s="80">
        <f t="shared" si="26"/>
        <v>0</v>
      </c>
      <c r="M85" s="179">
        <v>0</v>
      </c>
      <c r="N85" s="80">
        <f t="shared" si="27"/>
        <v>0</v>
      </c>
      <c r="O85" s="179">
        <v>0</v>
      </c>
      <c r="P85" s="80">
        <f t="shared" si="28"/>
        <v>0</v>
      </c>
      <c r="Q85" s="179">
        <v>0</v>
      </c>
      <c r="R85" s="80">
        <f t="shared" si="29"/>
        <v>0</v>
      </c>
      <c r="S85" s="179">
        <v>0</v>
      </c>
      <c r="T85" s="80">
        <f t="shared" si="30"/>
        <v>0</v>
      </c>
      <c r="U85" s="179">
        <v>0</v>
      </c>
      <c r="V85" s="80">
        <f t="shared" si="31"/>
        <v>0</v>
      </c>
      <c r="X85" s="200"/>
    </row>
    <row r="86" spans="1:24" ht="12.75" customHeight="1">
      <c r="A86" s="2" t="s">
        <v>417</v>
      </c>
      <c r="B86" s="35"/>
      <c r="C86" s="179">
        <v>0</v>
      </c>
      <c r="D86" s="80">
        <f t="shared" si="32"/>
        <v>0</v>
      </c>
      <c r="E86" s="179">
        <v>0</v>
      </c>
      <c r="F86" s="80">
        <f t="shared" si="23"/>
        <v>0</v>
      </c>
      <c r="G86" s="179">
        <v>0</v>
      </c>
      <c r="H86" s="80">
        <f t="shared" si="24"/>
        <v>0</v>
      </c>
      <c r="I86" s="179">
        <v>0</v>
      </c>
      <c r="J86" s="80">
        <f t="shared" si="25"/>
        <v>0</v>
      </c>
      <c r="K86" s="179">
        <v>0</v>
      </c>
      <c r="L86" s="80">
        <f t="shared" si="26"/>
        <v>0</v>
      </c>
      <c r="M86" s="179">
        <v>0</v>
      </c>
      <c r="N86" s="80">
        <f t="shared" si="27"/>
        <v>0</v>
      </c>
      <c r="O86" s="179">
        <v>0</v>
      </c>
      <c r="P86" s="80">
        <f t="shared" si="28"/>
        <v>0</v>
      </c>
      <c r="Q86" s="179">
        <v>0</v>
      </c>
      <c r="R86" s="80">
        <f t="shared" si="29"/>
        <v>0</v>
      </c>
      <c r="S86" s="179">
        <v>0</v>
      </c>
      <c r="T86" s="80">
        <f t="shared" si="30"/>
        <v>0</v>
      </c>
      <c r="U86" s="179">
        <v>0</v>
      </c>
      <c r="V86" s="80">
        <f t="shared" si="31"/>
        <v>0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32"/>
        <v>0</v>
      </c>
      <c r="E87" s="179">
        <v>0</v>
      </c>
      <c r="F87" s="80">
        <f t="shared" si="23"/>
        <v>0</v>
      </c>
      <c r="G87" s="179">
        <v>0</v>
      </c>
      <c r="H87" s="80">
        <f t="shared" si="24"/>
        <v>0</v>
      </c>
      <c r="I87" s="179">
        <v>0</v>
      </c>
      <c r="J87" s="80">
        <f t="shared" si="25"/>
        <v>0</v>
      </c>
      <c r="K87" s="179">
        <v>0</v>
      </c>
      <c r="L87" s="80">
        <f t="shared" si="26"/>
        <v>0</v>
      </c>
      <c r="M87" s="179">
        <v>0</v>
      </c>
      <c r="N87" s="80">
        <f t="shared" si="27"/>
        <v>0</v>
      </c>
      <c r="O87" s="179">
        <v>0</v>
      </c>
      <c r="P87" s="80">
        <f t="shared" si="28"/>
        <v>0</v>
      </c>
      <c r="Q87" s="179">
        <v>0</v>
      </c>
      <c r="R87" s="80">
        <f t="shared" si="29"/>
        <v>0</v>
      </c>
      <c r="S87" s="179">
        <v>0</v>
      </c>
      <c r="T87" s="80">
        <f t="shared" si="30"/>
        <v>0</v>
      </c>
      <c r="U87" s="179">
        <v>0</v>
      </c>
      <c r="V87" s="80">
        <f t="shared" si="31"/>
        <v>0</v>
      </c>
      <c r="X87" s="200"/>
    </row>
    <row r="88" spans="1:24" ht="12.75" customHeight="1">
      <c r="A88" s="2" t="s">
        <v>419</v>
      </c>
      <c r="B88" s="35"/>
      <c r="C88" s="179">
        <v>0</v>
      </c>
      <c r="D88" s="80">
        <f t="shared" si="32"/>
        <v>0</v>
      </c>
      <c r="E88" s="179">
        <v>0</v>
      </c>
      <c r="F88" s="80">
        <f t="shared" si="23"/>
        <v>0</v>
      </c>
      <c r="G88" s="179">
        <v>0</v>
      </c>
      <c r="H88" s="80">
        <f t="shared" si="24"/>
        <v>0</v>
      </c>
      <c r="I88" s="179">
        <v>0</v>
      </c>
      <c r="J88" s="80">
        <f t="shared" si="25"/>
        <v>0</v>
      </c>
      <c r="K88" s="179">
        <v>0</v>
      </c>
      <c r="L88" s="80">
        <f t="shared" si="26"/>
        <v>0</v>
      </c>
      <c r="M88" s="179">
        <v>0</v>
      </c>
      <c r="N88" s="80">
        <f t="shared" si="27"/>
        <v>0</v>
      </c>
      <c r="O88" s="179">
        <v>0</v>
      </c>
      <c r="P88" s="80">
        <f t="shared" si="28"/>
        <v>0</v>
      </c>
      <c r="Q88" s="179">
        <v>0</v>
      </c>
      <c r="R88" s="80">
        <f t="shared" si="29"/>
        <v>0</v>
      </c>
      <c r="S88" s="179">
        <v>0</v>
      </c>
      <c r="T88" s="80">
        <f t="shared" si="30"/>
        <v>0</v>
      </c>
      <c r="U88" s="179">
        <v>0</v>
      </c>
      <c r="V88" s="80">
        <f t="shared" si="31"/>
        <v>0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32"/>
        <v>0</v>
      </c>
      <c r="E89" s="179">
        <v>0</v>
      </c>
      <c r="F89" s="80">
        <f t="shared" si="23"/>
        <v>0</v>
      </c>
      <c r="G89" s="179">
        <v>0</v>
      </c>
      <c r="H89" s="80">
        <f t="shared" si="24"/>
        <v>0</v>
      </c>
      <c r="I89" s="179">
        <v>0</v>
      </c>
      <c r="J89" s="80">
        <f t="shared" si="25"/>
        <v>0</v>
      </c>
      <c r="K89" s="179">
        <v>0</v>
      </c>
      <c r="L89" s="80">
        <f t="shared" si="26"/>
        <v>0</v>
      </c>
      <c r="M89" s="179">
        <v>0</v>
      </c>
      <c r="N89" s="80">
        <f t="shared" si="27"/>
        <v>0</v>
      </c>
      <c r="O89" s="179">
        <v>0</v>
      </c>
      <c r="P89" s="80">
        <f t="shared" si="28"/>
        <v>0</v>
      </c>
      <c r="Q89" s="179">
        <v>0</v>
      </c>
      <c r="R89" s="80">
        <f t="shared" si="29"/>
        <v>0</v>
      </c>
      <c r="S89" s="179">
        <v>0</v>
      </c>
      <c r="T89" s="80">
        <f t="shared" si="30"/>
        <v>0</v>
      </c>
      <c r="U89" s="179">
        <v>0</v>
      </c>
      <c r="V89" s="80">
        <f t="shared" si="31"/>
        <v>0</v>
      </c>
      <c r="X89" s="200"/>
    </row>
    <row r="90" spans="1:24" ht="12.75" customHeight="1">
      <c r="A90" s="2" t="s">
        <v>421</v>
      </c>
      <c r="B90" s="35"/>
      <c r="C90" s="179">
        <v>0</v>
      </c>
      <c r="D90" s="80">
        <f t="shared" si="32"/>
        <v>0</v>
      </c>
      <c r="E90" s="179">
        <v>0</v>
      </c>
      <c r="F90" s="80">
        <f t="shared" si="23"/>
        <v>0</v>
      </c>
      <c r="G90" s="179">
        <v>0</v>
      </c>
      <c r="H90" s="80">
        <f t="shared" si="24"/>
        <v>0</v>
      </c>
      <c r="I90" s="179">
        <v>0</v>
      </c>
      <c r="J90" s="80">
        <f t="shared" si="25"/>
        <v>0</v>
      </c>
      <c r="K90" s="179">
        <v>0</v>
      </c>
      <c r="L90" s="80">
        <f t="shared" si="26"/>
        <v>0</v>
      </c>
      <c r="M90" s="179">
        <v>0</v>
      </c>
      <c r="N90" s="80">
        <f t="shared" si="27"/>
        <v>0</v>
      </c>
      <c r="O90" s="179">
        <v>0</v>
      </c>
      <c r="P90" s="80">
        <f t="shared" si="28"/>
        <v>0</v>
      </c>
      <c r="Q90" s="179">
        <v>0</v>
      </c>
      <c r="R90" s="80">
        <f t="shared" si="29"/>
        <v>0</v>
      </c>
      <c r="S90" s="179">
        <v>0</v>
      </c>
      <c r="T90" s="80">
        <f t="shared" si="30"/>
        <v>0</v>
      </c>
      <c r="U90" s="179">
        <v>0</v>
      </c>
      <c r="V90" s="80">
        <f t="shared" si="31"/>
        <v>0</v>
      </c>
      <c r="X90" s="200"/>
    </row>
    <row r="91" spans="1:24" ht="12.75" customHeight="1">
      <c r="A91" s="2" t="s">
        <v>422</v>
      </c>
      <c r="C91" s="179">
        <v>0</v>
      </c>
      <c r="D91" s="80">
        <f t="shared" si="32"/>
        <v>0</v>
      </c>
      <c r="E91" s="179">
        <v>0</v>
      </c>
      <c r="F91" s="80">
        <f t="shared" si="23"/>
        <v>0</v>
      </c>
      <c r="G91" s="179">
        <v>0</v>
      </c>
      <c r="H91" s="80">
        <f t="shared" si="24"/>
        <v>0</v>
      </c>
      <c r="I91" s="179">
        <v>0</v>
      </c>
      <c r="J91" s="80">
        <f t="shared" si="25"/>
        <v>0</v>
      </c>
      <c r="K91" s="179">
        <v>0</v>
      </c>
      <c r="L91" s="80">
        <f t="shared" si="26"/>
        <v>0</v>
      </c>
      <c r="M91" s="179">
        <v>0</v>
      </c>
      <c r="N91" s="80">
        <f t="shared" si="27"/>
        <v>0</v>
      </c>
      <c r="O91" s="179">
        <v>0</v>
      </c>
      <c r="P91" s="80">
        <f t="shared" si="28"/>
        <v>0</v>
      </c>
      <c r="Q91" s="179">
        <v>0</v>
      </c>
      <c r="R91" s="80">
        <f t="shared" si="29"/>
        <v>0</v>
      </c>
      <c r="S91" s="179">
        <v>0</v>
      </c>
      <c r="T91" s="80">
        <f t="shared" si="30"/>
        <v>0</v>
      </c>
      <c r="U91" s="179">
        <v>0</v>
      </c>
      <c r="V91" s="80">
        <f t="shared" si="31"/>
        <v>0</v>
      </c>
      <c r="X91" s="200"/>
    </row>
    <row r="92" spans="1:24" ht="12.75" customHeight="1">
      <c r="A92" s="2" t="s">
        <v>423</v>
      </c>
      <c r="B92" s="35"/>
      <c r="C92" s="179">
        <v>0</v>
      </c>
      <c r="D92" s="80">
        <f t="shared" si="32"/>
        <v>0</v>
      </c>
      <c r="E92" s="179">
        <v>0</v>
      </c>
      <c r="F92" s="80">
        <f t="shared" si="23"/>
        <v>0</v>
      </c>
      <c r="G92" s="179">
        <v>0</v>
      </c>
      <c r="H92" s="80">
        <f t="shared" si="24"/>
        <v>0</v>
      </c>
      <c r="I92" s="179">
        <v>0</v>
      </c>
      <c r="J92" s="80">
        <f t="shared" si="25"/>
        <v>0</v>
      </c>
      <c r="K92" s="179">
        <v>0</v>
      </c>
      <c r="L92" s="80">
        <f t="shared" si="26"/>
        <v>0</v>
      </c>
      <c r="M92" s="179">
        <v>0</v>
      </c>
      <c r="N92" s="80">
        <f t="shared" si="27"/>
        <v>0</v>
      </c>
      <c r="O92" s="179">
        <v>0</v>
      </c>
      <c r="P92" s="80">
        <f t="shared" si="28"/>
        <v>0</v>
      </c>
      <c r="Q92" s="179">
        <v>0</v>
      </c>
      <c r="R92" s="80">
        <f t="shared" si="29"/>
        <v>0</v>
      </c>
      <c r="S92" s="179">
        <v>0</v>
      </c>
      <c r="T92" s="80">
        <f t="shared" si="30"/>
        <v>0</v>
      </c>
      <c r="U92" s="179">
        <v>0</v>
      </c>
      <c r="V92" s="80">
        <f t="shared" si="31"/>
        <v>0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32"/>
        <v>0</v>
      </c>
      <c r="E93" s="179">
        <v>0</v>
      </c>
      <c r="F93" s="80">
        <f t="shared" si="23"/>
        <v>0</v>
      </c>
      <c r="G93" s="179">
        <v>0</v>
      </c>
      <c r="H93" s="80">
        <f t="shared" si="24"/>
        <v>0</v>
      </c>
      <c r="I93" s="179">
        <v>0</v>
      </c>
      <c r="J93" s="80">
        <f t="shared" si="25"/>
        <v>0</v>
      </c>
      <c r="K93" s="179">
        <v>0</v>
      </c>
      <c r="L93" s="80">
        <f t="shared" si="26"/>
        <v>0</v>
      </c>
      <c r="M93" s="179">
        <v>0</v>
      </c>
      <c r="N93" s="80">
        <f t="shared" si="27"/>
        <v>0</v>
      </c>
      <c r="O93" s="179">
        <v>0</v>
      </c>
      <c r="P93" s="80">
        <f t="shared" si="28"/>
        <v>0</v>
      </c>
      <c r="Q93" s="179">
        <v>0</v>
      </c>
      <c r="R93" s="80">
        <f t="shared" si="29"/>
        <v>0</v>
      </c>
      <c r="S93" s="179">
        <v>0</v>
      </c>
      <c r="T93" s="80">
        <f t="shared" si="30"/>
        <v>0</v>
      </c>
      <c r="U93" s="179">
        <v>0</v>
      </c>
      <c r="V93" s="80">
        <f t="shared" si="31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32"/>
        <v>0</v>
      </c>
      <c r="E94" s="179">
        <v>0</v>
      </c>
      <c r="F94" s="80">
        <f t="shared" si="23"/>
        <v>0</v>
      </c>
      <c r="G94" s="179">
        <v>0</v>
      </c>
      <c r="H94" s="80">
        <f t="shared" si="24"/>
        <v>0</v>
      </c>
      <c r="I94" s="179">
        <v>0</v>
      </c>
      <c r="J94" s="80">
        <f t="shared" si="25"/>
        <v>0</v>
      </c>
      <c r="K94" s="179">
        <v>0</v>
      </c>
      <c r="L94" s="80">
        <f t="shared" si="26"/>
        <v>0</v>
      </c>
      <c r="M94" s="179">
        <v>0</v>
      </c>
      <c r="N94" s="80">
        <f t="shared" si="27"/>
        <v>0</v>
      </c>
      <c r="O94" s="179">
        <v>0</v>
      </c>
      <c r="P94" s="80">
        <f t="shared" si="28"/>
        <v>0</v>
      </c>
      <c r="Q94" s="179">
        <v>0</v>
      </c>
      <c r="R94" s="80">
        <f t="shared" si="29"/>
        <v>0</v>
      </c>
      <c r="S94" s="179">
        <v>0</v>
      </c>
      <c r="T94" s="80">
        <f t="shared" si="30"/>
        <v>0</v>
      </c>
      <c r="U94" s="179">
        <v>0</v>
      </c>
      <c r="V94" s="80">
        <f t="shared" si="31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32"/>
        <v>0</v>
      </c>
      <c r="E95" s="179">
        <v>0</v>
      </c>
      <c r="F95" s="80">
        <f t="shared" si="23"/>
        <v>0</v>
      </c>
      <c r="G95" s="179">
        <v>0</v>
      </c>
      <c r="H95" s="80">
        <f t="shared" si="24"/>
        <v>0</v>
      </c>
      <c r="I95" s="179">
        <v>0</v>
      </c>
      <c r="J95" s="80">
        <f t="shared" si="25"/>
        <v>0</v>
      </c>
      <c r="K95" s="179">
        <v>0</v>
      </c>
      <c r="L95" s="80">
        <f t="shared" si="26"/>
        <v>0</v>
      </c>
      <c r="M95" s="179">
        <v>0</v>
      </c>
      <c r="N95" s="80">
        <f t="shared" si="27"/>
        <v>0</v>
      </c>
      <c r="O95" s="179">
        <v>0</v>
      </c>
      <c r="P95" s="80">
        <f t="shared" si="28"/>
        <v>0</v>
      </c>
      <c r="Q95" s="179">
        <v>0</v>
      </c>
      <c r="R95" s="80">
        <f t="shared" si="29"/>
        <v>0</v>
      </c>
      <c r="S95" s="179">
        <v>0</v>
      </c>
      <c r="T95" s="80">
        <f t="shared" si="30"/>
        <v>0</v>
      </c>
      <c r="U95" s="179">
        <v>0</v>
      </c>
      <c r="V95" s="80">
        <f t="shared" si="31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32"/>
        <v>0</v>
      </c>
      <c r="E96" s="179">
        <v>0</v>
      </c>
      <c r="F96" s="80">
        <f t="shared" si="23"/>
        <v>0</v>
      </c>
      <c r="G96" s="179">
        <v>0</v>
      </c>
      <c r="H96" s="80">
        <f t="shared" si="24"/>
        <v>0</v>
      </c>
      <c r="I96" s="179">
        <v>0</v>
      </c>
      <c r="J96" s="80">
        <f t="shared" si="25"/>
        <v>0</v>
      </c>
      <c r="K96" s="179">
        <v>0</v>
      </c>
      <c r="L96" s="80">
        <f t="shared" si="26"/>
        <v>0</v>
      </c>
      <c r="M96" s="179">
        <v>0</v>
      </c>
      <c r="N96" s="80">
        <f t="shared" si="27"/>
        <v>0</v>
      </c>
      <c r="O96" s="179">
        <v>0</v>
      </c>
      <c r="P96" s="80">
        <f t="shared" si="28"/>
        <v>0</v>
      </c>
      <c r="Q96" s="179">
        <v>0</v>
      </c>
      <c r="R96" s="80">
        <f t="shared" si="29"/>
        <v>0</v>
      </c>
      <c r="S96" s="179">
        <v>0</v>
      </c>
      <c r="T96" s="80">
        <f t="shared" si="30"/>
        <v>0</v>
      </c>
      <c r="U96" s="179">
        <v>0</v>
      </c>
      <c r="V96" s="80">
        <f t="shared" si="31"/>
        <v>0</v>
      </c>
      <c r="X96" s="200"/>
    </row>
    <row r="97" spans="1:24" ht="12.75" customHeight="1">
      <c r="A97" s="2" t="s">
        <v>428</v>
      </c>
      <c r="B97" s="35"/>
      <c r="C97" s="179">
        <v>0</v>
      </c>
      <c r="D97" s="80">
        <f t="shared" si="32"/>
        <v>0</v>
      </c>
      <c r="E97" s="179">
        <v>0</v>
      </c>
      <c r="F97" s="80">
        <f t="shared" si="23"/>
        <v>0</v>
      </c>
      <c r="G97" s="179">
        <v>0</v>
      </c>
      <c r="H97" s="80">
        <f t="shared" si="24"/>
        <v>0</v>
      </c>
      <c r="I97" s="179">
        <v>0</v>
      </c>
      <c r="J97" s="80">
        <f t="shared" si="25"/>
        <v>0</v>
      </c>
      <c r="K97" s="179">
        <v>0</v>
      </c>
      <c r="L97" s="80">
        <f t="shared" si="26"/>
        <v>0</v>
      </c>
      <c r="M97" s="179">
        <v>0</v>
      </c>
      <c r="N97" s="80">
        <f t="shared" si="27"/>
        <v>0</v>
      </c>
      <c r="O97" s="179">
        <v>0</v>
      </c>
      <c r="P97" s="80">
        <f t="shared" si="28"/>
        <v>0</v>
      </c>
      <c r="Q97" s="179">
        <v>0</v>
      </c>
      <c r="R97" s="80">
        <f t="shared" si="29"/>
        <v>0</v>
      </c>
      <c r="S97" s="179">
        <v>0</v>
      </c>
      <c r="T97" s="80">
        <f t="shared" si="30"/>
        <v>0</v>
      </c>
      <c r="U97" s="179">
        <v>0</v>
      </c>
      <c r="V97" s="80">
        <f t="shared" si="31"/>
        <v>0</v>
      </c>
      <c r="X97" s="200"/>
    </row>
    <row r="98" spans="1:24" ht="12.75" customHeight="1">
      <c r="A98" s="117" t="s">
        <v>431</v>
      </c>
      <c r="B98" s="35"/>
      <c r="C98" s="179">
        <v>0</v>
      </c>
      <c r="D98" s="80">
        <f t="shared" si="32"/>
        <v>0</v>
      </c>
      <c r="E98" s="179">
        <v>0</v>
      </c>
      <c r="F98" s="80">
        <f t="shared" si="23"/>
        <v>0</v>
      </c>
      <c r="G98" s="179">
        <v>0</v>
      </c>
      <c r="H98" s="80">
        <f t="shared" si="24"/>
        <v>0</v>
      </c>
      <c r="I98" s="179">
        <v>0</v>
      </c>
      <c r="J98" s="80">
        <f t="shared" si="25"/>
        <v>0</v>
      </c>
      <c r="K98" s="179">
        <v>0</v>
      </c>
      <c r="L98" s="80">
        <f t="shared" si="26"/>
        <v>0</v>
      </c>
      <c r="M98" s="179">
        <v>0</v>
      </c>
      <c r="N98" s="80">
        <f t="shared" si="27"/>
        <v>0</v>
      </c>
      <c r="O98" s="179">
        <v>0</v>
      </c>
      <c r="P98" s="80">
        <f t="shared" si="28"/>
        <v>0</v>
      </c>
      <c r="Q98" s="179">
        <v>0</v>
      </c>
      <c r="R98" s="80">
        <f t="shared" si="29"/>
        <v>0</v>
      </c>
      <c r="S98" s="179">
        <v>0</v>
      </c>
      <c r="T98" s="80">
        <f t="shared" si="30"/>
        <v>0</v>
      </c>
      <c r="U98" s="179">
        <v>0</v>
      </c>
      <c r="V98" s="80">
        <f t="shared" si="31"/>
        <v>0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32"/>
        <v>0</v>
      </c>
      <c r="E99" s="179">
        <v>0</v>
      </c>
      <c r="F99" s="80">
        <f t="shared" si="23"/>
        <v>0</v>
      </c>
      <c r="G99" s="179">
        <v>0</v>
      </c>
      <c r="H99" s="80">
        <f t="shared" si="24"/>
        <v>0</v>
      </c>
      <c r="I99" s="179">
        <v>0</v>
      </c>
      <c r="J99" s="80">
        <f t="shared" si="25"/>
        <v>0</v>
      </c>
      <c r="K99" s="179">
        <v>0</v>
      </c>
      <c r="L99" s="80">
        <f t="shared" si="26"/>
        <v>0</v>
      </c>
      <c r="M99" s="179">
        <v>0</v>
      </c>
      <c r="N99" s="80">
        <f t="shared" si="27"/>
        <v>0</v>
      </c>
      <c r="O99" s="179">
        <v>0</v>
      </c>
      <c r="P99" s="80">
        <f t="shared" si="28"/>
        <v>0</v>
      </c>
      <c r="Q99" s="179">
        <v>0</v>
      </c>
      <c r="R99" s="80">
        <f t="shared" si="29"/>
        <v>0</v>
      </c>
      <c r="S99" s="179">
        <v>0</v>
      </c>
      <c r="T99" s="80">
        <f t="shared" si="30"/>
        <v>0</v>
      </c>
      <c r="U99" s="179">
        <v>0</v>
      </c>
      <c r="V99" s="80">
        <f t="shared" si="31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32"/>
        <v>0</v>
      </c>
      <c r="E100" s="179">
        <v>0</v>
      </c>
      <c r="F100" s="80">
        <f t="shared" si="23"/>
        <v>0</v>
      </c>
      <c r="G100" s="179">
        <v>0</v>
      </c>
      <c r="H100" s="80">
        <f t="shared" si="24"/>
        <v>0</v>
      </c>
      <c r="I100" s="179">
        <v>0</v>
      </c>
      <c r="J100" s="80">
        <f t="shared" si="25"/>
        <v>0</v>
      </c>
      <c r="K100" s="179">
        <v>0</v>
      </c>
      <c r="L100" s="80">
        <f t="shared" si="26"/>
        <v>0</v>
      </c>
      <c r="M100" s="179">
        <v>0</v>
      </c>
      <c r="N100" s="80">
        <f t="shared" si="27"/>
        <v>0</v>
      </c>
      <c r="O100" s="179">
        <v>0</v>
      </c>
      <c r="P100" s="80">
        <f t="shared" si="28"/>
        <v>0</v>
      </c>
      <c r="Q100" s="179">
        <v>0</v>
      </c>
      <c r="R100" s="80">
        <f t="shared" si="29"/>
        <v>0</v>
      </c>
      <c r="S100" s="179">
        <v>0</v>
      </c>
      <c r="T100" s="80">
        <f t="shared" si="30"/>
        <v>0</v>
      </c>
      <c r="U100" s="179">
        <v>0</v>
      </c>
      <c r="V100" s="80">
        <f t="shared" si="31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32"/>
        <v>0</v>
      </c>
      <c r="E101" s="179"/>
      <c r="F101" s="80">
        <f t="shared" si="23"/>
        <v>0</v>
      </c>
      <c r="G101" s="179"/>
      <c r="H101" s="80">
        <f t="shared" si="24"/>
        <v>0</v>
      </c>
      <c r="I101" s="179">
        <v>0</v>
      </c>
      <c r="J101" s="80">
        <f t="shared" si="25"/>
        <v>0</v>
      </c>
      <c r="K101" s="179">
        <v>0</v>
      </c>
      <c r="L101" s="80">
        <f t="shared" si="26"/>
        <v>0</v>
      </c>
      <c r="M101" s="179">
        <v>0</v>
      </c>
      <c r="N101" s="80">
        <f t="shared" si="27"/>
        <v>0</v>
      </c>
      <c r="O101" s="179">
        <v>0</v>
      </c>
      <c r="P101" s="80">
        <f t="shared" si="28"/>
        <v>0</v>
      </c>
      <c r="Q101" s="179">
        <v>0</v>
      </c>
      <c r="R101" s="80">
        <f t="shared" si="29"/>
        <v>0</v>
      </c>
      <c r="S101" s="179">
        <v>0</v>
      </c>
      <c r="T101" s="80">
        <f t="shared" si="30"/>
        <v>0</v>
      </c>
      <c r="U101" s="179">
        <v>0</v>
      </c>
      <c r="V101" s="80">
        <f t="shared" si="31"/>
        <v>0</v>
      </c>
      <c r="X101" s="200"/>
    </row>
    <row r="102" spans="1:24" ht="12.75" customHeight="1">
      <c r="A102" s="117" t="s">
        <v>433</v>
      </c>
      <c r="B102" s="35"/>
      <c r="C102" s="179">
        <v>0</v>
      </c>
      <c r="D102" s="80">
        <f t="shared" si="32"/>
        <v>0</v>
      </c>
      <c r="E102" s="179">
        <v>0</v>
      </c>
      <c r="F102" s="80">
        <f t="shared" si="23"/>
        <v>0</v>
      </c>
      <c r="G102" s="179">
        <v>0</v>
      </c>
      <c r="H102" s="80">
        <f t="shared" si="24"/>
        <v>0</v>
      </c>
      <c r="I102" s="179">
        <v>0</v>
      </c>
      <c r="J102" s="80">
        <f t="shared" si="25"/>
        <v>0</v>
      </c>
      <c r="K102" s="179">
        <v>0</v>
      </c>
      <c r="L102" s="80">
        <f t="shared" si="26"/>
        <v>0</v>
      </c>
      <c r="M102" s="179">
        <v>0</v>
      </c>
      <c r="N102" s="80">
        <f t="shared" si="27"/>
        <v>0</v>
      </c>
      <c r="O102" s="179">
        <v>0</v>
      </c>
      <c r="P102" s="80">
        <f t="shared" si="28"/>
        <v>0</v>
      </c>
      <c r="Q102" s="179">
        <v>0</v>
      </c>
      <c r="R102" s="80">
        <f t="shared" si="29"/>
        <v>0</v>
      </c>
      <c r="S102" s="179">
        <v>0</v>
      </c>
      <c r="T102" s="80">
        <f t="shared" si="30"/>
        <v>0</v>
      </c>
      <c r="U102" s="179">
        <v>0</v>
      </c>
      <c r="V102" s="80">
        <f t="shared" si="31"/>
        <v>0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32"/>
        <v>0</v>
      </c>
      <c r="E103" s="179">
        <v>0</v>
      </c>
      <c r="F103" s="80">
        <f t="shared" si="23"/>
        <v>0</v>
      </c>
      <c r="G103" s="179">
        <v>0</v>
      </c>
      <c r="H103" s="80">
        <f t="shared" si="24"/>
        <v>0</v>
      </c>
      <c r="I103" s="179">
        <v>0</v>
      </c>
      <c r="J103" s="80">
        <f t="shared" si="25"/>
        <v>0</v>
      </c>
      <c r="K103" s="179">
        <v>0</v>
      </c>
      <c r="L103" s="80">
        <f t="shared" si="26"/>
        <v>0</v>
      </c>
      <c r="M103" s="179">
        <v>0</v>
      </c>
      <c r="N103" s="80">
        <f t="shared" si="27"/>
        <v>0</v>
      </c>
      <c r="O103" s="179">
        <v>0</v>
      </c>
      <c r="P103" s="80">
        <f t="shared" si="28"/>
        <v>0</v>
      </c>
      <c r="Q103" s="179">
        <v>0</v>
      </c>
      <c r="R103" s="80">
        <f t="shared" si="29"/>
        <v>0</v>
      </c>
      <c r="S103" s="179">
        <v>0</v>
      </c>
      <c r="T103" s="80">
        <f t="shared" si="30"/>
        <v>0</v>
      </c>
      <c r="U103" s="179">
        <v>0</v>
      </c>
      <c r="V103" s="80">
        <f t="shared" si="31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32"/>
        <v>0</v>
      </c>
      <c r="E104" s="179">
        <v>0</v>
      </c>
      <c r="F104" s="80">
        <f t="shared" si="23"/>
        <v>0</v>
      </c>
      <c r="G104" s="179">
        <v>0</v>
      </c>
      <c r="H104" s="80">
        <f t="shared" si="24"/>
        <v>0</v>
      </c>
      <c r="I104" s="179">
        <v>0</v>
      </c>
      <c r="J104" s="80">
        <f t="shared" si="25"/>
        <v>0</v>
      </c>
      <c r="K104" s="179">
        <v>0</v>
      </c>
      <c r="L104" s="80">
        <f t="shared" si="26"/>
        <v>0</v>
      </c>
      <c r="M104" s="179">
        <v>0</v>
      </c>
      <c r="N104" s="80">
        <f t="shared" si="27"/>
        <v>0</v>
      </c>
      <c r="O104" s="179">
        <v>0</v>
      </c>
      <c r="P104" s="80">
        <f t="shared" si="28"/>
        <v>0</v>
      </c>
      <c r="Q104" s="179">
        <v>0</v>
      </c>
      <c r="R104" s="80">
        <f t="shared" si="29"/>
        <v>0</v>
      </c>
      <c r="S104" s="179">
        <v>0</v>
      </c>
      <c r="T104" s="80">
        <f t="shared" si="30"/>
        <v>0</v>
      </c>
      <c r="U104" s="179">
        <v>0</v>
      </c>
      <c r="V104" s="80">
        <f t="shared" si="31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0</v>
      </c>
      <c r="D105" s="83">
        <f t="shared" si="32"/>
        <v>0</v>
      </c>
      <c r="E105" s="82">
        <f>SUM(E52:E104)</f>
        <v>0</v>
      </c>
      <c r="F105" s="83">
        <f t="shared" si="23"/>
        <v>0</v>
      </c>
      <c r="G105" s="82">
        <f>SUM(G52:G104)</f>
        <v>0</v>
      </c>
      <c r="H105" s="83">
        <f t="shared" si="24"/>
        <v>0</v>
      </c>
      <c r="I105" s="82">
        <f>SUM(I52:I104)</f>
        <v>0</v>
      </c>
      <c r="J105" s="83">
        <f t="shared" si="25"/>
        <v>0</v>
      </c>
      <c r="K105" s="82">
        <f>SUM(K52:K104)</f>
        <v>0</v>
      </c>
      <c r="L105" s="83">
        <f t="shared" si="26"/>
        <v>0</v>
      </c>
      <c r="M105" s="82">
        <f>SUM(M52:M104)</f>
        <v>0</v>
      </c>
      <c r="N105" s="83">
        <f t="shared" si="27"/>
        <v>0</v>
      </c>
      <c r="O105" s="82">
        <f>SUM(O52:O104)</f>
        <v>0</v>
      </c>
      <c r="P105" s="83">
        <f t="shared" si="28"/>
        <v>0</v>
      </c>
      <c r="Q105" s="82">
        <f>SUM(Q52:Q104)</f>
        <v>0</v>
      </c>
      <c r="R105" s="83">
        <f t="shared" si="29"/>
        <v>0</v>
      </c>
      <c r="S105" s="82">
        <f>SUM(S52:S104)</f>
        <v>0</v>
      </c>
      <c r="T105" s="83">
        <f t="shared" si="30"/>
        <v>0</v>
      </c>
      <c r="U105" s="82">
        <f>SUM(U52:U104)</f>
        <v>0</v>
      </c>
      <c r="V105" s="83">
        <f t="shared" si="31"/>
        <v>0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175000</v>
      </c>
      <c r="D107" s="83">
        <f>IFERROR(C107/C$28,0)</f>
        <v>1</v>
      </c>
      <c r="E107" s="82">
        <f>E28-E33-E46-E105</f>
        <v>178500</v>
      </c>
      <c r="F107" s="83">
        <f>IFERROR(E107/E$28,0)</f>
        <v>1</v>
      </c>
      <c r="G107" s="82">
        <f>G28-G33-G46-G105</f>
        <v>182070</v>
      </c>
      <c r="H107" s="83">
        <f>IFERROR(G107/G$28,0)</f>
        <v>1</v>
      </c>
      <c r="I107" s="82">
        <f>I28-I33-I46-I105</f>
        <v>185711.4</v>
      </c>
      <c r="J107" s="83">
        <f>IFERROR(I107/I$28,0)</f>
        <v>1</v>
      </c>
      <c r="K107" s="82">
        <f>K28-K33-K46-K105</f>
        <v>189425.628</v>
      </c>
      <c r="L107" s="83">
        <f>IFERROR(K107/K$28,0)</f>
        <v>1</v>
      </c>
      <c r="M107" s="82">
        <f>M28-M33-M46-M105</f>
        <v>193214.14056</v>
      </c>
      <c r="N107" s="83">
        <f>IFERROR(M107/M$28,0)</f>
        <v>1</v>
      </c>
      <c r="O107" s="82">
        <f>O28-O33-O46-O105</f>
        <v>197078.42337120001</v>
      </c>
      <c r="P107" s="83">
        <f>IFERROR(O107/O$28,0)</f>
        <v>1</v>
      </c>
      <c r="Q107" s="82">
        <f>Q28-Q33-Q46-Q105</f>
        <v>201019.99183862403</v>
      </c>
      <c r="R107" s="83">
        <f>IFERROR(Q107/Q$28,0)</f>
        <v>1</v>
      </c>
      <c r="S107" s="82">
        <f>S28-S33-S46-S105</f>
        <v>205040.3916753965</v>
      </c>
      <c r="T107" s="83">
        <f>IFERROR(S107/S$28,0)</f>
        <v>1</v>
      </c>
      <c r="U107" s="82">
        <f>U28-U33-U46-U105</f>
        <v>209141.19950890445</v>
      </c>
      <c r="V107" s="83">
        <f>IFERROR(U107/U$28,0)</f>
        <v>1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33">IFERROR(C111/C$28,0)</f>
        <v>0</v>
      </c>
      <c r="E111" s="79">
        <f>E59</f>
        <v>0</v>
      </c>
      <c r="F111" s="80">
        <f t="shared" ref="F111:F116" si="34">IFERROR(E111/E$28,0)</f>
        <v>0</v>
      </c>
      <c r="G111" s="79">
        <f>G59</f>
        <v>0</v>
      </c>
      <c r="H111" s="80">
        <f t="shared" ref="H111:H116" si="35">IFERROR(G111/G$28,0)</f>
        <v>0</v>
      </c>
      <c r="I111" s="79">
        <f>I59</f>
        <v>0</v>
      </c>
      <c r="J111" s="80">
        <f t="shared" ref="J111:J116" si="36">IFERROR(I111/I$28,0)</f>
        <v>0</v>
      </c>
      <c r="K111" s="79">
        <f>K59</f>
        <v>0</v>
      </c>
      <c r="L111" s="80">
        <f t="shared" ref="L111:L116" si="37">IFERROR(K111/K$28,0)</f>
        <v>0</v>
      </c>
      <c r="M111" s="79">
        <f>M59</f>
        <v>0</v>
      </c>
      <c r="N111" s="80">
        <f t="shared" ref="N111:N116" si="38">IFERROR(M111/M$28,0)</f>
        <v>0</v>
      </c>
      <c r="O111" s="79">
        <f>O59</f>
        <v>0</v>
      </c>
      <c r="P111" s="80">
        <f t="shared" ref="P111:P116" si="39">IFERROR(O111/O$28,0)</f>
        <v>0</v>
      </c>
      <c r="Q111" s="79">
        <f>Q59</f>
        <v>0</v>
      </c>
      <c r="R111" s="80">
        <f t="shared" ref="R111:R116" si="40">IFERROR(Q111/Q$28,0)</f>
        <v>0</v>
      </c>
      <c r="S111" s="79">
        <f>S59</f>
        <v>0</v>
      </c>
      <c r="T111" s="80">
        <f t="shared" ref="T111:T116" si="41">IFERROR(S111/S$28,0)</f>
        <v>0</v>
      </c>
      <c r="U111" s="79">
        <f>U59</f>
        <v>0</v>
      </c>
      <c r="V111" s="80">
        <f t="shared" ref="V111:V116" si="42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33"/>
        <v>0</v>
      </c>
      <c r="E112" s="79">
        <f>E62</f>
        <v>0</v>
      </c>
      <c r="F112" s="80">
        <f t="shared" si="34"/>
        <v>0</v>
      </c>
      <c r="G112" s="79">
        <f>G62</f>
        <v>0</v>
      </c>
      <c r="H112" s="80">
        <f t="shared" si="35"/>
        <v>0</v>
      </c>
      <c r="I112" s="79">
        <f>I62</f>
        <v>0</v>
      </c>
      <c r="J112" s="80">
        <f t="shared" si="36"/>
        <v>0</v>
      </c>
      <c r="K112" s="79">
        <f>K62</f>
        <v>0</v>
      </c>
      <c r="L112" s="80">
        <f t="shared" si="37"/>
        <v>0</v>
      </c>
      <c r="M112" s="79">
        <f>M62</f>
        <v>0</v>
      </c>
      <c r="N112" s="80">
        <f t="shared" si="38"/>
        <v>0</v>
      </c>
      <c r="O112" s="79">
        <f>O62</f>
        <v>0</v>
      </c>
      <c r="P112" s="80">
        <f t="shared" si="39"/>
        <v>0</v>
      </c>
      <c r="Q112" s="79">
        <f>Q62</f>
        <v>0</v>
      </c>
      <c r="R112" s="80">
        <f t="shared" si="40"/>
        <v>0</v>
      </c>
      <c r="S112" s="79">
        <f>S62</f>
        <v>0</v>
      </c>
      <c r="T112" s="80">
        <f t="shared" si="41"/>
        <v>0</v>
      </c>
      <c r="U112" s="79">
        <f>U62</f>
        <v>0</v>
      </c>
      <c r="V112" s="80">
        <f t="shared" si="42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33"/>
        <v>0</v>
      </c>
      <c r="E113" s="111">
        <v>0</v>
      </c>
      <c r="F113" s="80">
        <f t="shared" si="34"/>
        <v>0</v>
      </c>
      <c r="G113" s="111">
        <v>0</v>
      </c>
      <c r="H113" s="80">
        <f t="shared" si="35"/>
        <v>0</v>
      </c>
      <c r="I113" s="111">
        <v>0</v>
      </c>
      <c r="J113" s="80">
        <f t="shared" si="36"/>
        <v>0</v>
      </c>
      <c r="K113" s="111">
        <v>0</v>
      </c>
      <c r="L113" s="80">
        <f t="shared" si="37"/>
        <v>0</v>
      </c>
      <c r="M113" s="111">
        <v>0</v>
      </c>
      <c r="N113" s="80">
        <f t="shared" si="38"/>
        <v>0</v>
      </c>
      <c r="O113" s="111">
        <v>0</v>
      </c>
      <c r="P113" s="80">
        <f t="shared" si="39"/>
        <v>0</v>
      </c>
      <c r="Q113" s="111">
        <v>0</v>
      </c>
      <c r="R113" s="80">
        <f t="shared" si="40"/>
        <v>0</v>
      </c>
      <c r="S113" s="111">
        <v>0</v>
      </c>
      <c r="T113" s="80">
        <f t="shared" si="41"/>
        <v>0</v>
      </c>
      <c r="U113" s="111">
        <v>0</v>
      </c>
      <c r="V113" s="80">
        <f t="shared" si="42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33"/>
        <v>0</v>
      </c>
      <c r="E114" s="111">
        <v>0</v>
      </c>
      <c r="F114" s="80">
        <f t="shared" si="34"/>
        <v>0</v>
      </c>
      <c r="G114" s="111">
        <v>0</v>
      </c>
      <c r="H114" s="80">
        <f t="shared" si="35"/>
        <v>0</v>
      </c>
      <c r="I114" s="111">
        <v>0</v>
      </c>
      <c r="J114" s="80">
        <f t="shared" si="36"/>
        <v>0</v>
      </c>
      <c r="K114" s="111">
        <v>0</v>
      </c>
      <c r="L114" s="80">
        <f t="shared" si="37"/>
        <v>0</v>
      </c>
      <c r="M114" s="111">
        <v>0</v>
      </c>
      <c r="N114" s="80">
        <f t="shared" si="38"/>
        <v>0</v>
      </c>
      <c r="O114" s="111">
        <v>0</v>
      </c>
      <c r="P114" s="80">
        <f t="shared" si="39"/>
        <v>0</v>
      </c>
      <c r="Q114" s="111">
        <v>0</v>
      </c>
      <c r="R114" s="80">
        <f t="shared" si="40"/>
        <v>0</v>
      </c>
      <c r="S114" s="111">
        <v>0</v>
      </c>
      <c r="T114" s="80">
        <f t="shared" si="41"/>
        <v>0</v>
      </c>
      <c r="U114" s="111">
        <v>0</v>
      </c>
      <c r="V114" s="80">
        <f t="shared" si="42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33"/>
        <v>0</v>
      </c>
      <c r="E115" s="112">
        <v>0</v>
      </c>
      <c r="F115" s="80">
        <f t="shared" si="34"/>
        <v>0</v>
      </c>
      <c r="G115" s="112">
        <v>0</v>
      </c>
      <c r="H115" s="80">
        <f t="shared" si="35"/>
        <v>0</v>
      </c>
      <c r="I115" s="112">
        <v>0</v>
      </c>
      <c r="J115" s="80">
        <f t="shared" si="36"/>
        <v>0</v>
      </c>
      <c r="K115" s="112">
        <v>0</v>
      </c>
      <c r="L115" s="80">
        <f t="shared" si="37"/>
        <v>0</v>
      </c>
      <c r="M115" s="112">
        <v>0</v>
      </c>
      <c r="N115" s="80">
        <f t="shared" si="38"/>
        <v>0</v>
      </c>
      <c r="O115" s="112">
        <v>0</v>
      </c>
      <c r="P115" s="80">
        <f t="shared" si="39"/>
        <v>0</v>
      </c>
      <c r="Q115" s="112">
        <v>0</v>
      </c>
      <c r="R115" s="80">
        <f t="shared" si="40"/>
        <v>0</v>
      </c>
      <c r="S115" s="112">
        <v>0</v>
      </c>
      <c r="T115" s="80">
        <f t="shared" si="41"/>
        <v>0</v>
      </c>
      <c r="U115" s="112">
        <v>0</v>
      </c>
      <c r="V115" s="80">
        <f t="shared" si="42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33"/>
        <v>0</v>
      </c>
      <c r="E116" s="85">
        <f>SUM(E111:E115)</f>
        <v>0</v>
      </c>
      <c r="F116" s="83">
        <f t="shared" si="34"/>
        <v>0</v>
      </c>
      <c r="G116" s="85">
        <f>SUM(G111:G115)</f>
        <v>0</v>
      </c>
      <c r="H116" s="83">
        <f t="shared" si="35"/>
        <v>0</v>
      </c>
      <c r="I116" s="85">
        <f>SUM(I111:I115)</f>
        <v>0</v>
      </c>
      <c r="J116" s="83">
        <f t="shared" si="36"/>
        <v>0</v>
      </c>
      <c r="K116" s="85">
        <f>SUM(K111:K115)</f>
        <v>0</v>
      </c>
      <c r="L116" s="83">
        <f t="shared" si="37"/>
        <v>0</v>
      </c>
      <c r="M116" s="85">
        <f>SUM(M111:M115)</f>
        <v>0</v>
      </c>
      <c r="N116" s="83">
        <f t="shared" si="38"/>
        <v>0</v>
      </c>
      <c r="O116" s="85">
        <f>SUM(O111:O115)</f>
        <v>0</v>
      </c>
      <c r="P116" s="83">
        <f t="shared" si="39"/>
        <v>0</v>
      </c>
      <c r="Q116" s="85">
        <f>SUM(Q111:Q115)</f>
        <v>0</v>
      </c>
      <c r="R116" s="83">
        <f t="shared" si="40"/>
        <v>0</v>
      </c>
      <c r="S116" s="85">
        <f>SUM(S111:S115)</f>
        <v>0</v>
      </c>
      <c r="T116" s="83">
        <f t="shared" si="41"/>
        <v>0</v>
      </c>
      <c r="U116" s="85">
        <f>SUM(U111:U115)</f>
        <v>0</v>
      </c>
      <c r="V116" s="83">
        <f t="shared" si="42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 tint="0.59999389629810485"/>
  </sheetPr>
  <dimension ref="A1:X119"/>
  <sheetViews>
    <sheetView topLeftCell="A28" zoomScale="70" zoomScaleNormal="70" workbookViewId="0" xr3:uid="{2C1BA805-FFAE-53D9-94C0-3D95D45B0C9C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39.710937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47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Panda Express (Mango)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285</v>
      </c>
      <c r="E8" s="109">
        <f>+C8</f>
        <v>285</v>
      </c>
      <c r="G8" s="109">
        <f>+E8</f>
        <v>285</v>
      </c>
      <c r="I8" s="109">
        <f>+G8</f>
        <v>285</v>
      </c>
      <c r="K8" s="109">
        <f>+I8</f>
        <v>285</v>
      </c>
      <c r="M8" s="109">
        <f>+K8</f>
        <v>285</v>
      </c>
      <c r="O8" s="109">
        <f>+M8</f>
        <v>285</v>
      </c>
      <c r="Q8" s="109">
        <f>+O8</f>
        <v>285</v>
      </c>
      <c r="S8" s="109">
        <f>+Q8</f>
        <v>285</v>
      </c>
      <c r="U8" s="109">
        <f>+S8</f>
        <v>285</v>
      </c>
    </row>
    <row r="10" spans="1:22" ht="12.75" customHeight="1">
      <c r="A10" s="2" t="s">
        <v>449</v>
      </c>
      <c r="C10" s="209">
        <f>+C14/C8/C12</f>
        <v>687.19999999999993</v>
      </c>
      <c r="D10" s="186"/>
      <c r="E10" s="209">
        <f>+E14/E8/E12</f>
        <v>748.18697494076252</v>
      </c>
      <c r="F10" s="186"/>
      <c r="G10" s="209">
        <f>+G14/G8/G12</f>
        <v>760.04004576659031</v>
      </c>
      <c r="H10" s="186"/>
      <c r="I10" s="209">
        <f>+I14/I8/I12</f>
        <v>772.09372551812544</v>
      </c>
      <c r="J10" s="186"/>
      <c r="K10" s="209">
        <f>+K14/K8/K12</f>
        <v>785.40999786916689</v>
      </c>
      <c r="L10" s="186"/>
      <c r="M10" s="209">
        <f>+M14/M8/M12</f>
        <v>797.88788251273354</v>
      </c>
      <c r="N10" s="186"/>
      <c r="O10" s="209">
        <f>+O14/O8/O12</f>
        <v>810.57718377679146</v>
      </c>
      <c r="P10" s="186"/>
      <c r="Q10" s="209">
        <f>+Q14/Q8/Q12</f>
        <v>823.48157254251794</v>
      </c>
      <c r="R10" s="186"/>
      <c r="S10" s="209">
        <f>+S14/S8/S12</f>
        <v>837.71729121679027</v>
      </c>
      <c r="T10" s="186"/>
      <c r="U10" s="209">
        <f>+U14/U8/U12</f>
        <v>851.07638550321428</v>
      </c>
      <c r="V10" s="186"/>
    </row>
    <row r="12" spans="1:22" ht="12.75" customHeight="1">
      <c r="A12" s="2" t="s">
        <v>450</v>
      </c>
      <c r="C12" s="110">
        <v>7.29</v>
      </c>
      <c r="E12" s="110">
        <v>7.33</v>
      </c>
      <c r="G12" s="110">
        <v>7.36</v>
      </c>
      <c r="I12" s="110">
        <v>7.39</v>
      </c>
      <c r="K12" s="110">
        <v>7.41</v>
      </c>
      <c r="M12" s="110">
        <v>7.44</v>
      </c>
      <c r="O12" s="110">
        <v>7.47</v>
      </c>
      <c r="Q12" s="110">
        <v>7.5</v>
      </c>
      <c r="S12" s="110">
        <v>7.52</v>
      </c>
      <c r="U12" s="110">
        <v>7.55</v>
      </c>
    </row>
    <row r="14" spans="1:22" ht="12.75" customHeight="1">
      <c r="A14" s="2" t="s">
        <v>451</v>
      </c>
      <c r="C14" s="206">
        <v>1427761.0799999998</v>
      </c>
      <c r="D14" s="12"/>
      <c r="E14" s="206">
        <v>1563000</v>
      </c>
      <c r="F14" s="12"/>
      <c r="G14" s="206">
        <f>+E14*1.02</f>
        <v>1594260</v>
      </c>
      <c r="H14" s="12"/>
      <c r="I14" s="206">
        <f>+G14*1.02</f>
        <v>1626145.2</v>
      </c>
      <c r="J14" s="12"/>
      <c r="K14" s="206">
        <f>+I14*1.02</f>
        <v>1658668.1040000001</v>
      </c>
      <c r="L14" s="12"/>
      <c r="M14" s="206">
        <f>+K14*1.02</f>
        <v>1691841.4660800002</v>
      </c>
      <c r="N14" s="12"/>
      <c r="O14" s="206">
        <f>+M14*1.02</f>
        <v>1725678.2954016002</v>
      </c>
      <c r="P14" s="12"/>
      <c r="Q14" s="206">
        <f>+O14*1.02</f>
        <v>1760191.8613096322</v>
      </c>
      <c r="R14" s="12"/>
      <c r="S14" s="206">
        <f>+Q14*1.02</f>
        <v>1795395.6985358249</v>
      </c>
      <c r="T14" s="12"/>
      <c r="U14" s="206">
        <f>+S14*1.02</f>
        <v>1831303.6125065414</v>
      </c>
      <c r="V14" s="12"/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4">
        <f>+C14-C20-C21</f>
        <v>1232443.3642559999</v>
      </c>
      <c r="D19" s="80">
        <f>IFERROR(C19/C$28,0)</f>
        <v>0.86320000000000008</v>
      </c>
      <c r="E19" s="204">
        <f>+E14-E20-E21</f>
        <v>710070.89999999991</v>
      </c>
      <c r="F19" s="80">
        <f>IFERROR(E19/E$28,0)</f>
        <v>0.45429999999999993</v>
      </c>
      <c r="G19" s="204">
        <f>+G14-G20-G21</f>
        <v>724272.31799999985</v>
      </c>
      <c r="H19" s="80">
        <f>IFERROR(G19/G$28,0)</f>
        <v>0.45429999999999993</v>
      </c>
      <c r="I19" s="204">
        <f>+I14-I20-I21</f>
        <v>738757.7643599998</v>
      </c>
      <c r="J19" s="80">
        <f>IFERROR(I19/I$28,0)</f>
        <v>0.45429999999999987</v>
      </c>
      <c r="K19" s="204">
        <f>+K14-K20-K21</f>
        <v>753532.9196471998</v>
      </c>
      <c r="L19" s="80">
        <f>IFERROR(K19/K$28,0)</f>
        <v>0.45429999999999993</v>
      </c>
      <c r="M19" s="204">
        <f>+M14-M20-M21</f>
        <v>768603.57804014394</v>
      </c>
      <c r="N19" s="80">
        <f>IFERROR(M19/M$28,0)</f>
        <v>0.45429999999999993</v>
      </c>
      <c r="O19" s="204">
        <f>+O14-O20-O21</f>
        <v>783975.64960094693</v>
      </c>
      <c r="P19" s="80">
        <f>IFERROR(O19/O$28,0)</f>
        <v>0.45429999999999998</v>
      </c>
      <c r="Q19" s="204">
        <f>+Q14-Q20-Q21</f>
        <v>799655.16259296588</v>
      </c>
      <c r="R19" s="80">
        <f>IFERROR(Q19/Q$28,0)</f>
        <v>0.45429999999999998</v>
      </c>
      <c r="S19" s="204">
        <f>+S14-S20-S21</f>
        <v>815648.26584482519</v>
      </c>
      <c r="T19" s="80">
        <f>IFERROR(S19/S$28,0)</f>
        <v>0.45429999999999998</v>
      </c>
      <c r="U19" s="204">
        <f>+U14-U20-U21</f>
        <v>831961.23116172175</v>
      </c>
      <c r="V19" s="80">
        <f>IFERROR(U19/U$28,0)</f>
        <v>0.45430000000000004</v>
      </c>
    </row>
    <row r="20" spans="1:24" ht="12.75" customHeight="1">
      <c r="A20" s="2" t="s">
        <v>357</v>
      </c>
      <c r="B20" s="35"/>
      <c r="C20" s="111">
        <f>+C14*12.38%</f>
        <v>176756.821704</v>
      </c>
      <c r="D20" s="80">
        <f>IFERROR(C20/C$28,0)</f>
        <v>0.12380000000000002</v>
      </c>
      <c r="E20" s="111">
        <f>+E14*53.27%</f>
        <v>832610.10000000009</v>
      </c>
      <c r="F20" s="80">
        <f>IFERROR(E20/E$28,0)</f>
        <v>0.53270000000000006</v>
      </c>
      <c r="G20" s="111">
        <f t="shared" ref="G20:U20" si="0">E20*1.02</f>
        <v>849262.30200000014</v>
      </c>
      <c r="H20" s="80">
        <f>IFERROR(G20/G$28,0)</f>
        <v>0.53270000000000006</v>
      </c>
      <c r="I20" s="111">
        <f t="shared" si="0"/>
        <v>866247.54804000014</v>
      </c>
      <c r="J20" s="80">
        <f>IFERROR(I20/I$28,0)</f>
        <v>0.53270000000000006</v>
      </c>
      <c r="K20" s="111">
        <f t="shared" si="0"/>
        <v>883572.49900080019</v>
      </c>
      <c r="L20" s="80">
        <f>IFERROR(K20/K$28,0)</f>
        <v>0.53270000000000017</v>
      </c>
      <c r="M20" s="111">
        <f t="shared" si="0"/>
        <v>901243.94898081617</v>
      </c>
      <c r="N20" s="80">
        <f>IFERROR(M20/M$28,0)</f>
        <v>0.53270000000000006</v>
      </c>
      <c r="O20" s="111">
        <f t="shared" si="0"/>
        <v>919268.82796043251</v>
      </c>
      <c r="P20" s="80">
        <f>IFERROR(O20/O$28,0)</f>
        <v>0.53270000000000006</v>
      </c>
      <c r="Q20" s="111">
        <f t="shared" si="0"/>
        <v>937654.20451964112</v>
      </c>
      <c r="R20" s="80">
        <f>IFERROR(Q20/Q$28,0)</f>
        <v>0.53270000000000006</v>
      </c>
      <c r="S20" s="111">
        <f t="shared" si="0"/>
        <v>956407.28861003392</v>
      </c>
      <c r="T20" s="80">
        <f>IFERROR(S20/S$28,0)</f>
        <v>0.53269999999999995</v>
      </c>
      <c r="U20" s="111">
        <f t="shared" si="0"/>
        <v>975535.43438223458</v>
      </c>
      <c r="V20" s="80">
        <f>IFERROR(U20/U$28,0)</f>
        <v>0.53270000000000006</v>
      </c>
    </row>
    <row r="21" spans="1:24" ht="12.75" customHeight="1">
      <c r="A21" s="191" t="s">
        <v>358</v>
      </c>
      <c r="B21" s="203"/>
      <c r="C21" s="111">
        <f>+C14*0.013</f>
        <v>18560.894039999996</v>
      </c>
      <c r="D21" s="80">
        <f>IFERROR(C21/C$28,0)</f>
        <v>1.2999999999999998E-2</v>
      </c>
      <c r="E21" s="111">
        <f>+E14*0.013</f>
        <v>20319</v>
      </c>
      <c r="F21" s="80">
        <f>IFERROR(E21/E$28,0)</f>
        <v>1.2999999999999999E-2</v>
      </c>
      <c r="G21" s="111">
        <f>+G14*0.013</f>
        <v>20725.379999999997</v>
      </c>
      <c r="H21" s="80">
        <f>IFERROR(G21/G$28,0)</f>
        <v>1.2999999999999998E-2</v>
      </c>
      <c r="I21" s="111">
        <f>+I14*0.013</f>
        <v>21139.887599999998</v>
      </c>
      <c r="J21" s="80">
        <f>IFERROR(I21/I$28,0)</f>
        <v>1.2999999999999999E-2</v>
      </c>
      <c r="K21" s="111">
        <f>+K14*0.013</f>
        <v>21562.685352</v>
      </c>
      <c r="L21" s="80">
        <f>IFERROR(K21/K$28,0)</f>
        <v>1.3000000000000001E-2</v>
      </c>
      <c r="M21" s="111">
        <f>+M14*0.013</f>
        <v>21993.93905904</v>
      </c>
      <c r="N21" s="80">
        <f>IFERROR(M21/M$28,0)</f>
        <v>1.2999999999999999E-2</v>
      </c>
      <c r="O21" s="111">
        <f>+O14*0.013</f>
        <v>22433.817840220803</v>
      </c>
      <c r="P21" s="80">
        <f>IFERROR(O21/O$28,0)</f>
        <v>1.3000000000000001E-2</v>
      </c>
      <c r="Q21" s="111">
        <f>+Q14*0.013</f>
        <v>22882.494197025218</v>
      </c>
      <c r="R21" s="80">
        <f>IFERROR(Q21/Q$28,0)</f>
        <v>1.2999999999999999E-2</v>
      </c>
      <c r="S21" s="111">
        <f>+S14*0.013</f>
        <v>23340.144080965722</v>
      </c>
      <c r="T21" s="80">
        <f>IFERROR(S21/S$28,0)</f>
        <v>1.2999999999999999E-2</v>
      </c>
      <c r="U21" s="111">
        <f>+U14*0.013</f>
        <v>23806.946962585036</v>
      </c>
      <c r="V21" s="80">
        <f>IFERROR(U21/U$28,0)</f>
        <v>1.3000000000000001E-2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364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365</v>
      </c>
      <c r="B28" s="53"/>
      <c r="C28" s="82">
        <f>SUM(C19:C27)</f>
        <v>1427761.0799999998</v>
      </c>
      <c r="D28" s="83">
        <f t="shared" si="1"/>
        <v>1</v>
      </c>
      <c r="E28" s="82">
        <f>SUM(E19:E27)</f>
        <v>1563000</v>
      </c>
      <c r="F28" s="83">
        <f t="shared" si="2"/>
        <v>1</v>
      </c>
      <c r="G28" s="82">
        <f>SUM(G19:G27)</f>
        <v>1594260</v>
      </c>
      <c r="H28" s="83">
        <f t="shared" si="3"/>
        <v>1</v>
      </c>
      <c r="I28" s="82">
        <f>SUM(I19:I27)</f>
        <v>1626145.2</v>
      </c>
      <c r="J28" s="83">
        <f t="shared" si="4"/>
        <v>1</v>
      </c>
      <c r="K28" s="82">
        <f>SUM(K19:K27)</f>
        <v>1658668.1039999998</v>
      </c>
      <c r="L28" s="83">
        <f t="shared" si="5"/>
        <v>1</v>
      </c>
      <c r="M28" s="82">
        <f>SUM(M19:M27)</f>
        <v>1691841.4660800002</v>
      </c>
      <c r="N28" s="83">
        <f t="shared" si="6"/>
        <v>1</v>
      </c>
      <c r="O28" s="82">
        <f>SUM(O19:O27)</f>
        <v>1725678.2954016002</v>
      </c>
      <c r="P28" s="83">
        <f t="shared" si="7"/>
        <v>1</v>
      </c>
      <c r="Q28" s="82">
        <f>SUM(Q19:Q27)</f>
        <v>1760191.8613096322</v>
      </c>
      <c r="R28" s="83">
        <f t="shared" si="8"/>
        <v>1</v>
      </c>
      <c r="S28" s="82">
        <f>SUM(S19:S27)</f>
        <v>1795395.6985358249</v>
      </c>
      <c r="T28" s="83">
        <f t="shared" si="9"/>
        <v>1</v>
      </c>
      <c r="U28" s="82">
        <f>SUM(U19:U27)</f>
        <v>1831303.6125065412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0.32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456883.54559999995</v>
      </c>
      <c r="D31" s="80">
        <f>IFERROR(C31/C$28,0)</f>
        <v>0.32</v>
      </c>
      <c r="E31" s="179">
        <f>$C$30*E14</f>
        <v>500160</v>
      </c>
      <c r="F31" s="80">
        <f>IFERROR(E31/E$28,0)</f>
        <v>0.32</v>
      </c>
      <c r="G31" s="179">
        <f>$C$30*G14</f>
        <v>510163.20000000001</v>
      </c>
      <c r="H31" s="80">
        <f>IFERROR(G31/G$28,0)</f>
        <v>0.32</v>
      </c>
      <c r="I31" s="179">
        <f>$C$30*I14</f>
        <v>520366.46399999998</v>
      </c>
      <c r="J31" s="80">
        <f>IFERROR(I31/I$28,0)</f>
        <v>0.32</v>
      </c>
      <c r="K31" s="179">
        <f>$C$30*K14</f>
        <v>530773.79327999998</v>
      </c>
      <c r="L31" s="80">
        <f>IFERROR(K31/K$28,0)</f>
        <v>0.32</v>
      </c>
      <c r="M31" s="179">
        <f>$C$30*M14</f>
        <v>541389.26914560003</v>
      </c>
      <c r="N31" s="80">
        <f>IFERROR(M31/M$28,0)</f>
        <v>0.32</v>
      </c>
      <c r="O31" s="179">
        <f>$C$30*O14</f>
        <v>552217.05452851206</v>
      </c>
      <c r="P31" s="80">
        <f>IFERROR(O31/O$28,0)</f>
        <v>0.32</v>
      </c>
      <c r="Q31" s="179">
        <f>$C$30*Q14</f>
        <v>563261.39561908226</v>
      </c>
      <c r="R31" s="80">
        <f>IFERROR(Q31/Q$28,0)</f>
        <v>0.31999999999999995</v>
      </c>
      <c r="S31" s="179">
        <f>$C$30*S14</f>
        <v>574526.62353146402</v>
      </c>
      <c r="T31" s="80">
        <f>IFERROR(S31/S$28,0)</f>
        <v>0.32</v>
      </c>
      <c r="U31" s="179">
        <f>$C$30*U14</f>
        <v>586017.15600209322</v>
      </c>
      <c r="V31" s="80">
        <f>IFERROR(U31/U$28,0)</f>
        <v>0.32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456883.54559999995</v>
      </c>
      <c r="D33" s="83">
        <f>IFERROR(C33/C$28,0)</f>
        <v>0.32</v>
      </c>
      <c r="E33" s="82">
        <f>SUM(E31:E32)</f>
        <v>500160</v>
      </c>
      <c r="F33" s="83">
        <f>IFERROR(E33/E$28,0)</f>
        <v>0.32</v>
      </c>
      <c r="G33" s="82">
        <f>SUM(G31:G32)</f>
        <v>510163.20000000001</v>
      </c>
      <c r="H33" s="83">
        <f>IFERROR(G33/G$28,0)</f>
        <v>0.32</v>
      </c>
      <c r="I33" s="82">
        <f>SUM(I31:I32)</f>
        <v>520366.46399999998</v>
      </c>
      <c r="J33" s="83">
        <f>IFERROR(I33/I$28,0)</f>
        <v>0.32</v>
      </c>
      <c r="K33" s="82">
        <f>SUM(K31:K32)</f>
        <v>530773.79327999998</v>
      </c>
      <c r="L33" s="83">
        <f>IFERROR(K33/K$28,0)</f>
        <v>0.32</v>
      </c>
      <c r="M33" s="82">
        <f>SUM(M31:M32)</f>
        <v>541389.26914560003</v>
      </c>
      <c r="N33" s="83">
        <f>IFERROR(M33/M$28,0)</f>
        <v>0.32</v>
      </c>
      <c r="O33" s="82">
        <f>SUM(O31:O32)</f>
        <v>552217.05452851206</v>
      </c>
      <c r="P33" s="83">
        <f>IFERROR(O33/O$28,0)</f>
        <v>0.32</v>
      </c>
      <c r="Q33" s="82">
        <f>SUM(Q31:Q32)</f>
        <v>563261.39561908226</v>
      </c>
      <c r="R33" s="83">
        <f>IFERROR(Q33/Q$28,0)</f>
        <v>0.31999999999999995</v>
      </c>
      <c r="S33" s="82">
        <f>SUM(S31:S32)</f>
        <v>574526.62353146402</v>
      </c>
      <c r="T33" s="83">
        <f>IFERROR(S33/S$28,0)</f>
        <v>0.32</v>
      </c>
      <c r="U33" s="82">
        <f>SUM(U31:U32)</f>
        <v>586017.15600209322</v>
      </c>
      <c r="V33" s="83">
        <f>IFERROR(U33/U$28,0)</f>
        <v>0.32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>
        <v>55789</v>
      </c>
      <c r="D36" s="80">
        <f t="shared" ref="D36:D46" si="11">IFERROR(C36/C$28,0)</f>
        <v>3.9074464755685878E-2</v>
      </c>
      <c r="E36" s="179">
        <f>+C36*1.025</f>
        <v>57183.724999999999</v>
      </c>
      <c r="F36" s="80">
        <f t="shared" ref="F36:F46" si="12">IFERROR(E36/E$28,0)</f>
        <v>3.6585876519513755E-2</v>
      </c>
      <c r="G36" s="179">
        <f>+E36*1.025</f>
        <v>58613.318124999991</v>
      </c>
      <c r="H36" s="80">
        <f t="shared" ref="H36:H46" si="13">IFERROR(G36/G$28,0)</f>
        <v>3.6765219051472148E-2</v>
      </c>
      <c r="I36" s="179">
        <f>+G36*1.025</f>
        <v>60078.651078124982</v>
      </c>
      <c r="J36" s="80">
        <f t="shared" ref="J36:J46" si="14">IFERROR(I36/I$28,0)</f>
        <v>3.6945440713489167E-2</v>
      </c>
      <c r="K36" s="179">
        <f>+I36*1.025</f>
        <v>61580.617355078102</v>
      </c>
      <c r="L36" s="80">
        <f t="shared" ref="L36:L46" si="15">IFERROR(K36/K$28,0)</f>
        <v>3.7126545815025877E-2</v>
      </c>
      <c r="M36" s="179">
        <f>+K36*1.025</f>
        <v>63120.132788955052</v>
      </c>
      <c r="N36" s="80">
        <f t="shared" ref="N36:N46" si="16">IFERROR(M36/M$28,0)</f>
        <v>3.7308538686668155E-2</v>
      </c>
      <c r="O36" s="179">
        <f>+M36*1.025</f>
        <v>64698.136108678926</v>
      </c>
      <c r="P36" s="80">
        <f t="shared" ref="P36:P46" si="17">IFERROR(O36/O$28,0)</f>
        <v>3.749142368023025E-2</v>
      </c>
      <c r="Q36" s="179">
        <f>+O36*1.025</f>
        <v>66315.589511395898</v>
      </c>
      <c r="R36" s="80">
        <f t="shared" ref="R36:R46" si="18">IFERROR(Q36/Q$28,0)</f>
        <v>3.7675205168858826E-2</v>
      </c>
      <c r="S36" s="179">
        <f>+Q36*1.025</f>
        <v>67973.479249180789</v>
      </c>
      <c r="T36" s="80">
        <f t="shared" ref="T36:T46" si="19">IFERROR(S36/S$28,0)</f>
        <v>3.7859887547137545E-2</v>
      </c>
      <c r="U36" s="179">
        <f>+S36*1.025</f>
        <v>69672.816230410303</v>
      </c>
      <c r="V36" s="80">
        <f t="shared" ref="V36:V46" si="20">IFERROR(U36/U$28,0)</f>
        <v>3.8045475231192144E-2</v>
      </c>
    </row>
    <row r="37" spans="1:22" ht="12.75" customHeight="1">
      <c r="A37" s="2" t="s">
        <v>372</v>
      </c>
      <c r="B37" s="35"/>
      <c r="C37" s="179">
        <v>188361</v>
      </c>
      <c r="D37" s="80">
        <f t="shared" si="11"/>
        <v>0.13192753510272182</v>
      </c>
      <c r="E37" s="179">
        <f>+C37*1.112</f>
        <v>209457.43200000003</v>
      </c>
      <c r="F37" s="80">
        <f t="shared" si="12"/>
        <v>0.13400987332053746</v>
      </c>
      <c r="G37" s="179">
        <f>+E37*1.035</f>
        <v>216788.44212000002</v>
      </c>
      <c r="H37" s="80">
        <f t="shared" si="13"/>
        <v>0.13598060675172183</v>
      </c>
      <c r="I37" s="179">
        <f>+G37*1.032</f>
        <v>223725.67226784004</v>
      </c>
      <c r="J37" s="80">
        <f t="shared" si="14"/>
        <v>0.13758037859585973</v>
      </c>
      <c r="K37" s="179">
        <f>+I37*1.025</f>
        <v>229318.81407453603</v>
      </c>
      <c r="L37" s="80">
        <f t="shared" si="15"/>
        <v>0.13825479221642767</v>
      </c>
      <c r="M37" s="179">
        <f>+K37*1.025</f>
        <v>235051.78442639942</v>
      </c>
      <c r="N37" s="80">
        <f t="shared" si="16"/>
        <v>0.13893251178611601</v>
      </c>
      <c r="O37" s="179">
        <f>+M37*1.025</f>
        <v>240928.07903705939</v>
      </c>
      <c r="P37" s="80">
        <f t="shared" si="17"/>
        <v>0.13961355351055774</v>
      </c>
      <c r="Q37" s="179">
        <f>+O37*1.025</f>
        <v>246951.28101298586</v>
      </c>
      <c r="R37" s="80">
        <f t="shared" si="18"/>
        <v>0.14029793367482518</v>
      </c>
      <c r="S37" s="179">
        <f>+Q37*1.025</f>
        <v>253125.06303831047</v>
      </c>
      <c r="T37" s="80">
        <f t="shared" si="19"/>
        <v>0.1409856686438194</v>
      </c>
      <c r="U37" s="179">
        <f>+S37*1.025</f>
        <v>259453.18961426822</v>
      </c>
      <c r="V37" s="80">
        <f t="shared" si="20"/>
        <v>0.14167677486266167</v>
      </c>
    </row>
    <row r="38" spans="1:22" ht="12.75" customHeight="1">
      <c r="A38" s="2" t="s">
        <v>373</v>
      </c>
      <c r="B38" s="35"/>
      <c r="C38" s="179">
        <v>20275</v>
      </c>
      <c r="D38" s="80">
        <f t="shared" si="11"/>
        <v>1.4200555179722367E-2</v>
      </c>
      <c r="E38" s="179">
        <f t="shared" ref="E38:E39" si="21">+C38*1.112</f>
        <v>22545.800000000003</v>
      </c>
      <c r="F38" s="80">
        <f t="shared" si="12"/>
        <v>1.4424696097248882E-2</v>
      </c>
      <c r="G38" s="179">
        <f>+E38*1.035</f>
        <v>23334.903000000002</v>
      </c>
      <c r="H38" s="80">
        <f t="shared" si="13"/>
        <v>1.4636823981031954E-2</v>
      </c>
      <c r="I38" s="179">
        <f>+G38*1.032</f>
        <v>24081.619896000004</v>
      </c>
      <c r="J38" s="80">
        <f t="shared" si="14"/>
        <v>1.4809021910220566E-2</v>
      </c>
      <c r="K38" s="179">
        <f>+I38*1.025</f>
        <v>24683.660393400001</v>
      </c>
      <c r="L38" s="80">
        <f t="shared" si="15"/>
        <v>1.488161515487851E-2</v>
      </c>
      <c r="M38" s="179">
        <f>+K38*1.025</f>
        <v>25300.751903234999</v>
      </c>
      <c r="N38" s="80">
        <f t="shared" si="16"/>
        <v>1.4954564248774969E-2</v>
      </c>
      <c r="O38" s="179">
        <f>+M38*1.025</f>
        <v>25933.270700815872</v>
      </c>
      <c r="P38" s="80">
        <f t="shared" si="17"/>
        <v>1.5027870936268962E-2</v>
      </c>
      <c r="Q38" s="179">
        <f>+O38*1.025</f>
        <v>26581.602468336267</v>
      </c>
      <c r="R38" s="80">
        <f t="shared" si="18"/>
        <v>1.510153697027028E-2</v>
      </c>
      <c r="S38" s="179">
        <f>+Q38*1.025</f>
        <v>27246.142530044672</v>
      </c>
      <c r="T38" s="80">
        <f t="shared" si="19"/>
        <v>1.5175564112281407E-2</v>
      </c>
      <c r="U38" s="179">
        <f>+S38*1.025</f>
        <v>27927.296093295787</v>
      </c>
      <c r="V38" s="80">
        <f t="shared" si="20"/>
        <v>1.5249954132439649E-2</v>
      </c>
    </row>
    <row r="39" spans="1:22" ht="12.75" customHeight="1">
      <c r="A39" s="2" t="s">
        <v>374</v>
      </c>
      <c r="B39" s="35"/>
      <c r="C39" s="179">
        <v>36509</v>
      </c>
      <c r="D39" s="80">
        <f t="shared" si="11"/>
        <v>2.5570804885646555E-2</v>
      </c>
      <c r="E39" s="179">
        <f t="shared" si="21"/>
        <v>40598.008000000002</v>
      </c>
      <c r="F39" s="80">
        <f t="shared" si="12"/>
        <v>2.5974413307741525E-2</v>
      </c>
      <c r="G39" s="179">
        <f>+E39*1.035</f>
        <v>42018.938279999995</v>
      </c>
      <c r="H39" s="80">
        <f t="shared" si="13"/>
        <v>2.6356389974031835E-2</v>
      </c>
      <c r="I39" s="179">
        <f>+G39*1.032</f>
        <v>43363.544304959993</v>
      </c>
      <c r="J39" s="80">
        <f t="shared" si="14"/>
        <v>2.6666465150196914E-2</v>
      </c>
      <c r="K39" s="179">
        <f>+I39*1.025</f>
        <v>44447.632912583991</v>
      </c>
      <c r="L39" s="80">
        <f t="shared" si="15"/>
        <v>2.6797183116619452E-2</v>
      </c>
      <c r="M39" s="179">
        <f>+K39*1.025</f>
        <v>45558.82373539859</v>
      </c>
      <c r="N39" s="80">
        <f t="shared" si="16"/>
        <v>2.6928541857387186E-2</v>
      </c>
      <c r="O39" s="179">
        <f>+M39*1.025</f>
        <v>46697.794328783551</v>
      </c>
      <c r="P39" s="80">
        <f t="shared" si="17"/>
        <v>2.7060544513550847E-2</v>
      </c>
      <c r="Q39" s="179">
        <f>+O39*1.025</f>
        <v>47865.239187003135</v>
      </c>
      <c r="R39" s="80">
        <f t="shared" si="18"/>
        <v>2.7193194241558447E-2</v>
      </c>
      <c r="S39" s="179">
        <f>+Q39*1.025</f>
        <v>49061.870166678207</v>
      </c>
      <c r="T39" s="80">
        <f t="shared" si="19"/>
        <v>2.7326494213330787E-2</v>
      </c>
      <c r="U39" s="179">
        <f>+S39*1.025</f>
        <v>50288.416920845157</v>
      </c>
      <c r="V39" s="80">
        <f t="shared" si="20"/>
        <v>2.746044761633731E-2</v>
      </c>
    </row>
    <row r="40" spans="1:22" ht="12.75" customHeight="1">
      <c r="A40" s="2" t="s">
        <v>375</v>
      </c>
      <c r="B40" s="35"/>
      <c r="C40" s="179">
        <f>C36*0.124</f>
        <v>6917.8360000000002</v>
      </c>
      <c r="D40" s="80">
        <f t="shared" si="11"/>
        <v>4.8452336297050494E-3</v>
      </c>
      <c r="E40" s="179">
        <f>E36*0.124</f>
        <v>7090.7819</v>
      </c>
      <c r="F40" s="80">
        <f t="shared" si="12"/>
        <v>4.5366486884197057E-3</v>
      </c>
      <c r="G40" s="179">
        <f>G36*0.124</f>
        <v>7268.0514474999991</v>
      </c>
      <c r="H40" s="80">
        <f t="shared" si="13"/>
        <v>4.5588871623825468E-3</v>
      </c>
      <c r="I40" s="179">
        <f>I36*0.124</f>
        <v>7449.7527336874973</v>
      </c>
      <c r="J40" s="80">
        <f t="shared" si="14"/>
        <v>4.5812346484726566E-3</v>
      </c>
      <c r="K40" s="179">
        <f>K36*0.124</f>
        <v>7635.9965520296846</v>
      </c>
      <c r="L40" s="80">
        <f t="shared" si="15"/>
        <v>4.6036916810632093E-3</v>
      </c>
      <c r="M40" s="179">
        <f>M36*0.124</f>
        <v>7826.8964658304267</v>
      </c>
      <c r="N40" s="80">
        <f t="shared" si="16"/>
        <v>4.6262587971468514E-3</v>
      </c>
      <c r="O40" s="179">
        <f>O36*0.124</f>
        <v>8022.5688774761866</v>
      </c>
      <c r="P40" s="80">
        <f t="shared" si="17"/>
        <v>4.6489365363485509E-3</v>
      </c>
      <c r="Q40" s="179">
        <f>Q36*0.124</f>
        <v>8223.1330994130913</v>
      </c>
      <c r="R40" s="80">
        <f t="shared" si="18"/>
        <v>4.6717254409384948E-3</v>
      </c>
      <c r="S40" s="179">
        <f>S36*0.124</f>
        <v>8428.7114268984187</v>
      </c>
      <c r="T40" s="80">
        <f t="shared" si="19"/>
        <v>4.6946260558450564E-3</v>
      </c>
      <c r="U40" s="179">
        <f>U36*0.124</f>
        <v>8639.429212570878</v>
      </c>
      <c r="V40" s="80">
        <f t="shared" si="20"/>
        <v>4.7176389286678255E-3</v>
      </c>
    </row>
    <row r="41" spans="1:22" ht="12.75" customHeight="1">
      <c r="A41" s="2" t="s">
        <v>376</v>
      </c>
      <c r="B41" s="35"/>
      <c r="C41" s="179">
        <f>C37*0.124</f>
        <v>23356.763999999999</v>
      </c>
      <c r="D41" s="80">
        <f t="shared" si="11"/>
        <v>1.6359014352737504E-2</v>
      </c>
      <c r="E41" s="179">
        <f>E37*0.124</f>
        <v>25972.721568000004</v>
      </c>
      <c r="F41" s="80">
        <f t="shared" si="12"/>
        <v>1.6617224291746644E-2</v>
      </c>
      <c r="G41" s="179">
        <f>G37*0.124</f>
        <v>26881.766822880003</v>
      </c>
      <c r="H41" s="80">
        <f t="shared" si="13"/>
        <v>1.6861595237213506E-2</v>
      </c>
      <c r="I41" s="179">
        <f>I37*0.124</f>
        <v>27741.983361212166</v>
      </c>
      <c r="J41" s="80">
        <f t="shared" si="14"/>
        <v>1.7059966945886608E-2</v>
      </c>
      <c r="K41" s="179">
        <f>K37*0.124</f>
        <v>28435.532945242467</v>
      </c>
      <c r="L41" s="80">
        <f t="shared" si="15"/>
        <v>1.714359423483703E-2</v>
      </c>
      <c r="M41" s="179">
        <f>M37*0.124</f>
        <v>29146.421268873528</v>
      </c>
      <c r="N41" s="80">
        <f t="shared" si="16"/>
        <v>1.7227631461478387E-2</v>
      </c>
      <c r="O41" s="179">
        <f>O37*0.124</f>
        <v>29875.081800595362</v>
      </c>
      <c r="P41" s="80">
        <f t="shared" si="17"/>
        <v>1.731208063530916E-2</v>
      </c>
      <c r="Q41" s="179">
        <f>Q37*0.124</f>
        <v>30621.958845610246</v>
      </c>
      <c r="R41" s="80">
        <f t="shared" si="18"/>
        <v>1.7396943775678322E-2</v>
      </c>
      <c r="S41" s="179">
        <f>S37*0.124</f>
        <v>31387.507816750498</v>
      </c>
      <c r="T41" s="80">
        <f t="shared" si="19"/>
        <v>1.7482222911833604E-2</v>
      </c>
      <c r="U41" s="179">
        <f>U37*0.124</f>
        <v>32172.195512169259</v>
      </c>
      <c r="V41" s="80">
        <f t="shared" si="20"/>
        <v>1.7567920082970045E-2</v>
      </c>
    </row>
    <row r="42" spans="1:22" ht="12.75" customHeight="1">
      <c r="A42" s="2" t="s">
        <v>377</v>
      </c>
      <c r="B42" s="35"/>
      <c r="C42" s="179"/>
      <c r="D42" s="80">
        <f t="shared" si="11"/>
        <v>0</v>
      </c>
      <c r="E42" s="179"/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79"/>
      <c r="D43" s="80">
        <f t="shared" si="11"/>
        <v>0</v>
      </c>
      <c r="E43" s="179"/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79"/>
      <c r="D44" s="80">
        <f t="shared" si="11"/>
        <v>0</v>
      </c>
      <c r="E44" s="179"/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82">
        <f>SUM(C36:C39)*0.094</f>
        <v>28287.795999999998</v>
      </c>
      <c r="D45" s="80">
        <f t="shared" si="11"/>
        <v>1.9812695832835001E-2</v>
      </c>
      <c r="E45" s="182">
        <f>SUM(E36:E39)*0.094</f>
        <v>30999.786709999997</v>
      </c>
      <c r="F45" s="80">
        <f t="shared" si="12"/>
        <v>1.9833516769033908E-2</v>
      </c>
      <c r="G45" s="182">
        <f>SUM(G36:G39)*0.094</f>
        <v>32031.026543349999</v>
      </c>
      <c r="H45" s="80">
        <f t="shared" si="13"/>
        <v>2.0091469737276227E-2</v>
      </c>
      <c r="I45" s="182">
        <f>SUM(I36:I39)*0.094</f>
        <v>33017.451829410951</v>
      </c>
      <c r="J45" s="80">
        <f t="shared" si="14"/>
        <v>2.030412279875804E-2</v>
      </c>
      <c r="K45" s="182">
        <f>SUM(K36:K39)*0.094</f>
        <v>33842.888125146223</v>
      </c>
      <c r="L45" s="80">
        <f t="shared" si="15"/>
        <v>2.0403652812477441E-2</v>
      </c>
      <c r="M45" s="182">
        <f>SUM(M36:M39)*0.094</f>
        <v>34688.960328274872</v>
      </c>
      <c r="N45" s="80">
        <f t="shared" si="16"/>
        <v>2.0503670718420953E-2</v>
      </c>
      <c r="O45" s="182">
        <f>SUM(O36:O39)*0.094</f>
        <v>35556.184336481754</v>
      </c>
      <c r="P45" s="80">
        <f t="shared" si="17"/>
        <v>2.0604178908217138E-2</v>
      </c>
      <c r="Q45" s="182">
        <f>SUM(Q36:Q39)*0.094</f>
        <v>36445.088944893789</v>
      </c>
      <c r="R45" s="80">
        <f t="shared" si="18"/>
        <v>2.0705179785218197E-2</v>
      </c>
      <c r="S45" s="182">
        <f>SUM(S36:S39)*0.094</f>
        <v>37356.216168516126</v>
      </c>
      <c r="T45" s="80">
        <f t="shared" si="19"/>
        <v>2.0806675764557497E-2</v>
      </c>
      <c r="U45" s="182">
        <f>SUM(U36:U39)*0.094</f>
        <v>38290.121572729026</v>
      </c>
      <c r="V45" s="80">
        <f t="shared" si="20"/>
        <v>2.0908669273207288E-2</v>
      </c>
    </row>
    <row r="46" spans="1:22" ht="12.75" customHeight="1">
      <c r="A46" s="1" t="s">
        <v>381</v>
      </c>
      <c r="B46" s="53"/>
      <c r="C46" s="82">
        <f>SUM(C36:C45)</f>
        <v>359496.39600000001</v>
      </c>
      <c r="D46" s="83">
        <f t="shared" si="11"/>
        <v>0.2517903037390542</v>
      </c>
      <c r="E46" s="82">
        <f>SUM(E36:E45)</f>
        <v>393848.25517799996</v>
      </c>
      <c r="F46" s="83">
        <f t="shared" si="12"/>
        <v>0.25198224899424182</v>
      </c>
      <c r="G46" s="82">
        <f>SUM(G36:G45)</f>
        <v>406936.44633873005</v>
      </c>
      <c r="H46" s="83">
        <f t="shared" si="13"/>
        <v>0.25525099189513006</v>
      </c>
      <c r="I46" s="82">
        <f>SUM(I36:I45)</f>
        <v>419458.67547123571</v>
      </c>
      <c r="J46" s="83">
        <f t="shared" si="14"/>
        <v>0.25794663076288371</v>
      </c>
      <c r="K46" s="82">
        <f>SUM(K36:K45)</f>
        <v>429945.14235801651</v>
      </c>
      <c r="L46" s="83">
        <f t="shared" si="15"/>
        <v>0.25921107503132923</v>
      </c>
      <c r="M46" s="82">
        <f>SUM(M36:M45)</f>
        <v>440693.77091696684</v>
      </c>
      <c r="N46" s="83">
        <f t="shared" si="16"/>
        <v>0.26048171755599248</v>
      </c>
      <c r="O46" s="82">
        <f>SUM(O36:O45)</f>
        <v>451711.11518989108</v>
      </c>
      <c r="P46" s="83">
        <f t="shared" si="17"/>
        <v>0.26175858872048269</v>
      </c>
      <c r="Q46" s="82">
        <f>SUM(Q36:Q45)</f>
        <v>463003.89306963829</v>
      </c>
      <c r="R46" s="83">
        <f t="shared" si="18"/>
        <v>0.26304171905734774</v>
      </c>
      <c r="S46" s="82">
        <f>SUM(S36:S45)</f>
        <v>474578.9903963792</v>
      </c>
      <c r="T46" s="83">
        <f t="shared" si="19"/>
        <v>0.2643311392488053</v>
      </c>
      <c r="U46" s="82">
        <f>SUM(U36:U45)</f>
        <v>486443.46515628864</v>
      </c>
      <c r="V46" s="83">
        <f t="shared" si="20"/>
        <v>0.26562688012747593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2">IFERROR(C52/C$28,0)</f>
        <v>0</v>
      </c>
      <c r="E52" s="179">
        <v>0</v>
      </c>
      <c r="F52" s="80">
        <f t="shared" ref="F52:F104" si="23">IFERROR(E52/E$28,0)</f>
        <v>0</v>
      </c>
      <c r="G52" s="179">
        <v>0</v>
      </c>
      <c r="H52" s="80">
        <f t="shared" ref="H52:H104" si="24">IFERROR(G52/G$28,0)</f>
        <v>0</v>
      </c>
      <c r="I52" s="179">
        <v>0</v>
      </c>
      <c r="J52" s="80">
        <f t="shared" ref="J52:J104" si="25">IFERROR(I52/I$28,0)</f>
        <v>0</v>
      </c>
      <c r="K52" s="179">
        <v>0</v>
      </c>
      <c r="L52" s="80">
        <f t="shared" ref="L52:L104" si="26">IFERROR(K52/K$28,0)</f>
        <v>0</v>
      </c>
      <c r="M52" s="179">
        <v>0</v>
      </c>
      <c r="N52" s="80">
        <f t="shared" ref="N52:N104" si="27">IFERROR(M52/M$28,0)</f>
        <v>0</v>
      </c>
      <c r="O52" s="179">
        <v>0</v>
      </c>
      <c r="P52" s="80">
        <f t="shared" ref="P52:P104" si="28">IFERROR(O52/O$28,0)</f>
        <v>0</v>
      </c>
      <c r="Q52" s="179">
        <v>0</v>
      </c>
      <c r="R52" s="80">
        <f t="shared" ref="R52:R104" si="29">IFERROR(Q52/Q$28,0)</f>
        <v>0</v>
      </c>
      <c r="S52" s="179">
        <v>0</v>
      </c>
      <c r="T52" s="80">
        <f t="shared" ref="T52:T104" si="30">IFERROR(S52/S$28,0)</f>
        <v>0</v>
      </c>
      <c r="U52" s="179">
        <v>0</v>
      </c>
      <c r="V52" s="80">
        <f t="shared" ref="V52:V105" si="31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2"/>
        <v>0</v>
      </c>
      <c r="E53" s="179">
        <v>0</v>
      </c>
      <c r="F53" s="80">
        <f t="shared" si="23"/>
        <v>0</v>
      </c>
      <c r="G53" s="179">
        <v>0</v>
      </c>
      <c r="H53" s="80">
        <f t="shared" si="24"/>
        <v>0</v>
      </c>
      <c r="I53" s="179">
        <v>0</v>
      </c>
      <c r="J53" s="80">
        <f t="shared" si="25"/>
        <v>0</v>
      </c>
      <c r="K53" s="179">
        <v>0</v>
      </c>
      <c r="L53" s="80">
        <f t="shared" si="26"/>
        <v>0</v>
      </c>
      <c r="M53" s="179">
        <v>0</v>
      </c>
      <c r="N53" s="80">
        <f t="shared" si="27"/>
        <v>0</v>
      </c>
      <c r="O53" s="179">
        <v>0</v>
      </c>
      <c r="P53" s="80">
        <f t="shared" si="28"/>
        <v>0</v>
      </c>
      <c r="Q53" s="179">
        <v>0</v>
      </c>
      <c r="R53" s="80">
        <f t="shared" si="29"/>
        <v>0</v>
      </c>
      <c r="S53" s="179">
        <v>0</v>
      </c>
      <c r="T53" s="80">
        <f t="shared" si="30"/>
        <v>0</v>
      </c>
      <c r="U53" s="179">
        <v>0</v>
      </c>
      <c r="V53" s="80">
        <f t="shared" si="31"/>
        <v>0</v>
      </c>
      <c r="X53" s="200"/>
    </row>
    <row r="54" spans="1:24" ht="12.75" customHeight="1">
      <c r="A54" s="2" t="s">
        <v>385</v>
      </c>
      <c r="B54" s="35"/>
      <c r="C54" s="179">
        <v>999.43275599999993</v>
      </c>
      <c r="D54" s="80">
        <f t="shared" si="22"/>
        <v>6.9999999999999999E-4</v>
      </c>
      <c r="E54" s="179">
        <v>1094.0999999999999</v>
      </c>
      <c r="F54" s="80">
        <f t="shared" si="23"/>
        <v>6.9999999999999999E-4</v>
      </c>
      <c r="G54" s="179">
        <v>1115.9820000000002</v>
      </c>
      <c r="H54" s="80">
        <f t="shared" si="24"/>
        <v>7.000000000000001E-4</v>
      </c>
      <c r="I54" s="179">
        <v>1138.3016399999999</v>
      </c>
      <c r="J54" s="80">
        <f t="shared" si="25"/>
        <v>6.9999999999999999E-4</v>
      </c>
      <c r="K54" s="179">
        <v>1161.0676727999999</v>
      </c>
      <c r="L54" s="80">
        <f t="shared" si="26"/>
        <v>6.9999999999999999E-4</v>
      </c>
      <c r="M54" s="179">
        <v>1184.2890262560002</v>
      </c>
      <c r="N54" s="80">
        <f t="shared" si="27"/>
        <v>6.9999999999999999E-4</v>
      </c>
      <c r="O54" s="179">
        <v>1207.9748067811202</v>
      </c>
      <c r="P54" s="80">
        <f t="shared" si="28"/>
        <v>6.9999999999999999E-4</v>
      </c>
      <c r="Q54" s="179">
        <v>1232.1343029167426</v>
      </c>
      <c r="R54" s="80">
        <f t="shared" si="29"/>
        <v>7.000000000000001E-4</v>
      </c>
      <c r="S54" s="179">
        <v>1256.7769889750773</v>
      </c>
      <c r="T54" s="80">
        <f t="shared" si="30"/>
        <v>6.9999999999999988E-4</v>
      </c>
      <c r="U54" s="179">
        <v>1281.9125287545789</v>
      </c>
      <c r="V54" s="80">
        <f t="shared" si="31"/>
        <v>7.000000000000001E-4</v>
      </c>
      <c r="X54" s="200"/>
    </row>
    <row r="55" spans="1:24" ht="12.75" customHeight="1">
      <c r="A55" s="2" t="s">
        <v>386</v>
      </c>
      <c r="B55" s="35"/>
      <c r="C55" s="179">
        <v>99943.275599999994</v>
      </c>
      <c r="D55" s="80">
        <f t="shared" si="22"/>
        <v>7.0000000000000007E-2</v>
      </c>
      <c r="E55" s="179">
        <v>109410.00000000001</v>
      </c>
      <c r="F55" s="80">
        <f t="shared" si="23"/>
        <v>7.0000000000000007E-2</v>
      </c>
      <c r="G55" s="179">
        <v>111598.20000000001</v>
      </c>
      <c r="H55" s="80">
        <f t="shared" si="24"/>
        <v>7.0000000000000007E-2</v>
      </c>
      <c r="I55" s="179">
        <v>113830.164</v>
      </c>
      <c r="J55" s="80">
        <f t="shared" si="25"/>
        <v>7.0000000000000007E-2</v>
      </c>
      <c r="K55" s="179">
        <v>116106.76728</v>
      </c>
      <c r="L55" s="80">
        <f t="shared" si="26"/>
        <v>7.0000000000000007E-2</v>
      </c>
      <c r="M55" s="179">
        <v>118428.90262560002</v>
      </c>
      <c r="N55" s="80">
        <f t="shared" si="27"/>
        <v>7.0000000000000007E-2</v>
      </c>
      <c r="O55" s="179">
        <v>120797.48067811203</v>
      </c>
      <c r="P55" s="80">
        <f t="shared" si="28"/>
        <v>7.0000000000000007E-2</v>
      </c>
      <c r="Q55" s="179">
        <v>123213.43029167426</v>
      </c>
      <c r="R55" s="80">
        <f t="shared" si="29"/>
        <v>7.0000000000000007E-2</v>
      </c>
      <c r="S55" s="179">
        <v>125677.69889750775</v>
      </c>
      <c r="T55" s="80">
        <f t="shared" si="30"/>
        <v>7.0000000000000007E-2</v>
      </c>
      <c r="U55" s="179">
        <v>128191.2528754579</v>
      </c>
      <c r="V55" s="80">
        <f t="shared" si="31"/>
        <v>7.0000000000000007E-2</v>
      </c>
      <c r="X55" s="200"/>
    </row>
    <row r="56" spans="1:24" ht="12.75" customHeight="1">
      <c r="A56" s="2" t="s">
        <v>387</v>
      </c>
      <c r="B56" s="35"/>
      <c r="C56" s="179">
        <v>728.15815080000004</v>
      </c>
      <c r="D56" s="80">
        <f t="shared" si="22"/>
        <v>5.1000000000000004E-4</v>
      </c>
      <c r="E56" s="179">
        <v>797.13000000000011</v>
      </c>
      <c r="F56" s="80">
        <f t="shared" si="23"/>
        <v>5.1000000000000004E-4</v>
      </c>
      <c r="G56" s="179">
        <v>813.07260000000008</v>
      </c>
      <c r="H56" s="80">
        <f t="shared" si="24"/>
        <v>5.1000000000000004E-4</v>
      </c>
      <c r="I56" s="179">
        <v>829.33405200000004</v>
      </c>
      <c r="J56" s="80">
        <f t="shared" si="25"/>
        <v>5.1000000000000004E-4</v>
      </c>
      <c r="K56" s="179">
        <v>845.92073303999996</v>
      </c>
      <c r="L56" s="80">
        <f t="shared" si="26"/>
        <v>5.1000000000000004E-4</v>
      </c>
      <c r="M56" s="179">
        <v>862.83914770080014</v>
      </c>
      <c r="N56" s="80">
        <f t="shared" si="27"/>
        <v>5.1000000000000004E-4</v>
      </c>
      <c r="O56" s="179">
        <v>880.09593065481624</v>
      </c>
      <c r="P56" s="80">
        <f t="shared" si="28"/>
        <v>5.1000000000000004E-4</v>
      </c>
      <c r="Q56" s="179">
        <v>897.6978492679126</v>
      </c>
      <c r="R56" s="80">
        <f t="shared" si="29"/>
        <v>5.1000000000000015E-4</v>
      </c>
      <c r="S56" s="179">
        <v>915.65180625327071</v>
      </c>
      <c r="T56" s="80">
        <f t="shared" si="30"/>
        <v>5.1000000000000004E-4</v>
      </c>
      <c r="U56" s="179">
        <v>933.96484237833602</v>
      </c>
      <c r="V56" s="80">
        <f t="shared" si="31"/>
        <v>5.1000000000000004E-4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2"/>
        <v>0</v>
      </c>
      <c r="E57" s="179">
        <v>0</v>
      </c>
      <c r="F57" s="80">
        <f t="shared" si="23"/>
        <v>0</v>
      </c>
      <c r="G57" s="179">
        <v>0</v>
      </c>
      <c r="H57" s="80">
        <f t="shared" si="24"/>
        <v>0</v>
      </c>
      <c r="I57" s="179">
        <v>0</v>
      </c>
      <c r="J57" s="80">
        <f t="shared" si="25"/>
        <v>0</v>
      </c>
      <c r="K57" s="179">
        <v>0</v>
      </c>
      <c r="L57" s="80">
        <f t="shared" si="26"/>
        <v>0</v>
      </c>
      <c r="M57" s="179">
        <v>0</v>
      </c>
      <c r="N57" s="80">
        <f t="shared" si="27"/>
        <v>0</v>
      </c>
      <c r="O57" s="179">
        <v>0</v>
      </c>
      <c r="P57" s="80">
        <f t="shared" si="28"/>
        <v>0</v>
      </c>
      <c r="Q57" s="179">
        <v>0</v>
      </c>
      <c r="R57" s="80">
        <f t="shared" si="29"/>
        <v>0</v>
      </c>
      <c r="S57" s="179">
        <v>0</v>
      </c>
      <c r="T57" s="80">
        <f t="shared" si="30"/>
        <v>0</v>
      </c>
      <c r="U57" s="179">
        <v>0</v>
      </c>
      <c r="V57" s="80">
        <f t="shared" si="31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2"/>
        <v>0</v>
      </c>
      <c r="E58" s="179">
        <v>0</v>
      </c>
      <c r="F58" s="80">
        <f t="shared" si="23"/>
        <v>0</v>
      </c>
      <c r="G58" s="179">
        <v>0</v>
      </c>
      <c r="H58" s="80">
        <f t="shared" si="24"/>
        <v>0</v>
      </c>
      <c r="I58" s="179">
        <v>0</v>
      </c>
      <c r="J58" s="80">
        <f t="shared" si="25"/>
        <v>0</v>
      </c>
      <c r="K58" s="179">
        <v>0</v>
      </c>
      <c r="L58" s="80">
        <f t="shared" si="26"/>
        <v>0</v>
      </c>
      <c r="M58" s="179">
        <v>0</v>
      </c>
      <c r="N58" s="80">
        <f t="shared" si="27"/>
        <v>0</v>
      </c>
      <c r="O58" s="179">
        <v>0</v>
      </c>
      <c r="P58" s="80">
        <f t="shared" si="28"/>
        <v>0</v>
      </c>
      <c r="Q58" s="179">
        <v>0</v>
      </c>
      <c r="R58" s="80">
        <f t="shared" si="29"/>
        <v>0</v>
      </c>
      <c r="S58" s="179">
        <v>0</v>
      </c>
      <c r="T58" s="80">
        <f t="shared" si="30"/>
        <v>0</v>
      </c>
      <c r="U58" s="179">
        <v>0</v>
      </c>
      <c r="V58" s="80">
        <f t="shared" si="31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2"/>
        <v>0</v>
      </c>
      <c r="E59" s="179">
        <v>0</v>
      </c>
      <c r="F59" s="80">
        <f t="shared" si="23"/>
        <v>0</v>
      </c>
      <c r="G59" s="179">
        <v>0</v>
      </c>
      <c r="H59" s="80">
        <f t="shared" si="24"/>
        <v>0</v>
      </c>
      <c r="I59" s="179">
        <v>0</v>
      </c>
      <c r="J59" s="80">
        <f t="shared" si="25"/>
        <v>0</v>
      </c>
      <c r="K59" s="179">
        <v>0</v>
      </c>
      <c r="L59" s="80">
        <f t="shared" si="26"/>
        <v>0</v>
      </c>
      <c r="M59" s="179">
        <v>0</v>
      </c>
      <c r="N59" s="80">
        <f t="shared" si="27"/>
        <v>0</v>
      </c>
      <c r="O59" s="179">
        <v>0</v>
      </c>
      <c r="P59" s="80">
        <f t="shared" si="28"/>
        <v>0</v>
      </c>
      <c r="Q59" s="179">
        <v>0</v>
      </c>
      <c r="R59" s="80">
        <f t="shared" si="29"/>
        <v>0</v>
      </c>
      <c r="S59" s="179">
        <v>0</v>
      </c>
      <c r="T59" s="80">
        <f t="shared" si="30"/>
        <v>0</v>
      </c>
      <c r="U59" s="179">
        <v>0</v>
      </c>
      <c r="V59" s="80">
        <f t="shared" si="31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2"/>
        <v>0</v>
      </c>
      <c r="E60" s="179">
        <v>0</v>
      </c>
      <c r="F60" s="80">
        <f t="shared" si="23"/>
        <v>0</v>
      </c>
      <c r="G60" s="179">
        <v>0</v>
      </c>
      <c r="H60" s="80">
        <f t="shared" si="24"/>
        <v>0</v>
      </c>
      <c r="I60" s="179">
        <v>0</v>
      </c>
      <c r="J60" s="80">
        <f t="shared" si="25"/>
        <v>0</v>
      </c>
      <c r="K60" s="179">
        <v>0</v>
      </c>
      <c r="L60" s="80">
        <f t="shared" si="26"/>
        <v>0</v>
      </c>
      <c r="M60" s="179">
        <v>0</v>
      </c>
      <c r="N60" s="80">
        <f t="shared" si="27"/>
        <v>0</v>
      </c>
      <c r="O60" s="179">
        <v>0</v>
      </c>
      <c r="P60" s="80">
        <f t="shared" si="28"/>
        <v>0</v>
      </c>
      <c r="Q60" s="179">
        <v>0</v>
      </c>
      <c r="R60" s="80">
        <f t="shared" si="29"/>
        <v>0</v>
      </c>
      <c r="S60" s="179">
        <v>0</v>
      </c>
      <c r="T60" s="80">
        <f t="shared" si="30"/>
        <v>0</v>
      </c>
      <c r="U60" s="179">
        <v>0</v>
      </c>
      <c r="V60" s="80">
        <f t="shared" si="31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2"/>
        <v>0</v>
      </c>
      <c r="E61" s="179">
        <v>0</v>
      </c>
      <c r="F61" s="80">
        <f t="shared" si="23"/>
        <v>0</v>
      </c>
      <c r="G61" s="179">
        <v>0</v>
      </c>
      <c r="H61" s="80">
        <f t="shared" si="24"/>
        <v>0</v>
      </c>
      <c r="I61" s="179">
        <v>0</v>
      </c>
      <c r="J61" s="80">
        <f t="shared" si="25"/>
        <v>0</v>
      </c>
      <c r="K61" s="179">
        <v>0</v>
      </c>
      <c r="L61" s="80">
        <f t="shared" si="26"/>
        <v>0</v>
      </c>
      <c r="M61" s="179">
        <v>0</v>
      </c>
      <c r="N61" s="80">
        <f t="shared" si="27"/>
        <v>0</v>
      </c>
      <c r="O61" s="179">
        <v>0</v>
      </c>
      <c r="P61" s="80">
        <f t="shared" si="28"/>
        <v>0</v>
      </c>
      <c r="Q61" s="179">
        <v>0</v>
      </c>
      <c r="R61" s="80">
        <f t="shared" si="29"/>
        <v>0</v>
      </c>
      <c r="S61" s="179">
        <v>0</v>
      </c>
      <c r="T61" s="80">
        <f t="shared" si="30"/>
        <v>0</v>
      </c>
      <c r="U61" s="179">
        <v>0</v>
      </c>
      <c r="V61" s="80">
        <f t="shared" si="31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2"/>
        <v>0</v>
      </c>
      <c r="E62" s="179">
        <v>0</v>
      </c>
      <c r="F62" s="80">
        <f t="shared" si="23"/>
        <v>0</v>
      </c>
      <c r="G62" s="179">
        <v>0</v>
      </c>
      <c r="H62" s="80">
        <f t="shared" si="24"/>
        <v>0</v>
      </c>
      <c r="I62" s="179">
        <v>0</v>
      </c>
      <c r="J62" s="80">
        <f t="shared" si="25"/>
        <v>0</v>
      </c>
      <c r="K62" s="179">
        <v>0</v>
      </c>
      <c r="L62" s="80">
        <f t="shared" si="26"/>
        <v>0</v>
      </c>
      <c r="M62" s="179">
        <v>0</v>
      </c>
      <c r="N62" s="80">
        <f t="shared" si="27"/>
        <v>0</v>
      </c>
      <c r="O62" s="179">
        <v>0</v>
      </c>
      <c r="P62" s="80">
        <f t="shared" si="28"/>
        <v>0</v>
      </c>
      <c r="Q62" s="179">
        <v>0</v>
      </c>
      <c r="R62" s="80">
        <f t="shared" si="29"/>
        <v>0</v>
      </c>
      <c r="S62" s="179">
        <v>0</v>
      </c>
      <c r="T62" s="80">
        <f t="shared" si="30"/>
        <v>0</v>
      </c>
      <c r="U62" s="179">
        <v>0</v>
      </c>
      <c r="V62" s="80">
        <f t="shared" si="31"/>
        <v>0</v>
      </c>
      <c r="X62" s="200"/>
    </row>
    <row r="63" spans="1:24" ht="12.75" customHeight="1">
      <c r="A63" s="2" t="s">
        <v>394</v>
      </c>
      <c r="B63" s="35"/>
      <c r="C63" s="179">
        <v>19592.359399914993</v>
      </c>
      <c r="D63" s="80">
        <f t="shared" si="22"/>
        <v>1.3722435549171151E-2</v>
      </c>
      <c r="E63" s="179">
        <v>12124.691869334149</v>
      </c>
      <c r="F63" s="80">
        <f t="shared" si="23"/>
        <v>7.7573204538286299E-3</v>
      </c>
      <c r="G63" s="179">
        <v>14192.972062439185</v>
      </c>
      <c r="H63" s="80">
        <f t="shared" si="24"/>
        <v>8.9025454207213289E-3</v>
      </c>
      <c r="I63" s="179">
        <v>14350.178744644476</v>
      </c>
      <c r="J63" s="80">
        <f t="shared" si="25"/>
        <v>8.8246601500557732E-3</v>
      </c>
      <c r="K63" s="179">
        <v>14468.616062678266</v>
      </c>
      <c r="L63" s="80">
        <f t="shared" si="26"/>
        <v>8.723032671687685E-3</v>
      </c>
      <c r="M63" s="179">
        <v>14726.967105609372</v>
      </c>
      <c r="N63" s="80">
        <f t="shared" si="27"/>
        <v>8.7046968648497435E-3</v>
      </c>
      <c r="O63" s="179">
        <v>14990.759711310897</v>
      </c>
      <c r="P63" s="80">
        <f t="shared" si="28"/>
        <v>8.686879675810168E-3</v>
      </c>
      <c r="Q63" s="179">
        <v>15259.58221577451</v>
      </c>
      <c r="R63" s="80">
        <f t="shared" si="29"/>
        <v>8.6692721124281037E-3</v>
      </c>
      <c r="S63" s="179">
        <v>15533.026630484715</v>
      </c>
      <c r="T63" s="80">
        <f t="shared" si="30"/>
        <v>8.6515895315735451E-3</v>
      </c>
      <c r="U63" s="179">
        <v>16416.08709788174</v>
      </c>
      <c r="V63" s="80">
        <f t="shared" si="31"/>
        <v>8.9641537240308933E-3</v>
      </c>
      <c r="X63" s="200"/>
    </row>
    <row r="64" spans="1:24" ht="12.75" customHeight="1">
      <c r="A64" s="2" t="s">
        <v>395</v>
      </c>
      <c r="B64" s="35"/>
      <c r="C64" s="179">
        <v>6853.2531839999983</v>
      </c>
      <c r="D64" s="80">
        <f t="shared" si="22"/>
        <v>4.7999999999999996E-3</v>
      </c>
      <c r="E64" s="179">
        <v>7502.3999999999987</v>
      </c>
      <c r="F64" s="80">
        <f t="shared" si="23"/>
        <v>4.7999999999999996E-3</v>
      </c>
      <c r="G64" s="179">
        <v>7652.4479999999994</v>
      </c>
      <c r="H64" s="80">
        <f t="shared" si="24"/>
        <v>4.7999999999999996E-3</v>
      </c>
      <c r="I64" s="179">
        <v>7805.4969599999986</v>
      </c>
      <c r="J64" s="80">
        <f t="shared" si="25"/>
        <v>4.7999999999999996E-3</v>
      </c>
      <c r="K64" s="179">
        <v>7961.6068991999982</v>
      </c>
      <c r="L64" s="80">
        <f t="shared" si="26"/>
        <v>4.7999999999999996E-3</v>
      </c>
      <c r="M64" s="179">
        <v>8120.8390371840005</v>
      </c>
      <c r="N64" s="80">
        <f t="shared" si="27"/>
        <v>4.7999999999999996E-3</v>
      </c>
      <c r="O64" s="179">
        <v>8283.2558179276803</v>
      </c>
      <c r="P64" s="80">
        <f t="shared" si="28"/>
        <v>4.7999999999999996E-3</v>
      </c>
      <c r="Q64" s="179">
        <v>8448.9209342862341</v>
      </c>
      <c r="R64" s="80">
        <f t="shared" si="29"/>
        <v>4.7999999999999996E-3</v>
      </c>
      <c r="S64" s="179">
        <v>8617.8993529719592</v>
      </c>
      <c r="T64" s="80">
        <f t="shared" si="30"/>
        <v>4.7999999999999996E-3</v>
      </c>
      <c r="U64" s="179">
        <v>8790.2573400313977</v>
      </c>
      <c r="V64" s="80">
        <f t="shared" si="31"/>
        <v>4.7999999999999996E-3</v>
      </c>
      <c r="X64" s="200"/>
    </row>
    <row r="65" spans="1:24" ht="12.75" customHeight="1">
      <c r="A65" s="2" t="s">
        <v>396</v>
      </c>
      <c r="B65" s="35"/>
      <c r="C65" s="179">
        <v>713.88053999999988</v>
      </c>
      <c r="D65" s="80">
        <f t="shared" si="22"/>
        <v>5.0000000000000001E-4</v>
      </c>
      <c r="E65" s="179">
        <v>781.5</v>
      </c>
      <c r="F65" s="80">
        <f t="shared" si="23"/>
        <v>5.0000000000000001E-4</v>
      </c>
      <c r="G65" s="179">
        <v>797.13000000000011</v>
      </c>
      <c r="H65" s="80">
        <f t="shared" si="24"/>
        <v>5.0000000000000012E-4</v>
      </c>
      <c r="I65" s="179">
        <v>813.07260000000008</v>
      </c>
      <c r="J65" s="80">
        <f t="shared" si="25"/>
        <v>5.0000000000000001E-4</v>
      </c>
      <c r="K65" s="179">
        <v>829.33405199999993</v>
      </c>
      <c r="L65" s="80">
        <f t="shared" si="26"/>
        <v>5.0000000000000001E-4</v>
      </c>
      <c r="M65" s="179">
        <v>845.92073304000019</v>
      </c>
      <c r="N65" s="80">
        <f t="shared" si="27"/>
        <v>5.0000000000000001E-4</v>
      </c>
      <c r="O65" s="179">
        <v>862.83914770080014</v>
      </c>
      <c r="P65" s="80">
        <f t="shared" si="28"/>
        <v>5.0000000000000001E-4</v>
      </c>
      <c r="Q65" s="179">
        <v>880.09593065481613</v>
      </c>
      <c r="R65" s="80">
        <f t="shared" si="29"/>
        <v>5.0000000000000001E-4</v>
      </c>
      <c r="S65" s="179">
        <v>897.69784926791249</v>
      </c>
      <c r="T65" s="80">
        <f t="shared" si="30"/>
        <v>5.0000000000000001E-4</v>
      </c>
      <c r="U65" s="179">
        <v>915.65180625327059</v>
      </c>
      <c r="V65" s="80">
        <f t="shared" si="31"/>
        <v>5.0000000000000001E-4</v>
      </c>
      <c r="X65" s="200"/>
    </row>
    <row r="66" spans="1:24" ht="12.75" customHeight="1">
      <c r="A66" s="2" t="s">
        <v>397</v>
      </c>
      <c r="B66" s="35"/>
      <c r="C66" s="179">
        <v>3997.7310239999997</v>
      </c>
      <c r="D66" s="80">
        <f t="shared" si="22"/>
        <v>2.8E-3</v>
      </c>
      <c r="E66" s="179">
        <v>4376.3999999999996</v>
      </c>
      <c r="F66" s="80">
        <f t="shared" si="23"/>
        <v>2.8E-3</v>
      </c>
      <c r="G66" s="179">
        <v>4463.9280000000008</v>
      </c>
      <c r="H66" s="80">
        <f t="shared" si="24"/>
        <v>2.8000000000000004E-3</v>
      </c>
      <c r="I66" s="179">
        <v>4553.2065599999996</v>
      </c>
      <c r="J66" s="80">
        <f t="shared" si="25"/>
        <v>2.8E-3</v>
      </c>
      <c r="K66" s="179">
        <v>4644.2706911999994</v>
      </c>
      <c r="L66" s="80">
        <f t="shared" si="26"/>
        <v>2.8E-3</v>
      </c>
      <c r="M66" s="179">
        <v>4737.1561050240007</v>
      </c>
      <c r="N66" s="80">
        <f t="shared" si="27"/>
        <v>2.8E-3</v>
      </c>
      <c r="O66" s="179">
        <v>4831.8992271244806</v>
      </c>
      <c r="P66" s="80">
        <f t="shared" si="28"/>
        <v>2.8E-3</v>
      </c>
      <c r="Q66" s="179">
        <v>4928.5372116669705</v>
      </c>
      <c r="R66" s="80">
        <f t="shared" si="29"/>
        <v>2.8000000000000004E-3</v>
      </c>
      <c r="S66" s="179">
        <v>5027.1079559003092</v>
      </c>
      <c r="T66" s="80">
        <f t="shared" si="30"/>
        <v>2.7999999999999995E-3</v>
      </c>
      <c r="U66" s="179">
        <v>5127.6501150183158</v>
      </c>
      <c r="V66" s="80">
        <f t="shared" si="31"/>
        <v>2.8000000000000004E-3</v>
      </c>
      <c r="X66" s="200"/>
    </row>
    <row r="67" spans="1:24" ht="12.75" customHeight="1">
      <c r="A67" s="2" t="s">
        <v>398</v>
      </c>
      <c r="B67" s="35"/>
      <c r="C67" s="179">
        <v>21416.416199999996</v>
      </c>
      <c r="D67" s="80">
        <f t="shared" si="22"/>
        <v>1.4999999999999999E-2</v>
      </c>
      <c r="E67" s="179">
        <v>23445</v>
      </c>
      <c r="F67" s="80">
        <f t="shared" si="23"/>
        <v>1.4999999999999999E-2</v>
      </c>
      <c r="G67" s="179">
        <v>23913.9</v>
      </c>
      <c r="H67" s="80">
        <f t="shared" si="24"/>
        <v>1.5000000000000001E-2</v>
      </c>
      <c r="I67" s="179">
        <v>24392.177999999996</v>
      </c>
      <c r="J67" s="80">
        <f t="shared" si="25"/>
        <v>1.4999999999999998E-2</v>
      </c>
      <c r="K67" s="179">
        <v>24880.021559999997</v>
      </c>
      <c r="L67" s="80">
        <f t="shared" si="26"/>
        <v>1.4999999999999999E-2</v>
      </c>
      <c r="M67" s="179">
        <v>25377.621991200005</v>
      </c>
      <c r="N67" s="80">
        <f t="shared" si="27"/>
        <v>1.5000000000000001E-2</v>
      </c>
      <c r="O67" s="179">
        <v>25885.174431024003</v>
      </c>
      <c r="P67" s="80">
        <f t="shared" si="28"/>
        <v>1.4999999999999999E-2</v>
      </c>
      <c r="Q67" s="179">
        <v>26402.877919644485</v>
      </c>
      <c r="R67" s="80">
        <f t="shared" si="29"/>
        <v>1.5000000000000001E-2</v>
      </c>
      <c r="S67" s="179">
        <v>26930.935478037372</v>
      </c>
      <c r="T67" s="80">
        <f t="shared" si="30"/>
        <v>1.4999999999999999E-2</v>
      </c>
      <c r="U67" s="179">
        <v>27469.554187598118</v>
      </c>
      <c r="V67" s="80">
        <f t="shared" si="31"/>
        <v>1.4999999999999999E-2</v>
      </c>
      <c r="X67" s="200"/>
    </row>
    <row r="68" spans="1:24" ht="12.75" customHeight="1">
      <c r="A68" s="2" t="s">
        <v>399</v>
      </c>
      <c r="B68" s="35"/>
      <c r="C68" s="179">
        <v>2427.1938359999999</v>
      </c>
      <c r="D68" s="80">
        <f t="shared" si="22"/>
        <v>1.7000000000000001E-3</v>
      </c>
      <c r="E68" s="179">
        <v>2657.1</v>
      </c>
      <c r="F68" s="80">
        <f t="shared" si="23"/>
        <v>1.6999999999999999E-3</v>
      </c>
      <c r="G68" s="179">
        <v>2710.2420000000002</v>
      </c>
      <c r="H68" s="80">
        <f t="shared" si="24"/>
        <v>1.7000000000000001E-3</v>
      </c>
      <c r="I68" s="179">
        <v>2764.4468400000001</v>
      </c>
      <c r="J68" s="80">
        <f t="shared" si="25"/>
        <v>1.7000000000000001E-3</v>
      </c>
      <c r="K68" s="179">
        <v>2819.7357767999997</v>
      </c>
      <c r="L68" s="80">
        <f t="shared" si="26"/>
        <v>1.6999999999999999E-3</v>
      </c>
      <c r="M68" s="179">
        <v>2876.1304923360003</v>
      </c>
      <c r="N68" s="80">
        <f t="shared" si="27"/>
        <v>1.7000000000000001E-3</v>
      </c>
      <c r="O68" s="179">
        <v>2933.6531021827204</v>
      </c>
      <c r="P68" s="80">
        <f t="shared" si="28"/>
        <v>1.7000000000000001E-3</v>
      </c>
      <c r="Q68" s="179">
        <v>2992.3261642263751</v>
      </c>
      <c r="R68" s="80">
        <f t="shared" si="29"/>
        <v>1.7000000000000001E-3</v>
      </c>
      <c r="S68" s="179">
        <v>3052.1726875109021</v>
      </c>
      <c r="T68" s="80">
        <f t="shared" si="30"/>
        <v>1.6999999999999999E-3</v>
      </c>
      <c r="U68" s="179">
        <v>3113.2161412611199</v>
      </c>
      <c r="V68" s="80">
        <f t="shared" si="31"/>
        <v>1.6999999999999999E-3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2"/>
        <v>0</v>
      </c>
      <c r="E69" s="179">
        <v>0</v>
      </c>
      <c r="F69" s="80">
        <f t="shared" si="23"/>
        <v>0</v>
      </c>
      <c r="G69" s="179">
        <v>0</v>
      </c>
      <c r="H69" s="80">
        <f t="shared" si="24"/>
        <v>0</v>
      </c>
      <c r="I69" s="179">
        <v>0</v>
      </c>
      <c r="J69" s="80">
        <f t="shared" si="25"/>
        <v>0</v>
      </c>
      <c r="K69" s="179">
        <v>0</v>
      </c>
      <c r="L69" s="80">
        <f t="shared" si="26"/>
        <v>0</v>
      </c>
      <c r="M69" s="179">
        <v>0</v>
      </c>
      <c r="N69" s="80">
        <f t="shared" si="27"/>
        <v>0</v>
      </c>
      <c r="O69" s="179">
        <v>0</v>
      </c>
      <c r="P69" s="80">
        <f t="shared" si="28"/>
        <v>0</v>
      </c>
      <c r="Q69" s="179">
        <v>0</v>
      </c>
      <c r="R69" s="80">
        <f t="shared" si="29"/>
        <v>0</v>
      </c>
      <c r="S69" s="179">
        <v>0</v>
      </c>
      <c r="T69" s="80">
        <f t="shared" si="30"/>
        <v>0</v>
      </c>
      <c r="U69" s="179">
        <v>0</v>
      </c>
      <c r="V69" s="80">
        <f t="shared" si="31"/>
        <v>0</v>
      </c>
      <c r="X69" s="200"/>
    </row>
    <row r="70" spans="1:24" ht="12.75" customHeight="1">
      <c r="A70" s="2" t="s">
        <v>401</v>
      </c>
      <c r="B70" s="35"/>
      <c r="C70" s="179">
        <v>142.77610800000002</v>
      </c>
      <c r="D70" s="80">
        <f t="shared" si="22"/>
        <v>1.0000000000000003E-4</v>
      </c>
      <c r="E70" s="179">
        <v>156.30000000000001</v>
      </c>
      <c r="F70" s="80">
        <f t="shared" si="23"/>
        <v>1E-4</v>
      </c>
      <c r="G70" s="179">
        <v>159.42600000000002</v>
      </c>
      <c r="H70" s="80">
        <f t="shared" si="24"/>
        <v>1E-4</v>
      </c>
      <c r="I70" s="179">
        <v>162.61452</v>
      </c>
      <c r="J70" s="80">
        <f t="shared" si="25"/>
        <v>1E-4</v>
      </c>
      <c r="K70" s="179">
        <v>165.86681039999999</v>
      </c>
      <c r="L70" s="80">
        <f t="shared" si="26"/>
        <v>1E-4</v>
      </c>
      <c r="M70" s="179">
        <v>169.18414660800002</v>
      </c>
      <c r="N70" s="80">
        <f t="shared" si="27"/>
        <v>1E-4</v>
      </c>
      <c r="O70" s="179">
        <v>172.56782954016003</v>
      </c>
      <c r="P70" s="80">
        <f t="shared" si="28"/>
        <v>1E-4</v>
      </c>
      <c r="Q70" s="179">
        <v>176.01918613096325</v>
      </c>
      <c r="R70" s="80">
        <f t="shared" si="29"/>
        <v>1.0000000000000002E-4</v>
      </c>
      <c r="S70" s="179">
        <v>179.53956985358249</v>
      </c>
      <c r="T70" s="80">
        <f t="shared" si="30"/>
        <v>1E-4</v>
      </c>
      <c r="U70" s="179">
        <v>183.13036125065415</v>
      </c>
      <c r="V70" s="80">
        <f t="shared" si="31"/>
        <v>1.0000000000000002E-4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2"/>
        <v>0</v>
      </c>
      <c r="E71" s="179">
        <v>0</v>
      </c>
      <c r="F71" s="80">
        <f t="shared" si="23"/>
        <v>0</v>
      </c>
      <c r="G71" s="179">
        <v>0</v>
      </c>
      <c r="H71" s="80">
        <f t="shared" si="24"/>
        <v>0</v>
      </c>
      <c r="I71" s="179">
        <v>0</v>
      </c>
      <c r="J71" s="80">
        <f t="shared" si="25"/>
        <v>0</v>
      </c>
      <c r="K71" s="179">
        <v>0</v>
      </c>
      <c r="L71" s="80">
        <f t="shared" si="26"/>
        <v>0</v>
      </c>
      <c r="M71" s="179">
        <v>0</v>
      </c>
      <c r="N71" s="80">
        <f t="shared" si="27"/>
        <v>0</v>
      </c>
      <c r="O71" s="179">
        <v>0</v>
      </c>
      <c r="P71" s="80">
        <f t="shared" si="28"/>
        <v>0</v>
      </c>
      <c r="Q71" s="179">
        <v>0</v>
      </c>
      <c r="R71" s="80">
        <f t="shared" si="29"/>
        <v>0</v>
      </c>
      <c r="S71" s="179">
        <v>0</v>
      </c>
      <c r="T71" s="80">
        <f t="shared" si="30"/>
        <v>0</v>
      </c>
      <c r="U71" s="179">
        <v>0</v>
      </c>
      <c r="V71" s="80">
        <f t="shared" si="31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2"/>
        <v>0</v>
      </c>
      <c r="E72" s="179">
        <v>0</v>
      </c>
      <c r="F72" s="80">
        <f t="shared" si="23"/>
        <v>0</v>
      </c>
      <c r="G72" s="179">
        <v>0</v>
      </c>
      <c r="H72" s="80">
        <f t="shared" si="24"/>
        <v>0</v>
      </c>
      <c r="I72" s="179">
        <v>0</v>
      </c>
      <c r="J72" s="80">
        <f t="shared" si="25"/>
        <v>0</v>
      </c>
      <c r="K72" s="179">
        <v>0</v>
      </c>
      <c r="L72" s="80">
        <f t="shared" si="26"/>
        <v>0</v>
      </c>
      <c r="M72" s="179">
        <v>0</v>
      </c>
      <c r="N72" s="80">
        <f t="shared" si="27"/>
        <v>0</v>
      </c>
      <c r="O72" s="179">
        <v>0</v>
      </c>
      <c r="P72" s="80">
        <f t="shared" si="28"/>
        <v>0</v>
      </c>
      <c r="Q72" s="179">
        <v>0</v>
      </c>
      <c r="R72" s="80">
        <f t="shared" si="29"/>
        <v>0</v>
      </c>
      <c r="S72" s="179">
        <v>0</v>
      </c>
      <c r="T72" s="80">
        <f t="shared" si="30"/>
        <v>0</v>
      </c>
      <c r="U72" s="179">
        <v>0</v>
      </c>
      <c r="V72" s="80">
        <f t="shared" si="31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2"/>
        <v>0</v>
      </c>
      <c r="E73" s="179">
        <v>0</v>
      </c>
      <c r="F73" s="80">
        <f t="shared" si="23"/>
        <v>0</v>
      </c>
      <c r="G73" s="179">
        <v>0</v>
      </c>
      <c r="H73" s="80">
        <f t="shared" si="24"/>
        <v>0</v>
      </c>
      <c r="I73" s="179">
        <v>0</v>
      </c>
      <c r="J73" s="80">
        <f t="shared" si="25"/>
        <v>0</v>
      </c>
      <c r="K73" s="179">
        <v>0</v>
      </c>
      <c r="L73" s="80">
        <f t="shared" si="26"/>
        <v>0</v>
      </c>
      <c r="M73" s="179">
        <v>0</v>
      </c>
      <c r="N73" s="80">
        <f t="shared" si="27"/>
        <v>0</v>
      </c>
      <c r="O73" s="179">
        <v>0</v>
      </c>
      <c r="P73" s="80">
        <f t="shared" si="28"/>
        <v>0</v>
      </c>
      <c r="Q73" s="179">
        <v>0</v>
      </c>
      <c r="R73" s="80">
        <f t="shared" si="29"/>
        <v>0</v>
      </c>
      <c r="S73" s="179">
        <v>0</v>
      </c>
      <c r="T73" s="80">
        <f t="shared" si="30"/>
        <v>0</v>
      </c>
      <c r="U73" s="179">
        <v>0</v>
      </c>
      <c r="V73" s="80">
        <f t="shared" si="31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2"/>
        <v>0</v>
      </c>
      <c r="E74" s="179">
        <v>0</v>
      </c>
      <c r="F74" s="80">
        <f t="shared" si="23"/>
        <v>0</v>
      </c>
      <c r="G74" s="179">
        <v>0</v>
      </c>
      <c r="H74" s="80">
        <f t="shared" si="24"/>
        <v>0</v>
      </c>
      <c r="I74" s="179">
        <v>0</v>
      </c>
      <c r="J74" s="80">
        <f t="shared" si="25"/>
        <v>0</v>
      </c>
      <c r="K74" s="179">
        <v>0</v>
      </c>
      <c r="L74" s="80">
        <f t="shared" si="26"/>
        <v>0</v>
      </c>
      <c r="M74" s="179">
        <v>0</v>
      </c>
      <c r="N74" s="80">
        <f t="shared" si="27"/>
        <v>0</v>
      </c>
      <c r="O74" s="179">
        <v>0</v>
      </c>
      <c r="P74" s="80">
        <f t="shared" si="28"/>
        <v>0</v>
      </c>
      <c r="Q74" s="179">
        <v>0</v>
      </c>
      <c r="R74" s="80">
        <f t="shared" si="29"/>
        <v>0</v>
      </c>
      <c r="S74" s="179">
        <v>0</v>
      </c>
      <c r="T74" s="80">
        <f t="shared" si="30"/>
        <v>0</v>
      </c>
      <c r="U74" s="179">
        <v>0</v>
      </c>
      <c r="V74" s="80">
        <f t="shared" si="31"/>
        <v>0</v>
      </c>
      <c r="X74" s="200"/>
    </row>
    <row r="75" spans="1:24" ht="12.75" customHeight="1">
      <c r="A75" s="2" t="s">
        <v>406</v>
      </c>
      <c r="B75" s="35"/>
      <c r="C75" s="179">
        <v>7138.8054000000002</v>
      </c>
      <c r="D75" s="80">
        <f t="shared" si="22"/>
        <v>5.000000000000001E-3</v>
      </c>
      <c r="E75" s="179">
        <v>7814.9999999999991</v>
      </c>
      <c r="F75" s="80">
        <f t="shared" si="23"/>
        <v>4.9999999999999992E-3</v>
      </c>
      <c r="G75" s="179">
        <v>7971.3</v>
      </c>
      <c r="H75" s="80">
        <f t="shared" si="24"/>
        <v>5.0000000000000001E-3</v>
      </c>
      <c r="I75" s="179">
        <v>8130.7260000000006</v>
      </c>
      <c r="J75" s="80">
        <f t="shared" si="25"/>
        <v>5.0000000000000001E-3</v>
      </c>
      <c r="K75" s="179">
        <v>8293.3405199999997</v>
      </c>
      <c r="L75" s="80">
        <f t="shared" si="26"/>
        <v>5.0000000000000001E-3</v>
      </c>
      <c r="M75" s="179">
        <v>8459.2073304000005</v>
      </c>
      <c r="N75" s="80">
        <f t="shared" si="27"/>
        <v>5.0000000000000001E-3</v>
      </c>
      <c r="O75" s="179">
        <v>8628.3914770080028</v>
      </c>
      <c r="P75" s="80">
        <f t="shared" si="28"/>
        <v>5.000000000000001E-3</v>
      </c>
      <c r="Q75" s="179">
        <v>8800.9593065481622</v>
      </c>
      <c r="R75" s="80">
        <f t="shared" si="29"/>
        <v>5.000000000000001E-3</v>
      </c>
      <c r="S75" s="179">
        <v>8976.9784926791253</v>
      </c>
      <c r="T75" s="80">
        <f t="shared" si="30"/>
        <v>5.0000000000000001E-3</v>
      </c>
      <c r="U75" s="179">
        <v>9156.5180625327066</v>
      </c>
      <c r="V75" s="80">
        <f t="shared" si="31"/>
        <v>5.0000000000000001E-3</v>
      </c>
      <c r="X75" s="200"/>
    </row>
    <row r="76" spans="1:24" ht="12.75" customHeight="1">
      <c r="A76" s="2" t="s">
        <v>407</v>
      </c>
      <c r="B76" s="35"/>
      <c r="C76" s="179">
        <v>571.10443200000009</v>
      </c>
      <c r="D76" s="80">
        <f t="shared" si="22"/>
        <v>4.0000000000000013E-4</v>
      </c>
      <c r="E76" s="179">
        <v>625.20000000000005</v>
      </c>
      <c r="F76" s="80">
        <f t="shared" si="23"/>
        <v>4.0000000000000002E-4</v>
      </c>
      <c r="G76" s="179">
        <v>637.70400000000006</v>
      </c>
      <c r="H76" s="80">
        <f t="shared" si="24"/>
        <v>4.0000000000000002E-4</v>
      </c>
      <c r="I76" s="179">
        <v>650.45808</v>
      </c>
      <c r="J76" s="80">
        <f t="shared" si="25"/>
        <v>4.0000000000000002E-4</v>
      </c>
      <c r="K76" s="179">
        <v>663.46724159999997</v>
      </c>
      <c r="L76" s="80">
        <f t="shared" si="26"/>
        <v>4.0000000000000002E-4</v>
      </c>
      <c r="M76" s="179">
        <v>676.73658643200008</v>
      </c>
      <c r="N76" s="80">
        <f t="shared" si="27"/>
        <v>4.0000000000000002E-4</v>
      </c>
      <c r="O76" s="179">
        <v>690.27131816064013</v>
      </c>
      <c r="P76" s="80">
        <f t="shared" si="28"/>
        <v>4.0000000000000002E-4</v>
      </c>
      <c r="Q76" s="179">
        <v>704.07674452385299</v>
      </c>
      <c r="R76" s="80">
        <f t="shared" si="29"/>
        <v>4.0000000000000007E-4</v>
      </c>
      <c r="S76" s="179">
        <v>718.15827941432997</v>
      </c>
      <c r="T76" s="80">
        <f t="shared" si="30"/>
        <v>4.0000000000000002E-4</v>
      </c>
      <c r="U76" s="179">
        <v>732.52144500261659</v>
      </c>
      <c r="V76" s="80">
        <f t="shared" si="31"/>
        <v>4.0000000000000007E-4</v>
      </c>
      <c r="X76" s="200"/>
    </row>
    <row r="77" spans="1:24" ht="12.75" customHeight="1">
      <c r="A77" s="2" t="s">
        <v>408</v>
      </c>
      <c r="B77" s="35"/>
      <c r="C77" s="179">
        <v>1856.0894039999998</v>
      </c>
      <c r="D77" s="80">
        <f t="shared" si="22"/>
        <v>1.2999999999999999E-3</v>
      </c>
      <c r="E77" s="179">
        <v>2031.8999999999996</v>
      </c>
      <c r="F77" s="80">
        <f t="shared" si="23"/>
        <v>1.2999999999999997E-3</v>
      </c>
      <c r="G77" s="179">
        <v>2072.538</v>
      </c>
      <c r="H77" s="80">
        <f t="shared" si="24"/>
        <v>1.2999999999999999E-3</v>
      </c>
      <c r="I77" s="179">
        <v>2113.9887599999997</v>
      </c>
      <c r="J77" s="80">
        <f t="shared" si="25"/>
        <v>1.2999999999999999E-3</v>
      </c>
      <c r="K77" s="179">
        <v>2156.2685351999994</v>
      </c>
      <c r="L77" s="80">
        <f t="shared" si="26"/>
        <v>1.2999999999999997E-3</v>
      </c>
      <c r="M77" s="179">
        <v>2199.3939059040003</v>
      </c>
      <c r="N77" s="80">
        <f t="shared" si="27"/>
        <v>1.3000000000000002E-3</v>
      </c>
      <c r="O77" s="179">
        <v>2243.38178402208</v>
      </c>
      <c r="P77" s="80">
        <f t="shared" si="28"/>
        <v>1.2999999999999997E-3</v>
      </c>
      <c r="Q77" s="179">
        <v>2288.2494197025221</v>
      </c>
      <c r="R77" s="80">
        <f t="shared" si="29"/>
        <v>1.3000000000000002E-3</v>
      </c>
      <c r="S77" s="179">
        <v>2334.0144080965724</v>
      </c>
      <c r="T77" s="80">
        <f t="shared" si="30"/>
        <v>1.2999999999999999E-3</v>
      </c>
      <c r="U77" s="179">
        <v>2380.6946962585034</v>
      </c>
      <c r="V77" s="80">
        <f t="shared" si="31"/>
        <v>1.2999999999999999E-3</v>
      </c>
      <c r="X77" s="200"/>
    </row>
    <row r="78" spans="1:24" ht="12.75" customHeight="1">
      <c r="A78" s="2" t="s">
        <v>409</v>
      </c>
      <c r="B78" s="35"/>
      <c r="C78" s="179">
        <v>31410.743759999998</v>
      </c>
      <c r="D78" s="80">
        <f t="shared" si="22"/>
        <v>2.2000000000000002E-2</v>
      </c>
      <c r="E78" s="179">
        <v>34386</v>
      </c>
      <c r="F78" s="80">
        <f t="shared" si="23"/>
        <v>2.1999999999999999E-2</v>
      </c>
      <c r="G78" s="179">
        <v>35073.72</v>
      </c>
      <c r="H78" s="80">
        <f t="shared" si="24"/>
        <v>2.2000000000000002E-2</v>
      </c>
      <c r="I78" s="179">
        <v>35775.194399999993</v>
      </c>
      <c r="J78" s="80">
        <f t="shared" si="25"/>
        <v>2.1999999999999995E-2</v>
      </c>
      <c r="K78" s="179">
        <v>36490.698287999992</v>
      </c>
      <c r="L78" s="80">
        <f t="shared" si="26"/>
        <v>2.1999999999999999E-2</v>
      </c>
      <c r="M78" s="179">
        <v>37220.512253760004</v>
      </c>
      <c r="N78" s="80">
        <f t="shared" si="27"/>
        <v>2.1999999999999999E-2</v>
      </c>
      <c r="O78" s="179">
        <v>37964.9224988352</v>
      </c>
      <c r="P78" s="80">
        <f t="shared" si="28"/>
        <v>2.1999999999999999E-2</v>
      </c>
      <c r="Q78" s="179">
        <v>38724.220948811904</v>
      </c>
      <c r="R78" s="80">
        <f t="shared" si="29"/>
        <v>2.1999999999999999E-2</v>
      </c>
      <c r="S78" s="179">
        <v>39498.705367788141</v>
      </c>
      <c r="T78" s="80">
        <f t="shared" si="30"/>
        <v>2.1999999999999995E-2</v>
      </c>
      <c r="U78" s="179">
        <v>40288.679475143908</v>
      </c>
      <c r="V78" s="80">
        <f t="shared" si="31"/>
        <v>2.2000000000000002E-2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2"/>
        <v>0</v>
      </c>
      <c r="E79" s="179">
        <v>0</v>
      </c>
      <c r="F79" s="80">
        <f t="shared" si="23"/>
        <v>0</v>
      </c>
      <c r="G79" s="179">
        <v>0</v>
      </c>
      <c r="H79" s="80">
        <f t="shared" si="24"/>
        <v>0</v>
      </c>
      <c r="I79" s="179">
        <v>0</v>
      </c>
      <c r="J79" s="80">
        <f t="shared" si="25"/>
        <v>0</v>
      </c>
      <c r="K79" s="179">
        <v>0</v>
      </c>
      <c r="L79" s="80">
        <f t="shared" si="26"/>
        <v>0</v>
      </c>
      <c r="M79" s="179">
        <v>0</v>
      </c>
      <c r="N79" s="80">
        <f t="shared" si="27"/>
        <v>0</v>
      </c>
      <c r="O79" s="179">
        <v>0</v>
      </c>
      <c r="P79" s="80">
        <f t="shared" si="28"/>
        <v>0</v>
      </c>
      <c r="Q79" s="179">
        <v>0</v>
      </c>
      <c r="R79" s="80">
        <f t="shared" si="29"/>
        <v>0</v>
      </c>
      <c r="S79" s="179">
        <v>0</v>
      </c>
      <c r="T79" s="80">
        <f t="shared" si="30"/>
        <v>0</v>
      </c>
      <c r="U79" s="179">
        <v>0</v>
      </c>
      <c r="V79" s="80">
        <f t="shared" si="31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2"/>
        <v>0</v>
      </c>
      <c r="E80" s="179">
        <v>0</v>
      </c>
      <c r="F80" s="80">
        <f t="shared" si="23"/>
        <v>0</v>
      </c>
      <c r="G80" s="179">
        <v>0</v>
      </c>
      <c r="H80" s="80">
        <f t="shared" si="24"/>
        <v>0</v>
      </c>
      <c r="I80" s="179">
        <v>0</v>
      </c>
      <c r="J80" s="80">
        <f t="shared" si="25"/>
        <v>0</v>
      </c>
      <c r="K80" s="179">
        <v>0</v>
      </c>
      <c r="L80" s="80">
        <f t="shared" si="26"/>
        <v>0</v>
      </c>
      <c r="M80" s="179">
        <v>0</v>
      </c>
      <c r="N80" s="80">
        <f t="shared" si="27"/>
        <v>0</v>
      </c>
      <c r="O80" s="179">
        <v>0</v>
      </c>
      <c r="P80" s="80">
        <f t="shared" si="28"/>
        <v>0</v>
      </c>
      <c r="Q80" s="179">
        <v>0</v>
      </c>
      <c r="R80" s="80">
        <f t="shared" si="29"/>
        <v>0</v>
      </c>
      <c r="S80" s="179">
        <v>0</v>
      </c>
      <c r="T80" s="80">
        <f t="shared" si="30"/>
        <v>0</v>
      </c>
      <c r="U80" s="179">
        <v>0</v>
      </c>
      <c r="V80" s="80">
        <f t="shared" si="31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2"/>
        <v>0</v>
      </c>
      <c r="E81" s="179">
        <v>0</v>
      </c>
      <c r="F81" s="80">
        <f t="shared" si="23"/>
        <v>0</v>
      </c>
      <c r="G81" s="179">
        <v>0</v>
      </c>
      <c r="H81" s="80">
        <f t="shared" si="24"/>
        <v>0</v>
      </c>
      <c r="I81" s="179">
        <v>0</v>
      </c>
      <c r="J81" s="80">
        <f t="shared" si="25"/>
        <v>0</v>
      </c>
      <c r="K81" s="179">
        <v>0</v>
      </c>
      <c r="L81" s="80">
        <f t="shared" si="26"/>
        <v>0</v>
      </c>
      <c r="M81" s="179">
        <v>0</v>
      </c>
      <c r="N81" s="80">
        <f t="shared" si="27"/>
        <v>0</v>
      </c>
      <c r="O81" s="179">
        <v>0</v>
      </c>
      <c r="P81" s="80">
        <f t="shared" si="28"/>
        <v>0</v>
      </c>
      <c r="Q81" s="179">
        <v>0</v>
      </c>
      <c r="R81" s="80">
        <f t="shared" si="29"/>
        <v>0</v>
      </c>
      <c r="S81" s="179">
        <v>0</v>
      </c>
      <c r="T81" s="80">
        <f t="shared" si="30"/>
        <v>0</v>
      </c>
      <c r="U81" s="179">
        <v>0</v>
      </c>
      <c r="V81" s="80">
        <f t="shared" si="31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2"/>
        <v>0</v>
      </c>
      <c r="E82" s="179">
        <v>0</v>
      </c>
      <c r="F82" s="80">
        <f t="shared" si="23"/>
        <v>0</v>
      </c>
      <c r="G82" s="179">
        <v>0</v>
      </c>
      <c r="H82" s="80">
        <f t="shared" si="24"/>
        <v>0</v>
      </c>
      <c r="I82" s="179">
        <v>0</v>
      </c>
      <c r="J82" s="80">
        <f t="shared" si="25"/>
        <v>0</v>
      </c>
      <c r="K82" s="179">
        <v>0</v>
      </c>
      <c r="L82" s="80">
        <f t="shared" si="26"/>
        <v>0</v>
      </c>
      <c r="M82" s="179">
        <v>0</v>
      </c>
      <c r="N82" s="80">
        <f t="shared" si="27"/>
        <v>0</v>
      </c>
      <c r="O82" s="179">
        <v>0</v>
      </c>
      <c r="P82" s="80">
        <f t="shared" si="28"/>
        <v>0</v>
      </c>
      <c r="Q82" s="179">
        <v>0</v>
      </c>
      <c r="R82" s="80">
        <f t="shared" si="29"/>
        <v>0</v>
      </c>
      <c r="S82" s="179">
        <v>0</v>
      </c>
      <c r="T82" s="80">
        <f t="shared" si="30"/>
        <v>0</v>
      </c>
      <c r="U82" s="179">
        <v>0</v>
      </c>
      <c r="V82" s="80">
        <f t="shared" si="31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2"/>
        <v>0</v>
      </c>
      <c r="E83" s="179">
        <v>0</v>
      </c>
      <c r="F83" s="80">
        <f t="shared" si="23"/>
        <v>0</v>
      </c>
      <c r="G83" s="179">
        <v>0</v>
      </c>
      <c r="H83" s="80">
        <f t="shared" si="24"/>
        <v>0</v>
      </c>
      <c r="I83" s="179">
        <v>0</v>
      </c>
      <c r="J83" s="80">
        <f t="shared" si="25"/>
        <v>0</v>
      </c>
      <c r="K83" s="179">
        <v>0</v>
      </c>
      <c r="L83" s="80">
        <f t="shared" si="26"/>
        <v>0</v>
      </c>
      <c r="M83" s="179">
        <v>0</v>
      </c>
      <c r="N83" s="80">
        <f t="shared" si="27"/>
        <v>0</v>
      </c>
      <c r="O83" s="179">
        <v>0</v>
      </c>
      <c r="P83" s="80">
        <f t="shared" si="28"/>
        <v>0</v>
      </c>
      <c r="Q83" s="179">
        <v>0</v>
      </c>
      <c r="R83" s="80">
        <f t="shared" si="29"/>
        <v>0</v>
      </c>
      <c r="S83" s="179">
        <v>0</v>
      </c>
      <c r="T83" s="80">
        <f t="shared" si="30"/>
        <v>0</v>
      </c>
      <c r="U83" s="179">
        <v>0</v>
      </c>
      <c r="V83" s="80">
        <f t="shared" si="31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2"/>
        <v>0</v>
      </c>
      <c r="E84" s="179">
        <v>0</v>
      </c>
      <c r="F84" s="80">
        <f t="shared" si="23"/>
        <v>0</v>
      </c>
      <c r="G84" s="179">
        <v>0</v>
      </c>
      <c r="H84" s="80">
        <f t="shared" si="24"/>
        <v>0</v>
      </c>
      <c r="I84" s="179">
        <v>0</v>
      </c>
      <c r="J84" s="80">
        <f t="shared" si="25"/>
        <v>0</v>
      </c>
      <c r="K84" s="179">
        <v>0</v>
      </c>
      <c r="L84" s="80">
        <f t="shared" si="26"/>
        <v>0</v>
      </c>
      <c r="M84" s="179">
        <v>0</v>
      </c>
      <c r="N84" s="80">
        <f t="shared" si="27"/>
        <v>0</v>
      </c>
      <c r="O84" s="179">
        <v>0</v>
      </c>
      <c r="P84" s="80">
        <f t="shared" si="28"/>
        <v>0</v>
      </c>
      <c r="Q84" s="179">
        <v>0</v>
      </c>
      <c r="R84" s="80">
        <f t="shared" si="29"/>
        <v>0</v>
      </c>
      <c r="S84" s="179">
        <v>0</v>
      </c>
      <c r="T84" s="80">
        <f t="shared" si="30"/>
        <v>0</v>
      </c>
      <c r="U84" s="179">
        <v>0</v>
      </c>
      <c r="V84" s="80">
        <f t="shared" si="31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2"/>
        <v>0</v>
      </c>
      <c r="E85" s="179">
        <v>0</v>
      </c>
      <c r="F85" s="80">
        <f t="shared" si="23"/>
        <v>0</v>
      </c>
      <c r="G85" s="179">
        <v>0</v>
      </c>
      <c r="H85" s="80">
        <f t="shared" si="24"/>
        <v>0</v>
      </c>
      <c r="I85" s="179">
        <v>0</v>
      </c>
      <c r="J85" s="80">
        <f t="shared" si="25"/>
        <v>0</v>
      </c>
      <c r="K85" s="179">
        <v>0</v>
      </c>
      <c r="L85" s="80">
        <f t="shared" si="26"/>
        <v>0</v>
      </c>
      <c r="M85" s="179">
        <v>0</v>
      </c>
      <c r="N85" s="80">
        <f t="shared" si="27"/>
        <v>0</v>
      </c>
      <c r="O85" s="179">
        <v>0</v>
      </c>
      <c r="P85" s="80">
        <f t="shared" si="28"/>
        <v>0</v>
      </c>
      <c r="Q85" s="179">
        <v>0</v>
      </c>
      <c r="R85" s="80">
        <f t="shared" si="29"/>
        <v>0</v>
      </c>
      <c r="S85" s="179">
        <v>0</v>
      </c>
      <c r="T85" s="80">
        <f t="shared" si="30"/>
        <v>0</v>
      </c>
      <c r="U85" s="179">
        <v>0</v>
      </c>
      <c r="V85" s="80">
        <f t="shared" si="31"/>
        <v>0</v>
      </c>
      <c r="X85" s="200"/>
    </row>
    <row r="86" spans="1:24" ht="12.75" customHeight="1">
      <c r="A86" s="2" t="s">
        <v>417</v>
      </c>
      <c r="B86" s="35"/>
      <c r="C86" s="179">
        <v>5711.0443199999991</v>
      </c>
      <c r="D86" s="80">
        <f t="shared" si="22"/>
        <v>4.0000000000000001E-3</v>
      </c>
      <c r="E86" s="179">
        <v>6252</v>
      </c>
      <c r="F86" s="80">
        <f t="shared" si="23"/>
        <v>4.0000000000000001E-3</v>
      </c>
      <c r="G86" s="179">
        <v>6377.0400000000009</v>
      </c>
      <c r="H86" s="80">
        <f t="shared" si="24"/>
        <v>4.000000000000001E-3</v>
      </c>
      <c r="I86" s="179">
        <v>6504.5808000000006</v>
      </c>
      <c r="J86" s="80">
        <f t="shared" si="25"/>
        <v>4.0000000000000001E-3</v>
      </c>
      <c r="K86" s="179">
        <v>6634.6724159999994</v>
      </c>
      <c r="L86" s="80">
        <f t="shared" si="26"/>
        <v>4.0000000000000001E-3</v>
      </c>
      <c r="M86" s="179">
        <v>6767.3658643200015</v>
      </c>
      <c r="N86" s="80">
        <f t="shared" si="27"/>
        <v>4.0000000000000001E-3</v>
      </c>
      <c r="O86" s="179">
        <v>6902.7131816064011</v>
      </c>
      <c r="P86" s="80">
        <f t="shared" si="28"/>
        <v>4.0000000000000001E-3</v>
      </c>
      <c r="Q86" s="179">
        <v>7040.767445238529</v>
      </c>
      <c r="R86" s="80">
        <f t="shared" si="29"/>
        <v>4.0000000000000001E-3</v>
      </c>
      <c r="S86" s="179">
        <v>7181.5827941432999</v>
      </c>
      <c r="T86" s="80">
        <f t="shared" si="30"/>
        <v>4.0000000000000001E-3</v>
      </c>
      <c r="U86" s="179">
        <v>7325.2144500261647</v>
      </c>
      <c r="V86" s="80">
        <f t="shared" si="31"/>
        <v>4.0000000000000001E-3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2"/>
        <v>0</v>
      </c>
      <c r="E87" s="179">
        <v>0</v>
      </c>
      <c r="F87" s="80">
        <f t="shared" si="23"/>
        <v>0</v>
      </c>
      <c r="G87" s="179">
        <v>0</v>
      </c>
      <c r="H87" s="80">
        <f t="shared" si="24"/>
        <v>0</v>
      </c>
      <c r="I87" s="179">
        <v>0</v>
      </c>
      <c r="J87" s="80">
        <f t="shared" si="25"/>
        <v>0</v>
      </c>
      <c r="K87" s="179">
        <v>0</v>
      </c>
      <c r="L87" s="80">
        <f t="shared" si="26"/>
        <v>0</v>
      </c>
      <c r="M87" s="179">
        <v>0</v>
      </c>
      <c r="N87" s="80">
        <f t="shared" si="27"/>
        <v>0</v>
      </c>
      <c r="O87" s="179">
        <v>0</v>
      </c>
      <c r="P87" s="80">
        <f t="shared" si="28"/>
        <v>0</v>
      </c>
      <c r="Q87" s="179">
        <v>0</v>
      </c>
      <c r="R87" s="80">
        <f t="shared" si="29"/>
        <v>0</v>
      </c>
      <c r="S87" s="179">
        <v>0</v>
      </c>
      <c r="T87" s="80">
        <f t="shared" si="30"/>
        <v>0</v>
      </c>
      <c r="U87" s="179">
        <v>0</v>
      </c>
      <c r="V87" s="80">
        <f t="shared" si="31"/>
        <v>0</v>
      </c>
      <c r="X87" s="200"/>
    </row>
    <row r="88" spans="1:24" ht="12.75" customHeight="1">
      <c r="A88" s="2" t="s">
        <v>419</v>
      </c>
      <c r="B88" s="35"/>
      <c r="C88" s="179">
        <v>7281.5815080000002</v>
      </c>
      <c r="D88" s="80">
        <f t="shared" si="22"/>
        <v>5.1000000000000004E-3</v>
      </c>
      <c r="E88" s="179">
        <v>7971.3</v>
      </c>
      <c r="F88" s="80">
        <f t="shared" si="23"/>
        <v>5.1000000000000004E-3</v>
      </c>
      <c r="G88" s="179">
        <v>8130.7260000000015</v>
      </c>
      <c r="H88" s="80">
        <f t="shared" si="24"/>
        <v>5.1000000000000012E-3</v>
      </c>
      <c r="I88" s="179">
        <v>8293.3405200000016</v>
      </c>
      <c r="J88" s="80">
        <f t="shared" si="25"/>
        <v>5.1000000000000012E-3</v>
      </c>
      <c r="K88" s="179">
        <v>8459.2073304000005</v>
      </c>
      <c r="L88" s="80">
        <f t="shared" si="26"/>
        <v>5.1000000000000012E-3</v>
      </c>
      <c r="M88" s="179">
        <v>8628.3914770080028</v>
      </c>
      <c r="N88" s="80">
        <f t="shared" si="27"/>
        <v>5.1000000000000012E-3</v>
      </c>
      <c r="O88" s="179">
        <v>8800.9593065481622</v>
      </c>
      <c r="P88" s="80">
        <f t="shared" si="28"/>
        <v>5.1000000000000004E-3</v>
      </c>
      <c r="Q88" s="179">
        <v>8976.9784926791253</v>
      </c>
      <c r="R88" s="80">
        <f t="shared" si="29"/>
        <v>5.1000000000000004E-3</v>
      </c>
      <c r="S88" s="179">
        <v>9156.5180625327084</v>
      </c>
      <c r="T88" s="80">
        <f t="shared" si="30"/>
        <v>5.1000000000000012E-3</v>
      </c>
      <c r="U88" s="179">
        <v>9339.6484237833611</v>
      </c>
      <c r="V88" s="80">
        <f t="shared" si="31"/>
        <v>5.1000000000000004E-3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2"/>
        <v>0</v>
      </c>
      <c r="E89" s="179">
        <v>0</v>
      </c>
      <c r="F89" s="80">
        <f t="shared" si="23"/>
        <v>0</v>
      </c>
      <c r="G89" s="179">
        <v>0</v>
      </c>
      <c r="H89" s="80">
        <f t="shared" si="24"/>
        <v>0</v>
      </c>
      <c r="I89" s="179">
        <v>0</v>
      </c>
      <c r="J89" s="80">
        <f t="shared" si="25"/>
        <v>0</v>
      </c>
      <c r="K89" s="179">
        <v>0</v>
      </c>
      <c r="L89" s="80">
        <f t="shared" si="26"/>
        <v>0</v>
      </c>
      <c r="M89" s="179">
        <v>0</v>
      </c>
      <c r="N89" s="80">
        <f t="shared" si="27"/>
        <v>0</v>
      </c>
      <c r="O89" s="179">
        <v>0</v>
      </c>
      <c r="P89" s="80">
        <f t="shared" si="28"/>
        <v>0</v>
      </c>
      <c r="Q89" s="179">
        <v>0</v>
      </c>
      <c r="R89" s="80">
        <f t="shared" si="29"/>
        <v>0</v>
      </c>
      <c r="S89" s="179">
        <v>0</v>
      </c>
      <c r="T89" s="80">
        <f t="shared" si="30"/>
        <v>0</v>
      </c>
      <c r="U89" s="179">
        <v>0</v>
      </c>
      <c r="V89" s="80">
        <f t="shared" si="31"/>
        <v>0</v>
      </c>
      <c r="X89" s="200"/>
    </row>
    <row r="90" spans="1:24" ht="12.75" customHeight="1">
      <c r="A90" s="2" t="s">
        <v>421</v>
      </c>
      <c r="B90" s="35"/>
      <c r="C90" s="179">
        <v>285.55221600000004</v>
      </c>
      <c r="D90" s="80">
        <f t="shared" si="22"/>
        <v>2.0000000000000006E-4</v>
      </c>
      <c r="E90" s="179">
        <v>312.60000000000002</v>
      </c>
      <c r="F90" s="80">
        <f t="shared" si="23"/>
        <v>2.0000000000000001E-4</v>
      </c>
      <c r="G90" s="179">
        <v>318.85200000000003</v>
      </c>
      <c r="H90" s="80">
        <f t="shared" si="24"/>
        <v>2.0000000000000001E-4</v>
      </c>
      <c r="I90" s="179">
        <v>325.22904</v>
      </c>
      <c r="J90" s="80">
        <f t="shared" si="25"/>
        <v>2.0000000000000001E-4</v>
      </c>
      <c r="K90" s="179">
        <v>331.73362079999998</v>
      </c>
      <c r="L90" s="80">
        <f t="shared" si="26"/>
        <v>2.0000000000000001E-4</v>
      </c>
      <c r="M90" s="179">
        <v>338.36829321600004</v>
      </c>
      <c r="N90" s="80">
        <f t="shared" si="27"/>
        <v>2.0000000000000001E-4</v>
      </c>
      <c r="O90" s="179">
        <v>345.13565908032007</v>
      </c>
      <c r="P90" s="80">
        <f t="shared" si="28"/>
        <v>2.0000000000000001E-4</v>
      </c>
      <c r="Q90" s="179">
        <v>352.0383722619265</v>
      </c>
      <c r="R90" s="80">
        <f t="shared" si="29"/>
        <v>2.0000000000000004E-4</v>
      </c>
      <c r="S90" s="179">
        <v>359.07913970716498</v>
      </c>
      <c r="T90" s="80">
        <f t="shared" si="30"/>
        <v>2.0000000000000001E-4</v>
      </c>
      <c r="U90" s="179">
        <v>366.26072250130829</v>
      </c>
      <c r="V90" s="80">
        <f t="shared" si="31"/>
        <v>2.0000000000000004E-4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22"/>
        <v>0</v>
      </c>
      <c r="E91" s="179">
        <v>0</v>
      </c>
      <c r="F91" s="80">
        <f t="shared" si="23"/>
        <v>0</v>
      </c>
      <c r="G91" s="179">
        <v>0</v>
      </c>
      <c r="H91" s="80">
        <f t="shared" si="24"/>
        <v>0</v>
      </c>
      <c r="I91" s="179">
        <v>0</v>
      </c>
      <c r="J91" s="80">
        <f t="shared" si="25"/>
        <v>0</v>
      </c>
      <c r="K91" s="179">
        <v>0</v>
      </c>
      <c r="L91" s="80">
        <f t="shared" si="26"/>
        <v>0</v>
      </c>
      <c r="M91" s="179">
        <v>0</v>
      </c>
      <c r="N91" s="80">
        <f t="shared" si="27"/>
        <v>0</v>
      </c>
      <c r="O91" s="179">
        <v>0</v>
      </c>
      <c r="P91" s="80">
        <f t="shared" si="28"/>
        <v>0</v>
      </c>
      <c r="Q91" s="179">
        <v>0</v>
      </c>
      <c r="R91" s="80">
        <f t="shared" si="29"/>
        <v>0</v>
      </c>
      <c r="S91" s="179">
        <v>0</v>
      </c>
      <c r="T91" s="80">
        <f t="shared" si="30"/>
        <v>0</v>
      </c>
      <c r="U91" s="179">
        <v>0</v>
      </c>
      <c r="V91" s="80">
        <f t="shared" si="31"/>
        <v>0</v>
      </c>
      <c r="X91" s="200"/>
    </row>
    <row r="92" spans="1:24" ht="12.75" customHeight="1">
      <c r="A92" s="2" t="s">
        <v>423</v>
      </c>
      <c r="B92" s="35"/>
      <c r="C92" s="179">
        <v>7424.3576159999993</v>
      </c>
      <c r="D92" s="80">
        <f t="shared" si="22"/>
        <v>5.1999999999999998E-3</v>
      </c>
      <c r="E92" s="179">
        <v>8127.5999999999985</v>
      </c>
      <c r="F92" s="80">
        <f t="shared" si="23"/>
        <v>5.1999999999999989E-3</v>
      </c>
      <c r="G92" s="179">
        <v>8290.152</v>
      </c>
      <c r="H92" s="80">
        <f t="shared" si="24"/>
        <v>5.1999999999999998E-3</v>
      </c>
      <c r="I92" s="179">
        <v>8455.9550399999989</v>
      </c>
      <c r="J92" s="80">
        <f t="shared" si="25"/>
        <v>5.1999999999999998E-3</v>
      </c>
      <c r="K92" s="179">
        <v>8625.0741407999976</v>
      </c>
      <c r="L92" s="80">
        <f t="shared" si="26"/>
        <v>5.1999999999999989E-3</v>
      </c>
      <c r="M92" s="179">
        <v>8797.5756236160014</v>
      </c>
      <c r="N92" s="80">
        <f t="shared" si="27"/>
        <v>5.2000000000000006E-3</v>
      </c>
      <c r="O92" s="179">
        <v>8973.5271360883198</v>
      </c>
      <c r="P92" s="80">
        <f t="shared" si="28"/>
        <v>5.1999999999999989E-3</v>
      </c>
      <c r="Q92" s="179">
        <v>9152.9976788100885</v>
      </c>
      <c r="R92" s="80">
        <f t="shared" si="29"/>
        <v>5.2000000000000006E-3</v>
      </c>
      <c r="S92" s="179">
        <v>9336.0576323862897</v>
      </c>
      <c r="T92" s="80">
        <f t="shared" si="30"/>
        <v>5.1999999999999998E-3</v>
      </c>
      <c r="U92" s="179">
        <v>9522.7787850340137</v>
      </c>
      <c r="V92" s="80">
        <f t="shared" si="31"/>
        <v>5.1999999999999998E-3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2"/>
        <v>0</v>
      </c>
      <c r="E93" s="179">
        <v>0</v>
      </c>
      <c r="F93" s="80">
        <f t="shared" si="23"/>
        <v>0</v>
      </c>
      <c r="G93" s="179">
        <v>0</v>
      </c>
      <c r="H93" s="80">
        <f t="shared" si="24"/>
        <v>0</v>
      </c>
      <c r="I93" s="179">
        <v>0</v>
      </c>
      <c r="J93" s="80">
        <f t="shared" si="25"/>
        <v>0</v>
      </c>
      <c r="K93" s="179">
        <v>0</v>
      </c>
      <c r="L93" s="80">
        <f t="shared" si="26"/>
        <v>0</v>
      </c>
      <c r="M93" s="179">
        <v>0</v>
      </c>
      <c r="N93" s="80">
        <f t="shared" si="27"/>
        <v>0</v>
      </c>
      <c r="O93" s="179">
        <v>0</v>
      </c>
      <c r="P93" s="80">
        <f t="shared" si="28"/>
        <v>0</v>
      </c>
      <c r="Q93" s="179">
        <v>0</v>
      </c>
      <c r="R93" s="80">
        <f t="shared" si="29"/>
        <v>0</v>
      </c>
      <c r="S93" s="179">
        <v>0</v>
      </c>
      <c r="T93" s="80">
        <f t="shared" si="30"/>
        <v>0</v>
      </c>
      <c r="U93" s="179">
        <v>0</v>
      </c>
      <c r="V93" s="80">
        <f t="shared" si="31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2"/>
        <v>0</v>
      </c>
      <c r="E94" s="179">
        <v>0</v>
      </c>
      <c r="F94" s="80">
        <f t="shared" si="23"/>
        <v>0</v>
      </c>
      <c r="G94" s="179">
        <v>0</v>
      </c>
      <c r="H94" s="80">
        <f t="shared" si="24"/>
        <v>0</v>
      </c>
      <c r="I94" s="179">
        <v>0</v>
      </c>
      <c r="J94" s="80">
        <f t="shared" si="25"/>
        <v>0</v>
      </c>
      <c r="K94" s="179">
        <v>0</v>
      </c>
      <c r="L94" s="80">
        <f t="shared" si="26"/>
        <v>0</v>
      </c>
      <c r="M94" s="179">
        <v>0</v>
      </c>
      <c r="N94" s="80">
        <f t="shared" si="27"/>
        <v>0</v>
      </c>
      <c r="O94" s="179">
        <v>0</v>
      </c>
      <c r="P94" s="80">
        <f t="shared" si="28"/>
        <v>0</v>
      </c>
      <c r="Q94" s="179">
        <v>0</v>
      </c>
      <c r="R94" s="80">
        <f t="shared" si="29"/>
        <v>0</v>
      </c>
      <c r="S94" s="179">
        <v>0</v>
      </c>
      <c r="T94" s="80">
        <f t="shared" si="30"/>
        <v>0</v>
      </c>
      <c r="U94" s="179">
        <v>0</v>
      </c>
      <c r="V94" s="80">
        <f t="shared" si="31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2"/>
        <v>0</v>
      </c>
      <c r="E95" s="179">
        <v>0</v>
      </c>
      <c r="F95" s="80">
        <f t="shared" si="23"/>
        <v>0</v>
      </c>
      <c r="G95" s="179">
        <v>0</v>
      </c>
      <c r="H95" s="80">
        <f t="shared" si="24"/>
        <v>0</v>
      </c>
      <c r="I95" s="179">
        <v>0</v>
      </c>
      <c r="J95" s="80">
        <f t="shared" si="25"/>
        <v>0</v>
      </c>
      <c r="K95" s="179">
        <v>0</v>
      </c>
      <c r="L95" s="80">
        <f t="shared" si="26"/>
        <v>0</v>
      </c>
      <c r="M95" s="179">
        <v>0</v>
      </c>
      <c r="N95" s="80">
        <f t="shared" si="27"/>
        <v>0</v>
      </c>
      <c r="O95" s="179">
        <v>0</v>
      </c>
      <c r="P95" s="80">
        <f t="shared" si="28"/>
        <v>0</v>
      </c>
      <c r="Q95" s="179">
        <v>0</v>
      </c>
      <c r="R95" s="80">
        <f t="shared" si="29"/>
        <v>0</v>
      </c>
      <c r="S95" s="179">
        <v>0</v>
      </c>
      <c r="T95" s="80">
        <f t="shared" si="30"/>
        <v>0</v>
      </c>
      <c r="U95" s="179">
        <v>0</v>
      </c>
      <c r="V95" s="80">
        <f t="shared" si="31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2"/>
        <v>0</v>
      </c>
      <c r="E96" s="179">
        <v>0</v>
      </c>
      <c r="F96" s="80">
        <f t="shared" si="23"/>
        <v>0</v>
      </c>
      <c r="G96" s="179">
        <v>0</v>
      </c>
      <c r="H96" s="80">
        <f t="shared" si="24"/>
        <v>0</v>
      </c>
      <c r="I96" s="179">
        <v>0</v>
      </c>
      <c r="J96" s="80">
        <f t="shared" si="25"/>
        <v>0</v>
      </c>
      <c r="K96" s="179">
        <v>0</v>
      </c>
      <c r="L96" s="80">
        <f t="shared" si="26"/>
        <v>0</v>
      </c>
      <c r="M96" s="179">
        <v>0</v>
      </c>
      <c r="N96" s="80">
        <f t="shared" si="27"/>
        <v>0</v>
      </c>
      <c r="O96" s="179">
        <v>0</v>
      </c>
      <c r="P96" s="80">
        <f t="shared" si="28"/>
        <v>0</v>
      </c>
      <c r="Q96" s="179">
        <v>0</v>
      </c>
      <c r="R96" s="80">
        <f t="shared" si="29"/>
        <v>0</v>
      </c>
      <c r="S96" s="179">
        <v>0</v>
      </c>
      <c r="T96" s="80">
        <f t="shared" si="30"/>
        <v>0</v>
      </c>
      <c r="U96" s="179">
        <v>0</v>
      </c>
      <c r="V96" s="80">
        <f t="shared" si="31"/>
        <v>0</v>
      </c>
      <c r="X96" s="200"/>
    </row>
    <row r="97" spans="1:24" ht="12.75" customHeight="1">
      <c r="A97" s="2" t="s">
        <v>428</v>
      </c>
      <c r="B97" s="35"/>
      <c r="C97" s="179">
        <v>13331.376200000001</v>
      </c>
      <c r="D97" s="80">
        <f t="shared" si="22"/>
        <v>9.3372598446233041E-3</v>
      </c>
      <c r="E97" s="179">
        <v>14609.473949499998</v>
      </c>
      <c r="F97" s="80">
        <f t="shared" si="23"/>
        <v>9.3470722645553408E-3</v>
      </c>
      <c r="G97" s="179">
        <v>15095.473147557499</v>
      </c>
      <c r="H97" s="80">
        <f t="shared" si="24"/>
        <v>9.4686394612908172E-3</v>
      </c>
      <c r="I97" s="179">
        <v>15560.352298328778</v>
      </c>
      <c r="J97" s="80">
        <f t="shared" si="25"/>
        <v>9.5688578721806507E-3</v>
      </c>
      <c r="K97" s="179">
        <v>15949.361105786997</v>
      </c>
      <c r="L97" s="80">
        <f t="shared" si="26"/>
        <v>9.6157640382207518E-3</v>
      </c>
      <c r="M97" s="179">
        <v>16348.095133431669</v>
      </c>
      <c r="N97" s="80">
        <f t="shared" si="27"/>
        <v>9.6629001364473208E-3</v>
      </c>
      <c r="O97" s="179">
        <v>16756.797511767465</v>
      </c>
      <c r="P97" s="80">
        <f t="shared" si="28"/>
        <v>9.7102672939789279E-3</v>
      </c>
      <c r="Q97" s="179">
        <v>17175.717449561645</v>
      </c>
      <c r="R97" s="80">
        <f t="shared" si="29"/>
        <v>9.7578666434592135E-3</v>
      </c>
      <c r="S97" s="179">
        <v>17605.110385800686</v>
      </c>
      <c r="T97" s="80">
        <f t="shared" si="30"/>
        <v>9.805699323084012E-3</v>
      </c>
      <c r="U97" s="179">
        <v>18045.238145445703</v>
      </c>
      <c r="V97" s="80">
        <f t="shared" si="31"/>
        <v>9.8537664766285421E-3</v>
      </c>
      <c r="X97" s="200"/>
    </row>
    <row r="98" spans="1:24" ht="12.75" customHeight="1">
      <c r="A98" s="117" t="s">
        <v>431</v>
      </c>
      <c r="B98" s="35"/>
      <c r="C98" s="179">
        <v>1713.3132959999996</v>
      </c>
      <c r="D98" s="80">
        <f t="shared" si="22"/>
        <v>1.1999999999999999E-3</v>
      </c>
      <c r="E98" s="179">
        <v>1875.5999999999997</v>
      </c>
      <c r="F98" s="80">
        <f t="shared" si="23"/>
        <v>1.1999999999999999E-3</v>
      </c>
      <c r="G98" s="179">
        <v>1913.1119999999999</v>
      </c>
      <c r="H98" s="80">
        <f t="shared" si="24"/>
        <v>1.1999999999999999E-3</v>
      </c>
      <c r="I98" s="179">
        <v>1951.3742399999996</v>
      </c>
      <c r="J98" s="80">
        <f t="shared" si="25"/>
        <v>1.1999999999999999E-3</v>
      </c>
      <c r="K98" s="179">
        <v>1990.4017247999996</v>
      </c>
      <c r="L98" s="80">
        <f t="shared" si="26"/>
        <v>1.1999999999999999E-3</v>
      </c>
      <c r="M98" s="179">
        <v>2030.2097592960001</v>
      </c>
      <c r="N98" s="80">
        <f t="shared" si="27"/>
        <v>1.1999999999999999E-3</v>
      </c>
      <c r="O98" s="179">
        <v>2070.8139544819201</v>
      </c>
      <c r="P98" s="80">
        <f t="shared" si="28"/>
        <v>1.1999999999999999E-3</v>
      </c>
      <c r="Q98" s="179">
        <v>2112.2302335715585</v>
      </c>
      <c r="R98" s="80">
        <f t="shared" si="29"/>
        <v>1.1999999999999999E-3</v>
      </c>
      <c r="S98" s="179">
        <v>2154.4748382429898</v>
      </c>
      <c r="T98" s="80">
        <f t="shared" si="30"/>
        <v>1.1999999999999999E-3</v>
      </c>
      <c r="U98" s="179">
        <v>2197.5643350078494</v>
      </c>
      <c r="V98" s="80">
        <f t="shared" si="31"/>
        <v>1.1999999999999999E-3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2"/>
        <v>0</v>
      </c>
      <c r="E99" s="179">
        <v>0</v>
      </c>
      <c r="F99" s="80">
        <f t="shared" si="23"/>
        <v>0</v>
      </c>
      <c r="G99" s="179">
        <v>0</v>
      </c>
      <c r="H99" s="80">
        <f t="shared" si="24"/>
        <v>0</v>
      </c>
      <c r="I99" s="179">
        <v>0</v>
      </c>
      <c r="J99" s="80">
        <f t="shared" si="25"/>
        <v>0</v>
      </c>
      <c r="K99" s="179">
        <v>0</v>
      </c>
      <c r="L99" s="80">
        <f t="shared" si="26"/>
        <v>0</v>
      </c>
      <c r="M99" s="179">
        <v>0</v>
      </c>
      <c r="N99" s="80">
        <f t="shared" si="27"/>
        <v>0</v>
      </c>
      <c r="O99" s="179">
        <v>0</v>
      </c>
      <c r="P99" s="80">
        <f t="shared" si="28"/>
        <v>0</v>
      </c>
      <c r="Q99" s="179">
        <v>0</v>
      </c>
      <c r="R99" s="80">
        <f t="shared" si="29"/>
        <v>0</v>
      </c>
      <c r="S99" s="179">
        <v>0</v>
      </c>
      <c r="T99" s="80">
        <f t="shared" si="30"/>
        <v>0</v>
      </c>
      <c r="U99" s="179">
        <v>0</v>
      </c>
      <c r="V99" s="80">
        <f t="shared" si="31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2"/>
        <v>0</v>
      </c>
      <c r="E100" s="179">
        <v>0</v>
      </c>
      <c r="F100" s="80">
        <f t="shared" si="23"/>
        <v>0</v>
      </c>
      <c r="G100" s="179">
        <v>0</v>
      </c>
      <c r="H100" s="80">
        <f t="shared" si="24"/>
        <v>0</v>
      </c>
      <c r="I100" s="179">
        <v>0</v>
      </c>
      <c r="J100" s="80">
        <f t="shared" si="25"/>
        <v>0</v>
      </c>
      <c r="K100" s="179">
        <v>0</v>
      </c>
      <c r="L100" s="80">
        <f t="shared" si="26"/>
        <v>0</v>
      </c>
      <c r="M100" s="179">
        <v>0</v>
      </c>
      <c r="N100" s="80">
        <f t="shared" si="27"/>
        <v>0</v>
      </c>
      <c r="O100" s="179">
        <v>0</v>
      </c>
      <c r="P100" s="80">
        <f t="shared" si="28"/>
        <v>0</v>
      </c>
      <c r="Q100" s="179">
        <v>0</v>
      </c>
      <c r="R100" s="80">
        <f t="shared" si="29"/>
        <v>0</v>
      </c>
      <c r="S100" s="179">
        <v>0</v>
      </c>
      <c r="T100" s="80">
        <f t="shared" si="30"/>
        <v>0</v>
      </c>
      <c r="U100" s="179">
        <v>0</v>
      </c>
      <c r="V100" s="80">
        <f t="shared" si="31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2"/>
        <v>0</v>
      </c>
      <c r="E101" s="179"/>
      <c r="F101" s="80">
        <f t="shared" si="23"/>
        <v>0</v>
      </c>
      <c r="G101" s="179"/>
      <c r="H101" s="80">
        <f t="shared" si="24"/>
        <v>0</v>
      </c>
      <c r="I101" s="179">
        <v>0</v>
      </c>
      <c r="J101" s="80">
        <f t="shared" si="25"/>
        <v>0</v>
      </c>
      <c r="K101" s="179">
        <v>0</v>
      </c>
      <c r="L101" s="80">
        <f t="shared" si="26"/>
        <v>0</v>
      </c>
      <c r="M101" s="179">
        <v>0</v>
      </c>
      <c r="N101" s="80">
        <f t="shared" si="27"/>
        <v>0</v>
      </c>
      <c r="O101" s="179">
        <v>0</v>
      </c>
      <c r="P101" s="80">
        <f t="shared" si="28"/>
        <v>0</v>
      </c>
      <c r="Q101" s="179">
        <v>0</v>
      </c>
      <c r="R101" s="80">
        <f t="shared" si="29"/>
        <v>0</v>
      </c>
      <c r="S101" s="179">
        <v>0</v>
      </c>
      <c r="T101" s="80">
        <f t="shared" si="30"/>
        <v>0</v>
      </c>
      <c r="U101" s="179">
        <v>0</v>
      </c>
      <c r="V101" s="80">
        <f t="shared" si="31"/>
        <v>0</v>
      </c>
      <c r="X101" s="200"/>
    </row>
    <row r="102" spans="1:24" ht="12.75" customHeight="1">
      <c r="A102" s="117" t="s">
        <v>433</v>
      </c>
      <c r="B102" s="35"/>
      <c r="C102" s="179">
        <v>14277.6108</v>
      </c>
      <c r="D102" s="80">
        <f t="shared" si="22"/>
        <v>1.0000000000000002E-2</v>
      </c>
      <c r="E102" s="179">
        <v>15629.999999999998</v>
      </c>
      <c r="F102" s="80">
        <f t="shared" si="23"/>
        <v>9.9999999999999985E-3</v>
      </c>
      <c r="G102" s="179">
        <v>15942.6</v>
      </c>
      <c r="H102" s="80">
        <f t="shared" si="24"/>
        <v>0.01</v>
      </c>
      <c r="I102" s="179">
        <v>16261.452000000001</v>
      </c>
      <c r="J102" s="80">
        <f t="shared" si="25"/>
        <v>0.01</v>
      </c>
      <c r="K102" s="179">
        <v>16586.681039999999</v>
      </c>
      <c r="L102" s="80">
        <f t="shared" si="26"/>
        <v>0.01</v>
      </c>
      <c r="M102" s="179">
        <v>16918.414660800001</v>
      </c>
      <c r="N102" s="80">
        <f t="shared" si="27"/>
        <v>0.01</v>
      </c>
      <c r="O102" s="179">
        <v>17256.782954016006</v>
      </c>
      <c r="P102" s="80">
        <f t="shared" si="28"/>
        <v>1.0000000000000002E-2</v>
      </c>
      <c r="Q102" s="179">
        <v>17601.918613096324</v>
      </c>
      <c r="R102" s="80">
        <f t="shared" si="29"/>
        <v>1.0000000000000002E-2</v>
      </c>
      <c r="S102" s="179">
        <v>17953.956985358251</v>
      </c>
      <c r="T102" s="80">
        <f t="shared" si="30"/>
        <v>0.01</v>
      </c>
      <c r="U102" s="179">
        <v>18313.036125065413</v>
      </c>
      <c r="V102" s="80">
        <f t="shared" si="31"/>
        <v>0.01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2"/>
        <v>0</v>
      </c>
      <c r="E103" s="179">
        <v>0</v>
      </c>
      <c r="F103" s="80">
        <f t="shared" si="23"/>
        <v>0</v>
      </c>
      <c r="G103" s="179">
        <v>0</v>
      </c>
      <c r="H103" s="80">
        <f t="shared" si="24"/>
        <v>0</v>
      </c>
      <c r="I103" s="179">
        <v>0</v>
      </c>
      <c r="J103" s="80">
        <f t="shared" si="25"/>
        <v>0</v>
      </c>
      <c r="K103" s="179">
        <v>0</v>
      </c>
      <c r="L103" s="80">
        <f t="shared" si="26"/>
        <v>0</v>
      </c>
      <c r="M103" s="179">
        <v>0</v>
      </c>
      <c r="N103" s="80">
        <f t="shared" si="27"/>
        <v>0</v>
      </c>
      <c r="O103" s="179">
        <v>0</v>
      </c>
      <c r="P103" s="80">
        <f t="shared" si="28"/>
        <v>0</v>
      </c>
      <c r="Q103" s="179">
        <v>0</v>
      </c>
      <c r="R103" s="80">
        <f t="shared" si="29"/>
        <v>0</v>
      </c>
      <c r="S103" s="179">
        <v>0</v>
      </c>
      <c r="T103" s="80">
        <f t="shared" si="30"/>
        <v>0</v>
      </c>
      <c r="U103" s="179">
        <v>0</v>
      </c>
      <c r="V103" s="80">
        <f t="shared" si="31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2"/>
        <v>0</v>
      </c>
      <c r="E104" s="179">
        <v>0</v>
      </c>
      <c r="F104" s="80">
        <f t="shared" si="23"/>
        <v>0</v>
      </c>
      <c r="G104" s="179">
        <v>0</v>
      </c>
      <c r="H104" s="80">
        <f t="shared" si="24"/>
        <v>0</v>
      </c>
      <c r="I104" s="179">
        <v>0</v>
      </c>
      <c r="J104" s="80">
        <f t="shared" si="25"/>
        <v>0</v>
      </c>
      <c r="K104" s="179">
        <v>0</v>
      </c>
      <c r="L104" s="80">
        <f t="shared" si="26"/>
        <v>0</v>
      </c>
      <c r="M104" s="179">
        <v>0</v>
      </c>
      <c r="N104" s="80">
        <f t="shared" si="27"/>
        <v>0</v>
      </c>
      <c r="O104" s="179">
        <v>0</v>
      </c>
      <c r="P104" s="80">
        <f t="shared" si="28"/>
        <v>0</v>
      </c>
      <c r="Q104" s="179">
        <v>0</v>
      </c>
      <c r="R104" s="80">
        <f t="shared" si="29"/>
        <v>0</v>
      </c>
      <c r="S104" s="179">
        <v>0</v>
      </c>
      <c r="T104" s="80">
        <f t="shared" si="30"/>
        <v>0</v>
      </c>
      <c r="U104" s="179">
        <v>0</v>
      </c>
      <c r="V104" s="80">
        <f t="shared" si="31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247816.05575071494</v>
      </c>
      <c r="D105" s="83">
        <f t="shared" ref="D105" si="32">IFERROR(C105/C$28,0)</f>
        <v>0.17356969539379444</v>
      </c>
      <c r="E105" s="82">
        <f>SUM(E52:E104)</f>
        <v>261981.29581883416</v>
      </c>
      <c r="F105" s="83">
        <f t="shared" ref="F105" si="33">IFERROR(E105/E$28,0)</f>
        <v>0.16761439271838399</v>
      </c>
      <c r="G105" s="82">
        <f>SUM(G52:G104)</f>
        <v>269240.51780999673</v>
      </c>
      <c r="H105" s="83">
        <f t="shared" ref="H105" si="34">IFERROR(G105/G$28,0)</f>
        <v>0.16888118488201218</v>
      </c>
      <c r="I105" s="82">
        <f>SUM(I52:I104)</f>
        <v>274661.64509497327</v>
      </c>
      <c r="J105" s="83">
        <f t="shared" ref="J105" si="35">IFERROR(I105/I$28,0)</f>
        <v>0.16890351802223644</v>
      </c>
      <c r="K105" s="82">
        <f>SUM(K52:K104)</f>
        <v>280064.11350150523</v>
      </c>
      <c r="L105" s="83">
        <f t="shared" ref="L105" si="36">IFERROR(K105/K$28,0)</f>
        <v>0.16884879670990843</v>
      </c>
      <c r="M105" s="82">
        <f>SUM(M52:M104)</f>
        <v>285714.12129874184</v>
      </c>
      <c r="N105" s="83">
        <f t="shared" ref="N105" si="37">IFERROR(M105/M$28,0)</f>
        <v>0.16887759700129706</v>
      </c>
      <c r="O105" s="82">
        <f>SUM(O52:O104)</f>
        <v>291479.39746397326</v>
      </c>
      <c r="P105" s="83">
        <f t="shared" ref="P105" si="38">IFERROR(O105/O$28,0)</f>
        <v>0.16890714696978912</v>
      </c>
      <c r="Q105" s="82">
        <f>SUM(Q52:Q104)</f>
        <v>297361.77671104897</v>
      </c>
      <c r="R105" s="83">
        <f t="shared" ref="R105" si="39">IFERROR(Q105/Q$28,0)</f>
        <v>0.16893713875588737</v>
      </c>
      <c r="S105" s="82">
        <f>SUM(S52:S104)</f>
        <v>303363.14360291243</v>
      </c>
      <c r="T105" s="83">
        <f t="shared" ref="T105" si="40">IFERROR(S105/S$28,0)</f>
        <v>0.16896728885465756</v>
      </c>
      <c r="U105" s="82">
        <f>SUM(U52:U104)</f>
        <v>310090.83196168696</v>
      </c>
      <c r="V105" s="83">
        <f t="shared" si="31"/>
        <v>0.16932792020065943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363565.08264928486</v>
      </c>
      <c r="D107" s="83">
        <f>IFERROR(C107/C$28,0)</f>
        <v>0.25464000086715133</v>
      </c>
      <c r="E107" s="82">
        <f>E28-E33-E46-E105</f>
        <v>407010.44900316588</v>
      </c>
      <c r="F107" s="83">
        <f>IFERROR(E107/E$28,0)</f>
        <v>0.26040335828737421</v>
      </c>
      <c r="G107" s="82">
        <f>G28-G33-G46-G105</f>
        <v>407919.83585127327</v>
      </c>
      <c r="H107" s="83">
        <f>IFERROR(G107/G$28,0)</f>
        <v>0.25586782322285778</v>
      </c>
      <c r="I107" s="82">
        <f>I28-I33-I46-I105</f>
        <v>411658.415433791</v>
      </c>
      <c r="J107" s="83">
        <f>IFERROR(I107/I$28,0)</f>
        <v>0.25314985121487982</v>
      </c>
      <c r="K107" s="82">
        <f>K28-K33-K46-K105</f>
        <v>417885.05486047827</v>
      </c>
      <c r="L107" s="83">
        <f>IFERROR(K107/K$28,0)</f>
        <v>0.25194012825876244</v>
      </c>
      <c r="M107" s="82">
        <f>M28-M33-M46-M105</f>
        <v>424044.30471869145</v>
      </c>
      <c r="N107" s="83">
        <f>IFERROR(M107/M$28,0)</f>
        <v>0.25064068544271045</v>
      </c>
      <c r="O107" s="82">
        <f>O28-O33-O46-O105</f>
        <v>430270.72821922379</v>
      </c>
      <c r="P107" s="83">
        <f>IFERROR(O107/O$28,0)</f>
        <v>0.24933426430972819</v>
      </c>
      <c r="Q107" s="82">
        <f>Q28-Q33-Q46-Q105</f>
        <v>436564.79590986267</v>
      </c>
      <c r="R107" s="83">
        <f>IFERROR(Q107/Q$28,0)</f>
        <v>0.24802114218676491</v>
      </c>
      <c r="S107" s="82">
        <f>S28-S33-S46-S105</f>
        <v>442926.94100506918</v>
      </c>
      <c r="T107" s="83">
        <f>IFERROR(S107/S$28,0)</f>
        <v>0.24670157189653705</v>
      </c>
      <c r="U107" s="82">
        <f>U28-U33-U46-U105</f>
        <v>448752.15938647231</v>
      </c>
      <c r="V107" s="83">
        <f>IFERROR(U107/U$28,0)</f>
        <v>0.24504519967186458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1">IFERROR(C111/C$28,0)</f>
        <v>0</v>
      </c>
      <c r="E111" s="79">
        <f>E59</f>
        <v>0</v>
      </c>
      <c r="F111" s="80">
        <f t="shared" ref="F111:F116" si="42">IFERROR(E111/E$28,0)</f>
        <v>0</v>
      </c>
      <c r="G111" s="79">
        <f>G59</f>
        <v>0</v>
      </c>
      <c r="H111" s="80">
        <f t="shared" ref="H111:H116" si="43">IFERROR(G111/G$28,0)</f>
        <v>0</v>
      </c>
      <c r="I111" s="79">
        <f>I59</f>
        <v>0</v>
      </c>
      <c r="J111" s="80">
        <f t="shared" ref="J111:J116" si="44">IFERROR(I111/I$28,0)</f>
        <v>0</v>
      </c>
      <c r="K111" s="79">
        <f>K59</f>
        <v>0</v>
      </c>
      <c r="L111" s="80">
        <f t="shared" ref="L111:L116" si="45">IFERROR(K111/K$28,0)</f>
        <v>0</v>
      </c>
      <c r="M111" s="79">
        <f>M59</f>
        <v>0</v>
      </c>
      <c r="N111" s="80">
        <f t="shared" ref="N111:N116" si="46">IFERROR(M111/M$28,0)</f>
        <v>0</v>
      </c>
      <c r="O111" s="79">
        <f>O59</f>
        <v>0</v>
      </c>
      <c r="P111" s="80">
        <f t="shared" ref="P111:P116" si="47">IFERROR(O111/O$28,0)</f>
        <v>0</v>
      </c>
      <c r="Q111" s="79">
        <f>Q59</f>
        <v>0</v>
      </c>
      <c r="R111" s="80">
        <f t="shared" ref="R111:R116" si="48">IFERROR(Q111/Q$28,0)</f>
        <v>0</v>
      </c>
      <c r="S111" s="79">
        <f>S59</f>
        <v>0</v>
      </c>
      <c r="T111" s="80">
        <f t="shared" ref="T111:T116" si="49">IFERROR(S111/S$28,0)</f>
        <v>0</v>
      </c>
      <c r="U111" s="79">
        <f>U59</f>
        <v>0</v>
      </c>
      <c r="V111" s="80">
        <f t="shared" ref="V111:V116" si="50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1"/>
        <v>0</v>
      </c>
      <c r="E112" s="79">
        <f>E62</f>
        <v>0</v>
      </c>
      <c r="F112" s="80">
        <f t="shared" si="42"/>
        <v>0</v>
      </c>
      <c r="G112" s="79">
        <f>G62</f>
        <v>0</v>
      </c>
      <c r="H112" s="80">
        <f t="shared" si="43"/>
        <v>0</v>
      </c>
      <c r="I112" s="79">
        <f>I62</f>
        <v>0</v>
      </c>
      <c r="J112" s="80">
        <f t="shared" si="44"/>
        <v>0</v>
      </c>
      <c r="K112" s="79">
        <f>K62</f>
        <v>0</v>
      </c>
      <c r="L112" s="80">
        <f t="shared" si="45"/>
        <v>0</v>
      </c>
      <c r="M112" s="79">
        <f>M62</f>
        <v>0</v>
      </c>
      <c r="N112" s="80">
        <f t="shared" si="46"/>
        <v>0</v>
      </c>
      <c r="O112" s="79">
        <f>O62</f>
        <v>0</v>
      </c>
      <c r="P112" s="80">
        <f t="shared" si="47"/>
        <v>0</v>
      </c>
      <c r="Q112" s="79">
        <f>Q62</f>
        <v>0</v>
      </c>
      <c r="R112" s="80">
        <f t="shared" si="48"/>
        <v>0</v>
      </c>
      <c r="S112" s="79">
        <f>S62</f>
        <v>0</v>
      </c>
      <c r="T112" s="80">
        <f t="shared" si="49"/>
        <v>0</v>
      </c>
      <c r="U112" s="79">
        <f>U62</f>
        <v>0</v>
      </c>
      <c r="V112" s="80">
        <f t="shared" si="50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1"/>
        <v>0</v>
      </c>
      <c r="E113" s="111">
        <v>0</v>
      </c>
      <c r="F113" s="80">
        <f t="shared" si="42"/>
        <v>0</v>
      </c>
      <c r="G113" s="111">
        <v>0</v>
      </c>
      <c r="H113" s="80">
        <f t="shared" si="43"/>
        <v>0</v>
      </c>
      <c r="I113" s="111">
        <v>0</v>
      </c>
      <c r="J113" s="80">
        <f t="shared" si="44"/>
        <v>0</v>
      </c>
      <c r="K113" s="111">
        <v>0</v>
      </c>
      <c r="L113" s="80">
        <f t="shared" si="45"/>
        <v>0</v>
      </c>
      <c r="M113" s="111">
        <v>0</v>
      </c>
      <c r="N113" s="80">
        <f t="shared" si="46"/>
        <v>0</v>
      </c>
      <c r="O113" s="111">
        <v>0</v>
      </c>
      <c r="P113" s="80">
        <f t="shared" si="47"/>
        <v>0</v>
      </c>
      <c r="Q113" s="111">
        <v>0</v>
      </c>
      <c r="R113" s="80">
        <f t="shared" si="48"/>
        <v>0</v>
      </c>
      <c r="S113" s="111">
        <v>0</v>
      </c>
      <c r="T113" s="80">
        <f t="shared" si="49"/>
        <v>0</v>
      </c>
      <c r="U113" s="111">
        <v>0</v>
      </c>
      <c r="V113" s="80">
        <f t="shared" si="50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1"/>
        <v>0</v>
      </c>
      <c r="E114" s="111">
        <v>0</v>
      </c>
      <c r="F114" s="80">
        <f t="shared" si="42"/>
        <v>0</v>
      </c>
      <c r="G114" s="111">
        <v>0</v>
      </c>
      <c r="H114" s="80">
        <f t="shared" si="43"/>
        <v>0</v>
      </c>
      <c r="I114" s="111">
        <v>0</v>
      </c>
      <c r="J114" s="80">
        <f t="shared" si="44"/>
        <v>0</v>
      </c>
      <c r="K114" s="111">
        <v>0</v>
      </c>
      <c r="L114" s="80">
        <f t="shared" si="45"/>
        <v>0</v>
      </c>
      <c r="M114" s="111">
        <v>0</v>
      </c>
      <c r="N114" s="80">
        <f t="shared" si="46"/>
        <v>0</v>
      </c>
      <c r="O114" s="111">
        <v>0</v>
      </c>
      <c r="P114" s="80">
        <f t="shared" si="47"/>
        <v>0</v>
      </c>
      <c r="Q114" s="111">
        <v>0</v>
      </c>
      <c r="R114" s="80">
        <f t="shared" si="48"/>
        <v>0</v>
      </c>
      <c r="S114" s="111">
        <v>0</v>
      </c>
      <c r="T114" s="80">
        <f t="shared" si="49"/>
        <v>0</v>
      </c>
      <c r="U114" s="111">
        <v>0</v>
      </c>
      <c r="V114" s="80">
        <f t="shared" si="50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1"/>
        <v>0</v>
      </c>
      <c r="E115" s="112">
        <v>0</v>
      </c>
      <c r="F115" s="80">
        <f t="shared" si="42"/>
        <v>0</v>
      </c>
      <c r="G115" s="112">
        <v>0</v>
      </c>
      <c r="H115" s="80">
        <f t="shared" si="43"/>
        <v>0</v>
      </c>
      <c r="I115" s="112">
        <v>0</v>
      </c>
      <c r="J115" s="80">
        <f t="shared" si="44"/>
        <v>0</v>
      </c>
      <c r="K115" s="112">
        <v>0</v>
      </c>
      <c r="L115" s="80">
        <f t="shared" si="45"/>
        <v>0</v>
      </c>
      <c r="M115" s="112">
        <v>0</v>
      </c>
      <c r="N115" s="80">
        <f t="shared" si="46"/>
        <v>0</v>
      </c>
      <c r="O115" s="112">
        <v>0</v>
      </c>
      <c r="P115" s="80">
        <f t="shared" si="47"/>
        <v>0</v>
      </c>
      <c r="Q115" s="112">
        <v>0</v>
      </c>
      <c r="R115" s="80">
        <f t="shared" si="48"/>
        <v>0</v>
      </c>
      <c r="S115" s="112">
        <v>0</v>
      </c>
      <c r="T115" s="80">
        <f t="shared" si="49"/>
        <v>0</v>
      </c>
      <c r="U115" s="112">
        <v>0</v>
      </c>
      <c r="V115" s="80">
        <f t="shared" si="50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1"/>
        <v>0</v>
      </c>
      <c r="E116" s="85">
        <f>SUM(E111:E115)</f>
        <v>0</v>
      </c>
      <c r="F116" s="83">
        <f t="shared" si="42"/>
        <v>0</v>
      </c>
      <c r="G116" s="85">
        <f>SUM(G111:G115)</f>
        <v>0</v>
      </c>
      <c r="H116" s="83">
        <f t="shared" si="43"/>
        <v>0</v>
      </c>
      <c r="I116" s="85">
        <f>SUM(I111:I115)</f>
        <v>0</v>
      </c>
      <c r="J116" s="83">
        <f t="shared" si="44"/>
        <v>0</v>
      </c>
      <c r="K116" s="85">
        <f>SUM(K111:K115)</f>
        <v>0</v>
      </c>
      <c r="L116" s="83">
        <f t="shared" si="45"/>
        <v>0</v>
      </c>
      <c r="M116" s="85">
        <f>SUM(M111:M115)</f>
        <v>0</v>
      </c>
      <c r="N116" s="83">
        <f t="shared" si="46"/>
        <v>0</v>
      </c>
      <c r="O116" s="85">
        <f>SUM(O111:O115)</f>
        <v>0</v>
      </c>
      <c r="P116" s="83">
        <f t="shared" si="47"/>
        <v>0</v>
      </c>
      <c r="Q116" s="85">
        <f>SUM(Q111:Q115)</f>
        <v>0</v>
      </c>
      <c r="R116" s="83">
        <f t="shared" si="48"/>
        <v>0</v>
      </c>
      <c r="S116" s="85">
        <f>SUM(S111:S115)</f>
        <v>0</v>
      </c>
      <c r="T116" s="83">
        <f t="shared" si="49"/>
        <v>0</v>
      </c>
      <c r="U116" s="85">
        <f>SUM(U111:U115)</f>
        <v>0</v>
      </c>
      <c r="V116" s="83">
        <f t="shared" si="50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7" tint="0.59999389629810485"/>
  </sheetPr>
  <dimension ref="A1:X119"/>
  <sheetViews>
    <sheetView topLeftCell="A31" zoomScale="70" zoomScaleNormal="70" workbookViewId="0" xr3:uid="{94BC7849-1D55-59FD-A4A3-F33B65D9F6CB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40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48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Starbucks (Mango)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285</v>
      </c>
      <c r="E8" s="109">
        <f>+C8</f>
        <v>285</v>
      </c>
      <c r="G8" s="109">
        <f>+E8</f>
        <v>285</v>
      </c>
      <c r="I8" s="109">
        <f>+G8</f>
        <v>285</v>
      </c>
      <c r="K8" s="109">
        <f>+I8</f>
        <v>285</v>
      </c>
      <c r="M8" s="109">
        <f>+K8</f>
        <v>285</v>
      </c>
      <c r="O8" s="109">
        <f>+M8</f>
        <v>285</v>
      </c>
      <c r="Q8" s="109">
        <f>+O8</f>
        <v>285</v>
      </c>
      <c r="S8" s="109">
        <f>+Q8</f>
        <v>285</v>
      </c>
      <c r="U8" s="109">
        <f>+S8</f>
        <v>285</v>
      </c>
    </row>
    <row r="10" spans="1:22" ht="12.75" customHeight="1">
      <c r="A10" s="2" t="s">
        <v>449</v>
      </c>
      <c r="C10" s="209">
        <f>+C14/C8/C12</f>
        <v>636</v>
      </c>
      <c r="D10" s="186"/>
      <c r="E10" s="209">
        <f>+E14/E8/E12</f>
        <v>693.47597669309391</v>
      </c>
      <c r="F10" s="186"/>
      <c r="G10" s="209">
        <f>+G14/G8/G12</f>
        <v>703.51510545316353</v>
      </c>
      <c r="H10" s="186"/>
      <c r="I10" s="209">
        <f>+I14/I8/I12</f>
        <v>713.72049513370496</v>
      </c>
      <c r="J10" s="186"/>
      <c r="K10" s="209">
        <f>+K14/K8/K12</f>
        <v>724.09493233082719</v>
      </c>
      <c r="L10" s="186"/>
      <c r="M10" s="209">
        <f>+M14/M8/M12</f>
        <v>734.64125283724422</v>
      </c>
      <c r="N10" s="186"/>
      <c r="O10" s="209">
        <f>+O14/O8/O12</f>
        <v>745.36234249879124</v>
      </c>
      <c r="P10" s="186"/>
      <c r="Q10" s="209">
        <f>+Q14/Q8/Q12</f>
        <v>756.26113808682283</v>
      </c>
      <c r="R10" s="186"/>
      <c r="S10" s="209">
        <f>+S14/S8/S12</f>
        <v>767.34062818676625</v>
      </c>
      <c r="T10" s="186"/>
      <c r="U10" s="209">
        <f>+U14/U8/U12</f>
        <v>778.60385410310766</v>
      </c>
    </row>
    <row r="12" spans="1:22" ht="12.75" customHeight="1">
      <c r="A12" s="2" t="s">
        <v>450</v>
      </c>
      <c r="C12" s="110">
        <v>5.49</v>
      </c>
      <c r="E12" s="110">
        <v>5.51</v>
      </c>
      <c r="G12" s="110">
        <v>5.54</v>
      </c>
      <c r="I12" s="110">
        <v>5.57</v>
      </c>
      <c r="K12" s="110">
        <v>5.6</v>
      </c>
      <c r="M12" s="110">
        <v>5.63</v>
      </c>
      <c r="O12" s="110">
        <v>5.66</v>
      </c>
      <c r="Q12" s="110">
        <v>5.69</v>
      </c>
      <c r="S12" s="110">
        <v>5.72</v>
      </c>
      <c r="U12" s="110">
        <v>5.75</v>
      </c>
    </row>
    <row r="14" spans="1:22" ht="12.75" customHeight="1">
      <c r="A14" s="2" t="s">
        <v>451</v>
      </c>
      <c r="C14" s="206">
        <v>995117.4</v>
      </c>
      <c r="D14" s="12"/>
      <c r="E14" s="206">
        <v>1089000</v>
      </c>
      <c r="F14" s="12"/>
      <c r="G14" s="206">
        <f>+E14*1.02</f>
        <v>1110780</v>
      </c>
      <c r="H14" s="12"/>
      <c r="I14" s="206">
        <f>+G14*1.02</f>
        <v>1132995.6000000001</v>
      </c>
      <c r="J14" s="12"/>
      <c r="K14" s="206">
        <f>+I14*1.02</f>
        <v>1155655.5120000001</v>
      </c>
      <c r="L14" s="12"/>
      <c r="M14" s="206">
        <f>+K14*1.02</f>
        <v>1178768.6222400002</v>
      </c>
      <c r="N14" s="12"/>
      <c r="O14" s="206">
        <f>+M14*1.02</f>
        <v>1202343.9946848003</v>
      </c>
      <c r="P14" s="12"/>
      <c r="Q14" s="206">
        <f>+O14*1.02</f>
        <v>1226390.8745784962</v>
      </c>
      <c r="R14" s="12"/>
      <c r="S14" s="206">
        <f>+Q14*1.02</f>
        <v>1250918.6920700662</v>
      </c>
      <c r="T14" s="12"/>
      <c r="U14" s="206">
        <f>+S14*1.02</f>
        <v>1275937.0659114677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4">
        <f>+C14-C20</f>
        <v>871921.86588000006</v>
      </c>
      <c r="D19" s="80">
        <f>IFERROR(C19/C$28,0)</f>
        <v>0.87620000000000009</v>
      </c>
      <c r="E19" s="204">
        <f>+E14-E20</f>
        <v>508889.69999999995</v>
      </c>
      <c r="F19" s="80">
        <f>IFERROR(E19/E$28,0)</f>
        <v>0.46729999999999994</v>
      </c>
      <c r="G19" s="204">
        <f>+G14-G20</f>
        <v>519067.49399999995</v>
      </c>
      <c r="H19" s="80">
        <f>IFERROR(G19/G$28,0)</f>
        <v>0.46729999999999994</v>
      </c>
      <c r="I19" s="204">
        <f>+I14-I20</f>
        <v>529448.84388000006</v>
      </c>
      <c r="J19" s="80">
        <f>IFERROR(I19/I$28,0)</f>
        <v>0.46729999999999999</v>
      </c>
      <c r="K19" s="204">
        <f>+K14-K20</f>
        <v>540037.82075760001</v>
      </c>
      <c r="L19" s="80">
        <f>IFERROR(K19/K$28,0)</f>
        <v>0.46729999999999999</v>
      </c>
      <c r="M19" s="204">
        <f>+M14-M20</f>
        <v>550838.57717275212</v>
      </c>
      <c r="N19" s="80">
        <f>IFERROR(M19/M$28,0)</f>
        <v>0.46730000000000005</v>
      </c>
      <c r="O19" s="204">
        <f>+O14-O20</f>
        <v>561855.3487162072</v>
      </c>
      <c r="P19" s="80">
        <f>IFERROR(O19/O$28,0)</f>
        <v>0.46730000000000005</v>
      </c>
      <c r="Q19" s="204">
        <f>+Q14-Q20</f>
        <v>573092.45569053129</v>
      </c>
      <c r="R19" s="80">
        <f>IFERROR(Q19/Q$28,0)</f>
        <v>0.46729999999999999</v>
      </c>
      <c r="S19" s="204">
        <f>+S14-S20</f>
        <v>584554.30480434198</v>
      </c>
      <c r="T19" s="80">
        <f>IFERROR(S19/S$28,0)</f>
        <v>0.46730000000000005</v>
      </c>
      <c r="U19" s="204">
        <f>+U14-U20</f>
        <v>596245.39090042887</v>
      </c>
      <c r="V19" s="80">
        <f>IFERROR(U19/U$28,0)</f>
        <v>0.46730000000000005</v>
      </c>
    </row>
    <row r="20" spans="1:24" ht="12.75" customHeight="1">
      <c r="A20" s="2" t="s">
        <v>357</v>
      </c>
      <c r="B20" s="35"/>
      <c r="C20" s="111">
        <f>+C14*12.38%</f>
        <v>123195.53412000001</v>
      </c>
      <c r="D20" s="80">
        <f>IFERROR(C20/C$28,0)</f>
        <v>0.12380000000000001</v>
      </c>
      <c r="E20" s="111">
        <f>+E14*53.27%</f>
        <v>580110.30000000005</v>
      </c>
      <c r="F20" s="80">
        <f>IFERROR(E20/E$28,0)</f>
        <v>0.53270000000000006</v>
      </c>
      <c r="G20" s="111">
        <f t="shared" ref="G20:U21" si="0">E20*1.02</f>
        <v>591712.50600000005</v>
      </c>
      <c r="H20" s="80">
        <f>IFERROR(G20/G$28,0)</f>
        <v>0.53270000000000006</v>
      </c>
      <c r="I20" s="111">
        <f t="shared" si="0"/>
        <v>603546.75612000003</v>
      </c>
      <c r="J20" s="80">
        <f>IFERROR(I20/I$28,0)</f>
        <v>0.53269999999999995</v>
      </c>
      <c r="K20" s="111">
        <f t="shared" si="0"/>
        <v>615617.69124240009</v>
      </c>
      <c r="L20" s="80">
        <f>IFERROR(K20/K$28,0)</f>
        <v>0.53270000000000006</v>
      </c>
      <c r="M20" s="111">
        <f t="shared" si="0"/>
        <v>627930.04506724805</v>
      </c>
      <c r="N20" s="80">
        <f>IFERROR(M20/M$28,0)</f>
        <v>0.53269999999999995</v>
      </c>
      <c r="O20" s="111">
        <f t="shared" si="0"/>
        <v>640488.64596859307</v>
      </c>
      <c r="P20" s="80">
        <f>IFERROR(O20/O$28,0)</f>
        <v>0.53269999999999995</v>
      </c>
      <c r="Q20" s="111">
        <f t="shared" si="0"/>
        <v>653298.41888796492</v>
      </c>
      <c r="R20" s="80">
        <f>IFERROR(Q20/Q$28,0)</f>
        <v>0.53269999999999995</v>
      </c>
      <c r="S20" s="111">
        <f t="shared" si="0"/>
        <v>666364.38726572425</v>
      </c>
      <c r="T20" s="80">
        <f>IFERROR(S20/S$28,0)</f>
        <v>0.53269999999999995</v>
      </c>
      <c r="U20" s="111">
        <f t="shared" si="0"/>
        <v>679691.67501103878</v>
      </c>
      <c r="V20" s="80">
        <f>IFERROR(U20/U$28,0)</f>
        <v>0.53269999999999995</v>
      </c>
    </row>
    <row r="21" spans="1:24" ht="12.75" customHeight="1">
      <c r="A21" s="2" t="s">
        <v>358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364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365</v>
      </c>
      <c r="B28" s="53"/>
      <c r="C28" s="82">
        <f>SUM(C19:C27)</f>
        <v>995117.4</v>
      </c>
      <c r="D28" s="83">
        <f t="shared" si="1"/>
        <v>1</v>
      </c>
      <c r="E28" s="82">
        <f>SUM(E19:E27)</f>
        <v>1089000</v>
      </c>
      <c r="F28" s="83">
        <f t="shared" si="2"/>
        <v>1</v>
      </c>
      <c r="G28" s="82">
        <f>SUM(G19:G27)</f>
        <v>1110780</v>
      </c>
      <c r="H28" s="83">
        <f t="shared" si="3"/>
        <v>1</v>
      </c>
      <c r="I28" s="82">
        <f>SUM(I19:I27)</f>
        <v>1132995.6000000001</v>
      </c>
      <c r="J28" s="83">
        <f t="shared" si="4"/>
        <v>1</v>
      </c>
      <c r="K28" s="82">
        <f>SUM(K19:K27)</f>
        <v>1155655.5120000001</v>
      </c>
      <c r="L28" s="83">
        <f t="shared" si="5"/>
        <v>1</v>
      </c>
      <c r="M28" s="82">
        <f>SUM(M19:M27)</f>
        <v>1178768.6222400002</v>
      </c>
      <c r="N28" s="83">
        <f t="shared" si="6"/>
        <v>1</v>
      </c>
      <c r="O28" s="82">
        <f>SUM(O19:O27)</f>
        <v>1202343.9946848003</v>
      </c>
      <c r="P28" s="83">
        <f t="shared" si="7"/>
        <v>1</v>
      </c>
      <c r="Q28" s="82">
        <f>SUM(Q19:Q27)</f>
        <v>1226390.8745784962</v>
      </c>
      <c r="R28" s="83">
        <f t="shared" si="8"/>
        <v>1</v>
      </c>
      <c r="S28" s="82">
        <f>SUM(S19:S27)</f>
        <v>1250918.6920700662</v>
      </c>
      <c r="T28" s="83">
        <f t="shared" si="9"/>
        <v>1</v>
      </c>
      <c r="U28" s="82">
        <f>SUM(U19:U27)</f>
        <v>1275937.0659114677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0.33500000000000002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333364.32900000003</v>
      </c>
      <c r="D31" s="80">
        <f>IFERROR(C31/C$28,0)</f>
        <v>0.33500000000000002</v>
      </c>
      <c r="E31" s="179">
        <f>$C$30*E14</f>
        <v>364815</v>
      </c>
      <c r="F31" s="80">
        <f>IFERROR(E31/E$28,0)</f>
        <v>0.33500000000000002</v>
      </c>
      <c r="G31" s="179">
        <f>$C$30*G14</f>
        <v>372111.30000000005</v>
      </c>
      <c r="H31" s="80">
        <f>IFERROR(G31/G$28,0)</f>
        <v>0.33500000000000002</v>
      </c>
      <c r="I31" s="179">
        <f>$C$30*I14</f>
        <v>379553.52600000007</v>
      </c>
      <c r="J31" s="80">
        <f>IFERROR(I31/I$28,0)</f>
        <v>0.33500000000000002</v>
      </c>
      <c r="K31" s="179">
        <f>$C$30*K14</f>
        <v>387144.59652000008</v>
      </c>
      <c r="L31" s="80">
        <f>IFERROR(K31/K$28,0)</f>
        <v>0.33500000000000002</v>
      </c>
      <c r="M31" s="179">
        <f>$C$30*M14</f>
        <v>394887.48845040007</v>
      </c>
      <c r="N31" s="80">
        <f>IFERROR(M31/M$28,0)</f>
        <v>0.33500000000000002</v>
      </c>
      <c r="O31" s="179">
        <f>$C$30*O14</f>
        <v>402785.23821940814</v>
      </c>
      <c r="P31" s="80">
        <f>IFERROR(O31/O$28,0)</f>
        <v>0.33500000000000002</v>
      </c>
      <c r="Q31" s="179">
        <f>$C$30*Q14</f>
        <v>410840.94298379624</v>
      </c>
      <c r="R31" s="80">
        <f>IFERROR(Q31/Q$28,0)</f>
        <v>0.33500000000000002</v>
      </c>
      <c r="S31" s="179">
        <f>$C$30*S14</f>
        <v>419057.7618434722</v>
      </c>
      <c r="T31" s="80">
        <f>IFERROR(S31/S$28,0)</f>
        <v>0.33500000000000002</v>
      </c>
      <c r="U31" s="179">
        <f>$C$30*U14</f>
        <v>427438.91708034166</v>
      </c>
      <c r="V31" s="80">
        <f>IFERROR(U31/U$28,0)</f>
        <v>0.33500000000000002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333364.32900000003</v>
      </c>
      <c r="D33" s="83">
        <f>IFERROR(C33/C$28,0)</f>
        <v>0.33500000000000002</v>
      </c>
      <c r="E33" s="82">
        <f>SUM(E31:E32)</f>
        <v>364815</v>
      </c>
      <c r="F33" s="83">
        <f>IFERROR(E33/E$28,0)</f>
        <v>0.33500000000000002</v>
      </c>
      <c r="G33" s="82">
        <f>SUM(G31:G32)</f>
        <v>372111.30000000005</v>
      </c>
      <c r="H33" s="83">
        <f>IFERROR(G33/G$28,0)</f>
        <v>0.33500000000000002</v>
      </c>
      <c r="I33" s="82">
        <f>SUM(I31:I32)</f>
        <v>379553.52600000007</v>
      </c>
      <c r="J33" s="83">
        <f>IFERROR(I33/I$28,0)</f>
        <v>0.33500000000000002</v>
      </c>
      <c r="K33" s="82">
        <f>SUM(K31:K32)</f>
        <v>387144.59652000008</v>
      </c>
      <c r="L33" s="83">
        <f>IFERROR(K33/K$28,0)</f>
        <v>0.33500000000000002</v>
      </c>
      <c r="M33" s="82">
        <f>SUM(M31:M32)</f>
        <v>394887.48845040007</v>
      </c>
      <c r="N33" s="83">
        <f>IFERROR(M33/M$28,0)</f>
        <v>0.33500000000000002</v>
      </c>
      <c r="O33" s="82">
        <f>SUM(O31:O32)</f>
        <v>402785.23821940814</v>
      </c>
      <c r="P33" s="83">
        <f>IFERROR(O33/O$28,0)</f>
        <v>0.33500000000000002</v>
      </c>
      <c r="Q33" s="82">
        <f>SUM(Q31:Q32)</f>
        <v>410840.94298379624</v>
      </c>
      <c r="R33" s="83">
        <f>IFERROR(Q33/Q$28,0)</f>
        <v>0.33500000000000002</v>
      </c>
      <c r="S33" s="82">
        <f>SUM(S31:S32)</f>
        <v>419057.7618434722</v>
      </c>
      <c r="T33" s="83">
        <f>IFERROR(S33/S$28,0)</f>
        <v>0.33500000000000002</v>
      </c>
      <c r="U33" s="82">
        <f>SUM(U31:U32)</f>
        <v>427438.91708034166</v>
      </c>
      <c r="V33" s="83">
        <f>IFERROR(U33/U$28,0)</f>
        <v>0.33500000000000002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/>
      <c r="D36" s="80">
        <f t="shared" ref="D36:D46" si="11">IFERROR(C36/C$28,0)</f>
        <v>0</v>
      </c>
      <c r="E36" s="179"/>
      <c r="F36" s="80">
        <f t="shared" ref="F36:F46" si="12">IFERROR(E36/E$28,0)</f>
        <v>0</v>
      </c>
      <c r="G36" s="179"/>
      <c r="H36" s="80">
        <f t="shared" ref="H36:H46" si="13">IFERROR(G36/G$28,0)</f>
        <v>0</v>
      </c>
      <c r="I36" s="179"/>
      <c r="J36" s="80">
        <f t="shared" ref="J36:J46" si="14">IFERROR(I36/I$28,0)</f>
        <v>0</v>
      </c>
      <c r="K36" s="179"/>
      <c r="L36" s="80">
        <f t="shared" ref="L36:L46" si="15">IFERROR(K36/K$28,0)</f>
        <v>0</v>
      </c>
      <c r="M36" s="179"/>
      <c r="N36" s="80">
        <f t="shared" ref="N36:N46" si="16">IFERROR(M36/M$28,0)</f>
        <v>0</v>
      </c>
      <c r="O36" s="179"/>
      <c r="P36" s="80">
        <f t="shared" ref="P36:P46" si="17">IFERROR(O36/O$28,0)</f>
        <v>0</v>
      </c>
      <c r="Q36" s="179"/>
      <c r="R36" s="80">
        <f t="shared" ref="R36:R46" si="18">IFERROR(Q36/Q$28,0)</f>
        <v>0</v>
      </c>
      <c r="S36" s="179"/>
      <c r="T36" s="80">
        <f t="shared" ref="T36:T46" si="19">IFERROR(S36/S$28,0)</f>
        <v>0</v>
      </c>
      <c r="U36" s="179"/>
      <c r="V36" s="80">
        <f t="shared" ref="V36:V46" si="20">IFERROR(U36/U$28,0)</f>
        <v>0</v>
      </c>
    </row>
    <row r="37" spans="1:22" ht="12.75" customHeight="1">
      <c r="A37" s="2" t="s">
        <v>372</v>
      </c>
      <c r="B37" s="35"/>
      <c r="C37" s="179">
        <v>110898</v>
      </c>
      <c r="D37" s="80">
        <f t="shared" si="11"/>
        <v>0.11144212733090587</v>
      </c>
      <c r="E37" s="179">
        <f>+C37*1.112</f>
        <v>123318.57600000002</v>
      </c>
      <c r="F37" s="80">
        <f t="shared" si="12"/>
        <v>0.11324019834710745</v>
      </c>
      <c r="G37" s="179">
        <f>+E37*1.035</f>
        <v>127634.72616000001</v>
      </c>
      <c r="H37" s="80">
        <f t="shared" si="13"/>
        <v>0.11490549538162373</v>
      </c>
      <c r="I37" s="179">
        <f>+G37*1.032</f>
        <v>131719.03739712</v>
      </c>
      <c r="J37" s="80">
        <f t="shared" si="14"/>
        <v>0.11625732473905459</v>
      </c>
      <c r="K37" s="179">
        <f>+I37*1.025</f>
        <v>135012.01333204799</v>
      </c>
      <c r="L37" s="80">
        <f t="shared" si="15"/>
        <v>0.11682721358581465</v>
      </c>
      <c r="M37" s="179">
        <f>+K37*1.025</f>
        <v>138387.31366534918</v>
      </c>
      <c r="N37" s="80">
        <f t="shared" si="16"/>
        <v>0.11739989600535294</v>
      </c>
      <c r="O37" s="179">
        <f>+M37*1.025</f>
        <v>141846.99650698289</v>
      </c>
      <c r="P37" s="80">
        <f t="shared" si="17"/>
        <v>0.11797538569165367</v>
      </c>
      <c r="Q37" s="179">
        <f>+O37*1.025</f>
        <v>145393.17141965745</v>
      </c>
      <c r="R37" s="80">
        <f t="shared" si="18"/>
        <v>0.11855369640582843</v>
      </c>
      <c r="S37" s="179">
        <f>+Q37*1.025</f>
        <v>149028.00070514888</v>
      </c>
      <c r="T37" s="80">
        <f t="shared" si="19"/>
        <v>0.11913484197644522</v>
      </c>
      <c r="U37" s="179">
        <f>+S37*1.025</f>
        <v>152753.70072277758</v>
      </c>
      <c r="V37" s="80">
        <f t="shared" si="20"/>
        <v>0.11971883629985913</v>
      </c>
    </row>
    <row r="38" spans="1:22" ht="12.75" customHeight="1">
      <c r="A38" s="2" t="s">
        <v>373</v>
      </c>
      <c r="B38" s="35"/>
      <c r="C38" s="179">
        <v>6528</v>
      </c>
      <c r="D38" s="80">
        <f t="shared" si="11"/>
        <v>6.5600300024901579E-3</v>
      </c>
      <c r="E38" s="179">
        <f t="shared" ref="E38:E39" si="21">+C38*1.112</f>
        <v>7259.1360000000004</v>
      </c>
      <c r="F38" s="80">
        <f t="shared" si="12"/>
        <v>6.6658732782369154E-3</v>
      </c>
      <c r="G38" s="179">
        <f>+E38*1.035</f>
        <v>7513.2057599999998</v>
      </c>
      <c r="H38" s="80">
        <f t="shared" si="13"/>
        <v>6.763900826446281E-3</v>
      </c>
      <c r="I38" s="179">
        <f>+G38*1.032</f>
        <v>7753.62834432</v>
      </c>
      <c r="J38" s="80">
        <f t="shared" si="14"/>
        <v>6.843476130286825E-3</v>
      </c>
      <c r="K38" s="179">
        <f>+I38*1.025</f>
        <v>7947.4690529279997</v>
      </c>
      <c r="L38" s="80">
        <f t="shared" si="15"/>
        <v>6.8770225819058776E-3</v>
      </c>
      <c r="M38" s="179">
        <f>+K38*1.025</f>
        <v>8146.1557792511985</v>
      </c>
      <c r="N38" s="80">
        <f t="shared" si="16"/>
        <v>6.9107334769152188E-3</v>
      </c>
      <c r="O38" s="179">
        <f>+M38*1.025</f>
        <v>8349.8096737324777</v>
      </c>
      <c r="P38" s="80">
        <f t="shared" si="17"/>
        <v>6.9446096214099001E-3</v>
      </c>
      <c r="Q38" s="179">
        <f>+O38*1.025</f>
        <v>8558.554915575789</v>
      </c>
      <c r="R38" s="80">
        <f t="shared" si="18"/>
        <v>6.9786518254364186E-3</v>
      </c>
      <c r="S38" s="179">
        <f>+Q38*1.025</f>
        <v>8772.5187884651823</v>
      </c>
      <c r="T38" s="80">
        <f t="shared" si="19"/>
        <v>7.0128609030120862E-3</v>
      </c>
      <c r="U38" s="179">
        <f>+S38*1.025</f>
        <v>8991.8317581768115</v>
      </c>
      <c r="V38" s="80">
        <f t="shared" si="20"/>
        <v>7.0472376721444976E-3</v>
      </c>
    </row>
    <row r="39" spans="1:22" ht="12.75" customHeight="1">
      <c r="A39" s="2" t="s">
        <v>374</v>
      </c>
      <c r="B39" s="35"/>
      <c r="C39" s="179">
        <v>54608</v>
      </c>
      <c r="D39" s="80">
        <f t="shared" si="11"/>
        <v>5.487593725122282E-2</v>
      </c>
      <c r="E39" s="179">
        <f t="shared" si="21"/>
        <v>60724.096000000005</v>
      </c>
      <c r="F39" s="80">
        <f t="shared" si="12"/>
        <v>5.5761337006427922E-2</v>
      </c>
      <c r="G39" s="179">
        <f>+E39*1.035</f>
        <v>62849.439360000004</v>
      </c>
      <c r="H39" s="80">
        <f t="shared" si="13"/>
        <v>5.6581356668287154E-2</v>
      </c>
      <c r="I39" s="179">
        <f>+G39*1.032</f>
        <v>64860.621419520008</v>
      </c>
      <c r="J39" s="80">
        <f t="shared" si="14"/>
        <v>5.7247019687914062E-2</v>
      </c>
      <c r="K39" s="179">
        <f>+I39*1.025</f>
        <v>66482.136955007998</v>
      </c>
      <c r="L39" s="80">
        <f t="shared" si="15"/>
        <v>5.7527642333443041E-2</v>
      </c>
      <c r="M39" s="179">
        <f>+K39*1.025</f>
        <v>68144.190378883199</v>
      </c>
      <c r="N39" s="80">
        <f t="shared" si="16"/>
        <v>5.7809640580175604E-2</v>
      </c>
      <c r="O39" s="179">
        <f>+M39*1.025</f>
        <v>69847.795138355272</v>
      </c>
      <c r="P39" s="80">
        <f t="shared" si="17"/>
        <v>5.8093021171254887E-2</v>
      </c>
      <c r="Q39" s="179">
        <f>+O39*1.025</f>
        <v>71593.990016814147</v>
      </c>
      <c r="R39" s="80">
        <f t="shared" si="18"/>
        <v>5.8377790882878679E-2</v>
      </c>
      <c r="S39" s="179">
        <f>+Q39*1.025</f>
        <v>73383.839767234487</v>
      </c>
      <c r="T39" s="80">
        <f t="shared" si="19"/>
        <v>5.8663956524461401E-2</v>
      </c>
      <c r="U39" s="179">
        <f>+S39*1.025</f>
        <v>75218.435761415341</v>
      </c>
      <c r="V39" s="80">
        <f t="shared" si="20"/>
        <v>5.895152493879699E-2</v>
      </c>
    </row>
    <row r="40" spans="1:22" ht="12.75" customHeight="1">
      <c r="A40" s="2" t="s">
        <v>375</v>
      </c>
      <c r="B40" s="35"/>
      <c r="C40" s="179">
        <f>C36*0.124</f>
        <v>0</v>
      </c>
      <c r="D40" s="80">
        <f t="shared" si="11"/>
        <v>0</v>
      </c>
      <c r="E40" s="179">
        <f>E36*0.124</f>
        <v>0</v>
      </c>
      <c r="F40" s="80">
        <f t="shared" si="12"/>
        <v>0</v>
      </c>
      <c r="G40" s="179">
        <f>G36*0.124</f>
        <v>0</v>
      </c>
      <c r="H40" s="80">
        <f t="shared" si="13"/>
        <v>0</v>
      </c>
      <c r="I40" s="179">
        <f>I36*0.124</f>
        <v>0</v>
      </c>
      <c r="J40" s="80">
        <f t="shared" si="14"/>
        <v>0</v>
      </c>
      <c r="K40" s="179">
        <f>K36*0.124</f>
        <v>0</v>
      </c>
      <c r="L40" s="80">
        <f t="shared" si="15"/>
        <v>0</v>
      </c>
      <c r="M40" s="179">
        <f>M36*0.124</f>
        <v>0</v>
      </c>
      <c r="N40" s="80">
        <f t="shared" si="16"/>
        <v>0</v>
      </c>
      <c r="O40" s="179">
        <f>O36*0.124</f>
        <v>0</v>
      </c>
      <c r="P40" s="80">
        <f t="shared" si="17"/>
        <v>0</v>
      </c>
      <c r="Q40" s="179">
        <f>Q36*0.124</f>
        <v>0</v>
      </c>
      <c r="R40" s="80">
        <f t="shared" si="18"/>
        <v>0</v>
      </c>
      <c r="S40" s="179">
        <f>S36*0.124</f>
        <v>0</v>
      </c>
      <c r="T40" s="80">
        <f t="shared" si="19"/>
        <v>0</v>
      </c>
      <c r="U40" s="179">
        <f>U36*0.124</f>
        <v>0</v>
      </c>
      <c r="V40" s="80">
        <f t="shared" si="20"/>
        <v>0</v>
      </c>
    </row>
    <row r="41" spans="1:22" ht="12.75" customHeight="1">
      <c r="A41" s="2" t="s">
        <v>376</v>
      </c>
      <c r="B41" s="35"/>
      <c r="C41" s="179">
        <f>C37*0.124</f>
        <v>13751.352000000001</v>
      </c>
      <c r="D41" s="80">
        <f t="shared" si="11"/>
        <v>1.381882378903233E-2</v>
      </c>
      <c r="E41" s="179">
        <f>E37*0.124</f>
        <v>15291.503424000002</v>
      </c>
      <c r="F41" s="80">
        <f t="shared" si="12"/>
        <v>1.4041784595041325E-2</v>
      </c>
      <c r="G41" s="179">
        <f>G37*0.124</f>
        <v>15826.70604384</v>
      </c>
      <c r="H41" s="80">
        <f t="shared" si="13"/>
        <v>1.4248281427321341E-2</v>
      </c>
      <c r="I41" s="179">
        <f>I37*0.124</f>
        <v>16333.16063724288</v>
      </c>
      <c r="J41" s="80">
        <f t="shared" si="14"/>
        <v>1.4415908267642767E-2</v>
      </c>
      <c r="K41" s="179">
        <f>K37*0.124</f>
        <v>16741.489653173951</v>
      </c>
      <c r="L41" s="80">
        <f t="shared" si="15"/>
        <v>1.4486574484641015E-2</v>
      </c>
      <c r="M41" s="179">
        <f>M37*0.124</f>
        <v>17160.026894503299</v>
      </c>
      <c r="N41" s="80">
        <f t="shared" si="16"/>
        <v>1.4557587104663764E-2</v>
      </c>
      <c r="O41" s="179">
        <f>O37*0.124</f>
        <v>17589.02756686588</v>
      </c>
      <c r="P41" s="80">
        <f t="shared" si="17"/>
        <v>1.4628947825765055E-2</v>
      </c>
      <c r="Q41" s="179">
        <f>Q37*0.124</f>
        <v>18028.753256037522</v>
      </c>
      <c r="R41" s="80">
        <f t="shared" si="18"/>
        <v>1.4700658354322724E-2</v>
      </c>
      <c r="S41" s="179">
        <f>S37*0.124</f>
        <v>18479.472087438462</v>
      </c>
      <c r="T41" s="80">
        <f t="shared" si="19"/>
        <v>1.4772720405079208E-2</v>
      </c>
      <c r="U41" s="179">
        <f>U37*0.124</f>
        <v>18941.45888962442</v>
      </c>
      <c r="V41" s="80">
        <f t="shared" si="20"/>
        <v>1.4845135701182535E-2</v>
      </c>
    </row>
    <row r="42" spans="1:22" ht="12.75" customHeight="1">
      <c r="A42" s="2" t="s">
        <v>377</v>
      </c>
      <c r="B42" s="35"/>
      <c r="C42" s="179"/>
      <c r="D42" s="80">
        <f t="shared" si="11"/>
        <v>0</v>
      </c>
      <c r="E42" s="179"/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79"/>
      <c r="D43" s="80">
        <f t="shared" si="11"/>
        <v>0</v>
      </c>
      <c r="E43" s="179"/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79"/>
      <c r="D44" s="80">
        <f t="shared" si="11"/>
        <v>0</v>
      </c>
      <c r="E44" s="179"/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82">
        <f>SUM(C36:C39)*0.094</f>
        <v>16171.196</v>
      </c>
      <c r="D45" s="80">
        <f t="shared" si="11"/>
        <v>1.6250540890954172E-2</v>
      </c>
      <c r="E45" s="182">
        <f>SUM(E36:E39)*0.094</f>
        <v>17982.369952000001</v>
      </c>
      <c r="F45" s="80">
        <f t="shared" si="12"/>
        <v>1.6512736411386595E-2</v>
      </c>
      <c r="G45" s="182">
        <f>SUM(G36:G39)*0.094</f>
        <v>18611.752900320003</v>
      </c>
      <c r="H45" s="80">
        <f t="shared" si="13"/>
        <v>1.6755570770377575E-2</v>
      </c>
      <c r="I45" s="182">
        <f>SUM(I36:I39)*0.094</f>
        <v>19207.328993130239</v>
      </c>
      <c r="J45" s="80">
        <f t="shared" si="14"/>
        <v>1.6952695132382012E-2</v>
      </c>
      <c r="K45" s="182">
        <f>SUM(K36:K39)*0.094</f>
        <v>19687.512217958494</v>
      </c>
      <c r="L45" s="80">
        <f t="shared" si="15"/>
        <v>1.7035796579109374E-2</v>
      </c>
      <c r="M45" s="182">
        <f>SUM(M36:M39)*0.094</f>
        <v>20179.700023407455</v>
      </c>
      <c r="N45" s="80">
        <f t="shared" si="16"/>
        <v>1.7119305385869713E-2</v>
      </c>
      <c r="O45" s="182">
        <f>SUM(O36:O39)*0.094</f>
        <v>20684.192523992639</v>
      </c>
      <c r="P45" s="80">
        <f t="shared" si="17"/>
        <v>1.7203223549525932E-2</v>
      </c>
      <c r="Q45" s="182">
        <f>SUM(Q36:Q39)*0.094</f>
        <v>21201.297337092452</v>
      </c>
      <c r="R45" s="80">
        <f t="shared" si="18"/>
        <v>1.7287553076729491E-2</v>
      </c>
      <c r="S45" s="182">
        <f>SUM(S36:S39)*0.094</f>
        <v>21731.329770519762</v>
      </c>
      <c r="T45" s="80">
        <f t="shared" si="19"/>
        <v>1.7372295983968358E-2</v>
      </c>
      <c r="U45" s="182">
        <f>SUM(U36:U39)*0.094</f>
        <v>22274.613014782757</v>
      </c>
      <c r="V45" s="80">
        <f t="shared" si="20"/>
        <v>1.745745429761526E-2</v>
      </c>
    </row>
    <row r="46" spans="1:22" ht="12.75" customHeight="1">
      <c r="A46" s="1" t="s">
        <v>381</v>
      </c>
      <c r="B46" s="53"/>
      <c r="C46" s="82">
        <f>SUM(C36:C45)</f>
        <v>201956.54800000001</v>
      </c>
      <c r="D46" s="83">
        <f t="shared" si="11"/>
        <v>0.20294745926460536</v>
      </c>
      <c r="E46" s="82">
        <f>SUM(E36:E45)</f>
        <v>224575.68137600002</v>
      </c>
      <c r="F46" s="83">
        <f t="shared" si="12"/>
        <v>0.20622192963820021</v>
      </c>
      <c r="G46" s="82">
        <f>SUM(G36:G45)</f>
        <v>232435.83022416005</v>
      </c>
      <c r="H46" s="83">
        <f t="shared" si="13"/>
        <v>0.2092546050740561</v>
      </c>
      <c r="I46" s="82">
        <f>SUM(I36:I45)</f>
        <v>239873.7767913331</v>
      </c>
      <c r="J46" s="83">
        <f t="shared" si="14"/>
        <v>0.21171642395728021</v>
      </c>
      <c r="K46" s="82">
        <f>SUM(K36:K45)</f>
        <v>245870.62121111644</v>
      </c>
      <c r="L46" s="83">
        <f t="shared" si="15"/>
        <v>0.21275424956491396</v>
      </c>
      <c r="M46" s="82">
        <f>SUM(M36:M45)</f>
        <v>252017.38674139432</v>
      </c>
      <c r="N46" s="83">
        <f t="shared" si="16"/>
        <v>0.21379716255297723</v>
      </c>
      <c r="O46" s="82">
        <f>SUM(O36:O45)</f>
        <v>258317.82140992914</v>
      </c>
      <c r="P46" s="83">
        <f t="shared" si="17"/>
        <v>0.2148451878596094</v>
      </c>
      <c r="Q46" s="82">
        <f>SUM(Q36:Q45)</f>
        <v>264775.76694517734</v>
      </c>
      <c r="R46" s="83">
        <f t="shared" si="18"/>
        <v>0.21589835054519574</v>
      </c>
      <c r="S46" s="82">
        <f>SUM(S36:S45)</f>
        <v>271395.16111880675</v>
      </c>
      <c r="T46" s="83">
        <f t="shared" si="19"/>
        <v>0.21695667579296626</v>
      </c>
      <c r="U46" s="82">
        <f>SUM(U36:U45)</f>
        <v>278180.04014677694</v>
      </c>
      <c r="V46" s="83">
        <f t="shared" si="20"/>
        <v>0.21802018890959846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2">IFERROR(C52/C$28,0)</f>
        <v>0</v>
      </c>
      <c r="E52" s="179">
        <v>0</v>
      </c>
      <c r="F52" s="80">
        <f t="shared" ref="F52:F104" si="23">IFERROR(E52/E$28,0)</f>
        <v>0</v>
      </c>
      <c r="G52" s="179">
        <v>0</v>
      </c>
      <c r="H52" s="80">
        <f t="shared" ref="H52:H104" si="24">IFERROR(G52/G$28,0)</f>
        <v>0</v>
      </c>
      <c r="I52" s="179">
        <v>0</v>
      </c>
      <c r="J52" s="80">
        <f t="shared" ref="J52:J104" si="25">IFERROR(I52/I$28,0)</f>
        <v>0</v>
      </c>
      <c r="K52" s="179">
        <v>0</v>
      </c>
      <c r="L52" s="80">
        <f t="shared" ref="L52:L104" si="26">IFERROR(K52/K$28,0)</f>
        <v>0</v>
      </c>
      <c r="M52" s="179">
        <v>0</v>
      </c>
      <c r="N52" s="80">
        <f t="shared" ref="N52:N104" si="27">IFERROR(M52/M$28,0)</f>
        <v>0</v>
      </c>
      <c r="O52" s="179">
        <v>0</v>
      </c>
      <c r="P52" s="80">
        <f t="shared" ref="P52:P104" si="28">IFERROR(O52/O$28,0)</f>
        <v>0</v>
      </c>
      <c r="Q52" s="179">
        <v>0</v>
      </c>
      <c r="R52" s="80">
        <f t="shared" ref="R52:R104" si="29">IFERROR(Q52/Q$28,0)</f>
        <v>0</v>
      </c>
      <c r="S52" s="179">
        <v>0</v>
      </c>
      <c r="T52" s="80">
        <f t="shared" ref="T52:T104" si="30">IFERROR(S52/S$28,0)</f>
        <v>0</v>
      </c>
      <c r="U52" s="179">
        <v>0</v>
      </c>
      <c r="V52" s="80">
        <f t="shared" ref="V52:V105" si="31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2"/>
        <v>0</v>
      </c>
      <c r="E53" s="179">
        <v>0</v>
      </c>
      <c r="F53" s="80">
        <f t="shared" si="23"/>
        <v>0</v>
      </c>
      <c r="G53" s="179">
        <v>0</v>
      </c>
      <c r="H53" s="80">
        <f t="shared" si="24"/>
        <v>0</v>
      </c>
      <c r="I53" s="179">
        <v>0</v>
      </c>
      <c r="J53" s="80">
        <f t="shared" si="25"/>
        <v>0</v>
      </c>
      <c r="K53" s="179">
        <v>0</v>
      </c>
      <c r="L53" s="80">
        <f t="shared" si="26"/>
        <v>0</v>
      </c>
      <c r="M53" s="179">
        <v>0</v>
      </c>
      <c r="N53" s="80">
        <f t="shared" si="27"/>
        <v>0</v>
      </c>
      <c r="O53" s="179">
        <v>0</v>
      </c>
      <c r="P53" s="80">
        <f t="shared" si="28"/>
        <v>0</v>
      </c>
      <c r="Q53" s="179">
        <v>0</v>
      </c>
      <c r="R53" s="80">
        <f t="shared" si="29"/>
        <v>0</v>
      </c>
      <c r="S53" s="179">
        <v>0</v>
      </c>
      <c r="T53" s="80">
        <f t="shared" si="30"/>
        <v>0</v>
      </c>
      <c r="U53" s="179">
        <v>0</v>
      </c>
      <c r="V53" s="80">
        <f t="shared" si="31"/>
        <v>0</v>
      </c>
      <c r="X53" s="200"/>
    </row>
    <row r="54" spans="1:24" ht="12.75" customHeight="1">
      <c r="A54" s="2" t="s">
        <v>385</v>
      </c>
      <c r="B54" s="35"/>
      <c r="C54" s="179">
        <v>696.58217999999999</v>
      </c>
      <c r="D54" s="80">
        <f t="shared" si="22"/>
        <v>6.9999999999999999E-4</v>
      </c>
      <c r="E54" s="179">
        <v>762.3</v>
      </c>
      <c r="F54" s="80">
        <f t="shared" si="23"/>
        <v>6.9999999999999999E-4</v>
      </c>
      <c r="G54" s="179">
        <v>777.54600000000005</v>
      </c>
      <c r="H54" s="80">
        <f t="shared" si="24"/>
        <v>6.9999999999999999E-4</v>
      </c>
      <c r="I54" s="179">
        <v>793.09691999999995</v>
      </c>
      <c r="J54" s="80">
        <f t="shared" si="25"/>
        <v>6.9999999999999988E-4</v>
      </c>
      <c r="K54" s="179">
        <v>808.95885840000005</v>
      </c>
      <c r="L54" s="80">
        <f t="shared" si="26"/>
        <v>6.9999999999999999E-4</v>
      </c>
      <c r="M54" s="179">
        <v>825.13803556800008</v>
      </c>
      <c r="N54" s="80">
        <f t="shared" si="27"/>
        <v>6.9999999999999999E-4</v>
      </c>
      <c r="O54" s="179">
        <v>841.64079627936007</v>
      </c>
      <c r="P54" s="80">
        <f t="shared" si="28"/>
        <v>6.9999999999999988E-4</v>
      </c>
      <c r="Q54" s="179">
        <v>858.47361220494736</v>
      </c>
      <c r="R54" s="80">
        <f t="shared" si="29"/>
        <v>6.9999999999999999E-4</v>
      </c>
      <c r="S54" s="179">
        <v>875.64308444904634</v>
      </c>
      <c r="T54" s="80">
        <f t="shared" si="30"/>
        <v>6.9999999999999999E-4</v>
      </c>
      <c r="U54" s="179">
        <v>893.15594613802739</v>
      </c>
      <c r="V54" s="80">
        <f t="shared" si="31"/>
        <v>6.9999999999999999E-4</v>
      </c>
      <c r="X54" s="200"/>
    </row>
    <row r="55" spans="1:24" ht="12.75" customHeight="1">
      <c r="A55" s="2" t="s">
        <v>386</v>
      </c>
      <c r="B55" s="35"/>
      <c r="C55" s="179">
        <v>69658.218000000008</v>
      </c>
      <c r="D55" s="80">
        <f t="shared" si="22"/>
        <v>7.0000000000000007E-2</v>
      </c>
      <c r="E55" s="179">
        <v>76230</v>
      </c>
      <c r="F55" s="80">
        <f t="shared" si="23"/>
        <v>7.0000000000000007E-2</v>
      </c>
      <c r="G55" s="179">
        <v>77754.600000000006</v>
      </c>
      <c r="H55" s="80">
        <f t="shared" si="24"/>
        <v>7.0000000000000007E-2</v>
      </c>
      <c r="I55" s="179">
        <v>79309.69200000001</v>
      </c>
      <c r="J55" s="80">
        <f t="shared" si="25"/>
        <v>7.0000000000000007E-2</v>
      </c>
      <c r="K55" s="179">
        <v>80895.885840000017</v>
      </c>
      <c r="L55" s="80">
        <f t="shared" si="26"/>
        <v>7.0000000000000007E-2</v>
      </c>
      <c r="M55" s="179">
        <v>82513.80355680002</v>
      </c>
      <c r="N55" s="80">
        <f t="shared" si="27"/>
        <v>7.0000000000000007E-2</v>
      </c>
      <c r="O55" s="179">
        <v>84164.079627936022</v>
      </c>
      <c r="P55" s="80">
        <f t="shared" si="28"/>
        <v>7.0000000000000007E-2</v>
      </c>
      <c r="Q55" s="179">
        <v>85847.361220494742</v>
      </c>
      <c r="R55" s="80">
        <f t="shared" si="29"/>
        <v>7.0000000000000007E-2</v>
      </c>
      <c r="S55" s="179">
        <v>87564.308444904644</v>
      </c>
      <c r="T55" s="80">
        <f t="shared" si="30"/>
        <v>7.0000000000000007E-2</v>
      </c>
      <c r="U55" s="179">
        <v>89315.59461380275</v>
      </c>
      <c r="V55" s="80">
        <f t="shared" si="31"/>
        <v>7.0000000000000007E-2</v>
      </c>
      <c r="X55" s="200"/>
    </row>
    <row r="56" spans="1:24" ht="12.75" customHeight="1">
      <c r="A56" s="2" t="s">
        <v>387</v>
      </c>
      <c r="B56" s="35"/>
      <c r="C56" s="179">
        <v>507.50987400000008</v>
      </c>
      <c r="D56" s="80">
        <f t="shared" si="22"/>
        <v>5.1000000000000004E-4</v>
      </c>
      <c r="E56" s="179">
        <v>555.3900000000001</v>
      </c>
      <c r="F56" s="80">
        <f t="shared" si="23"/>
        <v>5.1000000000000015E-4</v>
      </c>
      <c r="G56" s="179">
        <v>566.49779999999998</v>
      </c>
      <c r="H56" s="80">
        <f t="shared" si="24"/>
        <v>5.1000000000000004E-4</v>
      </c>
      <c r="I56" s="179">
        <v>577.82775600000014</v>
      </c>
      <c r="J56" s="80">
        <f t="shared" si="25"/>
        <v>5.1000000000000004E-4</v>
      </c>
      <c r="K56" s="179">
        <v>589.38431112000012</v>
      </c>
      <c r="L56" s="80">
        <f t="shared" si="26"/>
        <v>5.1000000000000004E-4</v>
      </c>
      <c r="M56" s="179">
        <v>601.17199734240012</v>
      </c>
      <c r="N56" s="80">
        <f t="shared" si="27"/>
        <v>5.1000000000000004E-4</v>
      </c>
      <c r="O56" s="179">
        <v>613.19543728924816</v>
      </c>
      <c r="P56" s="80">
        <f t="shared" si="28"/>
        <v>5.1000000000000004E-4</v>
      </c>
      <c r="Q56" s="179">
        <v>625.45934603503315</v>
      </c>
      <c r="R56" s="80">
        <f t="shared" si="29"/>
        <v>5.1000000000000004E-4</v>
      </c>
      <c r="S56" s="179">
        <v>637.96853295573385</v>
      </c>
      <c r="T56" s="80">
        <f t="shared" si="30"/>
        <v>5.1000000000000004E-4</v>
      </c>
      <c r="U56" s="179">
        <v>650.72790361484851</v>
      </c>
      <c r="V56" s="80">
        <f t="shared" si="31"/>
        <v>5.1000000000000004E-4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2"/>
        <v>0</v>
      </c>
      <c r="E57" s="179">
        <v>0</v>
      </c>
      <c r="F57" s="80">
        <f t="shared" si="23"/>
        <v>0</v>
      </c>
      <c r="G57" s="179">
        <v>0</v>
      </c>
      <c r="H57" s="80">
        <f t="shared" si="24"/>
        <v>0</v>
      </c>
      <c r="I57" s="179">
        <v>0</v>
      </c>
      <c r="J57" s="80">
        <f t="shared" si="25"/>
        <v>0</v>
      </c>
      <c r="K57" s="179">
        <v>0</v>
      </c>
      <c r="L57" s="80">
        <f t="shared" si="26"/>
        <v>0</v>
      </c>
      <c r="M57" s="179">
        <v>0</v>
      </c>
      <c r="N57" s="80">
        <f t="shared" si="27"/>
        <v>0</v>
      </c>
      <c r="O57" s="179">
        <v>0</v>
      </c>
      <c r="P57" s="80">
        <f t="shared" si="28"/>
        <v>0</v>
      </c>
      <c r="Q57" s="179">
        <v>0</v>
      </c>
      <c r="R57" s="80">
        <f t="shared" si="29"/>
        <v>0</v>
      </c>
      <c r="S57" s="179">
        <v>0</v>
      </c>
      <c r="T57" s="80">
        <f t="shared" si="30"/>
        <v>0</v>
      </c>
      <c r="U57" s="179">
        <v>0</v>
      </c>
      <c r="V57" s="80">
        <f t="shared" si="31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2"/>
        <v>0</v>
      </c>
      <c r="E58" s="179">
        <v>0</v>
      </c>
      <c r="F58" s="80">
        <f t="shared" si="23"/>
        <v>0</v>
      </c>
      <c r="G58" s="179">
        <v>0</v>
      </c>
      <c r="H58" s="80">
        <f t="shared" si="24"/>
        <v>0</v>
      </c>
      <c r="I58" s="179">
        <v>0</v>
      </c>
      <c r="J58" s="80">
        <f t="shared" si="25"/>
        <v>0</v>
      </c>
      <c r="K58" s="179">
        <v>0</v>
      </c>
      <c r="L58" s="80">
        <f t="shared" si="26"/>
        <v>0</v>
      </c>
      <c r="M58" s="179">
        <v>0</v>
      </c>
      <c r="N58" s="80">
        <f t="shared" si="27"/>
        <v>0</v>
      </c>
      <c r="O58" s="179">
        <v>0</v>
      </c>
      <c r="P58" s="80">
        <f t="shared" si="28"/>
        <v>0</v>
      </c>
      <c r="Q58" s="179">
        <v>0</v>
      </c>
      <c r="R58" s="80">
        <f t="shared" si="29"/>
        <v>0</v>
      </c>
      <c r="S58" s="179">
        <v>0</v>
      </c>
      <c r="T58" s="80">
        <f t="shared" si="30"/>
        <v>0</v>
      </c>
      <c r="U58" s="179">
        <v>0</v>
      </c>
      <c r="V58" s="80">
        <f t="shared" si="31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2"/>
        <v>0</v>
      </c>
      <c r="E59" s="179">
        <v>0</v>
      </c>
      <c r="F59" s="80">
        <f t="shared" si="23"/>
        <v>0</v>
      </c>
      <c r="G59" s="179">
        <v>0</v>
      </c>
      <c r="H59" s="80">
        <f t="shared" si="24"/>
        <v>0</v>
      </c>
      <c r="I59" s="179">
        <v>0</v>
      </c>
      <c r="J59" s="80">
        <f t="shared" si="25"/>
        <v>0</v>
      </c>
      <c r="K59" s="179">
        <v>0</v>
      </c>
      <c r="L59" s="80">
        <f t="shared" si="26"/>
        <v>0</v>
      </c>
      <c r="M59" s="179">
        <v>0</v>
      </c>
      <c r="N59" s="80">
        <f t="shared" si="27"/>
        <v>0</v>
      </c>
      <c r="O59" s="179">
        <v>0</v>
      </c>
      <c r="P59" s="80">
        <f t="shared" si="28"/>
        <v>0</v>
      </c>
      <c r="Q59" s="179">
        <v>0</v>
      </c>
      <c r="R59" s="80">
        <f t="shared" si="29"/>
        <v>0</v>
      </c>
      <c r="S59" s="179">
        <v>0</v>
      </c>
      <c r="T59" s="80">
        <f t="shared" si="30"/>
        <v>0</v>
      </c>
      <c r="U59" s="179">
        <v>0</v>
      </c>
      <c r="V59" s="80">
        <f t="shared" si="31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2"/>
        <v>0</v>
      </c>
      <c r="E60" s="179">
        <v>0</v>
      </c>
      <c r="F60" s="80">
        <f t="shared" si="23"/>
        <v>0</v>
      </c>
      <c r="G60" s="179">
        <v>0</v>
      </c>
      <c r="H60" s="80">
        <f t="shared" si="24"/>
        <v>0</v>
      </c>
      <c r="I60" s="179">
        <v>0</v>
      </c>
      <c r="J60" s="80">
        <f t="shared" si="25"/>
        <v>0</v>
      </c>
      <c r="K60" s="179">
        <v>0</v>
      </c>
      <c r="L60" s="80">
        <f t="shared" si="26"/>
        <v>0</v>
      </c>
      <c r="M60" s="179">
        <v>0</v>
      </c>
      <c r="N60" s="80">
        <f t="shared" si="27"/>
        <v>0</v>
      </c>
      <c r="O60" s="179">
        <v>0</v>
      </c>
      <c r="P60" s="80">
        <f t="shared" si="28"/>
        <v>0</v>
      </c>
      <c r="Q60" s="179">
        <v>0</v>
      </c>
      <c r="R60" s="80">
        <f t="shared" si="29"/>
        <v>0</v>
      </c>
      <c r="S60" s="179">
        <v>0</v>
      </c>
      <c r="T60" s="80">
        <f t="shared" si="30"/>
        <v>0</v>
      </c>
      <c r="U60" s="179">
        <v>0</v>
      </c>
      <c r="V60" s="80">
        <f t="shared" si="31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2"/>
        <v>0</v>
      </c>
      <c r="E61" s="179">
        <v>0</v>
      </c>
      <c r="F61" s="80">
        <f t="shared" si="23"/>
        <v>0</v>
      </c>
      <c r="G61" s="179">
        <v>0</v>
      </c>
      <c r="H61" s="80">
        <f t="shared" si="24"/>
        <v>0</v>
      </c>
      <c r="I61" s="179">
        <v>0</v>
      </c>
      <c r="J61" s="80">
        <f t="shared" si="25"/>
        <v>0</v>
      </c>
      <c r="K61" s="179">
        <v>0</v>
      </c>
      <c r="L61" s="80">
        <f t="shared" si="26"/>
        <v>0</v>
      </c>
      <c r="M61" s="179">
        <v>0</v>
      </c>
      <c r="N61" s="80">
        <f t="shared" si="27"/>
        <v>0</v>
      </c>
      <c r="O61" s="179">
        <v>0</v>
      </c>
      <c r="P61" s="80">
        <f t="shared" si="28"/>
        <v>0</v>
      </c>
      <c r="Q61" s="179">
        <v>0</v>
      </c>
      <c r="R61" s="80">
        <f t="shared" si="29"/>
        <v>0</v>
      </c>
      <c r="S61" s="179">
        <v>0</v>
      </c>
      <c r="T61" s="80">
        <f t="shared" si="30"/>
        <v>0</v>
      </c>
      <c r="U61" s="179">
        <v>0</v>
      </c>
      <c r="V61" s="80">
        <f t="shared" si="31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2"/>
        <v>0</v>
      </c>
      <c r="E62" s="179">
        <v>0</v>
      </c>
      <c r="F62" s="80">
        <f t="shared" si="23"/>
        <v>0</v>
      </c>
      <c r="G62" s="179">
        <v>0</v>
      </c>
      <c r="H62" s="80">
        <f t="shared" si="24"/>
        <v>0</v>
      </c>
      <c r="I62" s="179">
        <v>0</v>
      </c>
      <c r="J62" s="80">
        <f t="shared" si="25"/>
        <v>0</v>
      </c>
      <c r="K62" s="179">
        <v>0</v>
      </c>
      <c r="L62" s="80">
        <f t="shared" si="26"/>
        <v>0</v>
      </c>
      <c r="M62" s="179">
        <v>0</v>
      </c>
      <c r="N62" s="80">
        <f t="shared" si="27"/>
        <v>0</v>
      </c>
      <c r="O62" s="179">
        <v>0</v>
      </c>
      <c r="P62" s="80">
        <f t="shared" si="28"/>
        <v>0</v>
      </c>
      <c r="Q62" s="179">
        <v>0</v>
      </c>
      <c r="R62" s="80">
        <f t="shared" si="29"/>
        <v>0</v>
      </c>
      <c r="S62" s="179">
        <v>0</v>
      </c>
      <c r="T62" s="80">
        <f t="shared" si="30"/>
        <v>0</v>
      </c>
      <c r="U62" s="179">
        <v>0</v>
      </c>
      <c r="V62" s="80">
        <f t="shared" si="31"/>
        <v>0</v>
      </c>
      <c r="X62" s="200"/>
    </row>
    <row r="63" spans="1:24" ht="12.75" customHeight="1">
      <c r="A63" s="2" t="s">
        <v>394</v>
      </c>
      <c r="B63" s="35"/>
      <c r="C63" s="179">
        <v>13655.434385358767</v>
      </c>
      <c r="D63" s="80">
        <f t="shared" si="22"/>
        <v>1.3722435549171149E-2</v>
      </c>
      <c r="E63" s="179">
        <v>8447.7219742193793</v>
      </c>
      <c r="F63" s="80">
        <f t="shared" si="23"/>
        <v>7.7573204538286308E-3</v>
      </c>
      <c r="G63" s="179">
        <v>9888.7694024288376</v>
      </c>
      <c r="H63" s="80">
        <f t="shared" si="24"/>
        <v>8.9025454207213289E-3</v>
      </c>
      <c r="I63" s="179">
        <v>9998.3011215085317</v>
      </c>
      <c r="J63" s="80">
        <f t="shared" si="25"/>
        <v>8.8246601500557732E-3</v>
      </c>
      <c r="K63" s="179">
        <v>10080.82078839196</v>
      </c>
      <c r="L63" s="80">
        <f t="shared" si="26"/>
        <v>8.723032671687685E-3</v>
      </c>
      <c r="M63" s="179">
        <v>10260.823530395781</v>
      </c>
      <c r="N63" s="80">
        <f t="shared" si="27"/>
        <v>8.7046968648497435E-3</v>
      </c>
      <c r="O63" s="179">
        <v>10444.6176107598</v>
      </c>
      <c r="P63" s="80">
        <f t="shared" si="28"/>
        <v>8.686879675810168E-3</v>
      </c>
      <c r="Q63" s="179">
        <v>10631.916207919669</v>
      </c>
      <c r="R63" s="80">
        <f t="shared" si="29"/>
        <v>8.6692721124281037E-3</v>
      </c>
      <c r="S63" s="179">
        <v>10822.435061163058</v>
      </c>
      <c r="T63" s="80">
        <f t="shared" si="30"/>
        <v>8.6515895315735468E-3</v>
      </c>
      <c r="U63" s="179">
        <v>11437.696001019334</v>
      </c>
      <c r="V63" s="80">
        <f t="shared" si="31"/>
        <v>8.9641537240308933E-3</v>
      </c>
      <c r="X63" s="200"/>
    </row>
    <row r="64" spans="1:24" ht="12.75" customHeight="1">
      <c r="A64" s="2" t="s">
        <v>395</v>
      </c>
      <c r="B64" s="35"/>
      <c r="C64" s="179">
        <v>4776.5635199999997</v>
      </c>
      <c r="D64" s="80">
        <f t="shared" si="22"/>
        <v>4.7999999999999996E-3</v>
      </c>
      <c r="E64" s="179">
        <v>5227.1999999999989</v>
      </c>
      <c r="F64" s="80">
        <f t="shared" si="23"/>
        <v>4.7999999999999987E-3</v>
      </c>
      <c r="G64" s="179">
        <v>5331.7439999999988</v>
      </c>
      <c r="H64" s="80">
        <f t="shared" si="24"/>
        <v>4.7999999999999987E-3</v>
      </c>
      <c r="I64" s="179">
        <v>5438.3788799999993</v>
      </c>
      <c r="J64" s="80">
        <f t="shared" si="25"/>
        <v>4.7999999999999987E-3</v>
      </c>
      <c r="K64" s="179">
        <v>5547.1464575999998</v>
      </c>
      <c r="L64" s="80">
        <f t="shared" si="26"/>
        <v>4.7999999999999996E-3</v>
      </c>
      <c r="M64" s="179">
        <v>5658.0893867519999</v>
      </c>
      <c r="N64" s="80">
        <f t="shared" si="27"/>
        <v>4.7999999999999996E-3</v>
      </c>
      <c r="O64" s="179">
        <v>5771.2511744870408</v>
      </c>
      <c r="P64" s="80">
        <f t="shared" si="28"/>
        <v>4.7999999999999996E-3</v>
      </c>
      <c r="Q64" s="179">
        <v>5886.6761979767816</v>
      </c>
      <c r="R64" s="80">
        <f t="shared" si="29"/>
        <v>4.7999999999999996E-3</v>
      </c>
      <c r="S64" s="179">
        <v>6004.4097219363184</v>
      </c>
      <c r="T64" s="80">
        <f t="shared" si="30"/>
        <v>4.8000000000000004E-3</v>
      </c>
      <c r="U64" s="179">
        <v>6124.497916375044</v>
      </c>
      <c r="V64" s="80">
        <f t="shared" si="31"/>
        <v>4.7999999999999996E-3</v>
      </c>
      <c r="X64" s="200"/>
    </row>
    <row r="65" spans="1:24" ht="12.75" customHeight="1">
      <c r="A65" s="2" t="s">
        <v>396</v>
      </c>
      <c r="B65" s="35"/>
      <c r="C65" s="179">
        <v>497.55869999999999</v>
      </c>
      <c r="D65" s="80">
        <f t="shared" si="22"/>
        <v>5.0000000000000001E-4</v>
      </c>
      <c r="E65" s="179">
        <v>544.5</v>
      </c>
      <c r="F65" s="80">
        <f t="shared" si="23"/>
        <v>5.0000000000000001E-4</v>
      </c>
      <c r="G65" s="179">
        <v>555.39</v>
      </c>
      <c r="H65" s="80">
        <f t="shared" si="24"/>
        <v>5.0000000000000001E-4</v>
      </c>
      <c r="I65" s="179">
        <v>566.4978000000001</v>
      </c>
      <c r="J65" s="80">
        <f t="shared" si="25"/>
        <v>5.0000000000000001E-4</v>
      </c>
      <c r="K65" s="179">
        <v>577.82775600000014</v>
      </c>
      <c r="L65" s="80">
        <f t="shared" si="26"/>
        <v>5.0000000000000012E-4</v>
      </c>
      <c r="M65" s="179">
        <v>589.38431112000012</v>
      </c>
      <c r="N65" s="80">
        <f t="shared" si="27"/>
        <v>5.0000000000000001E-4</v>
      </c>
      <c r="O65" s="179">
        <v>601.17199734240012</v>
      </c>
      <c r="P65" s="80">
        <f t="shared" si="28"/>
        <v>5.0000000000000001E-4</v>
      </c>
      <c r="Q65" s="179">
        <v>613.19543728924816</v>
      </c>
      <c r="R65" s="80">
        <f t="shared" si="29"/>
        <v>5.0000000000000001E-4</v>
      </c>
      <c r="S65" s="179">
        <v>625.45934603503315</v>
      </c>
      <c r="T65" s="80">
        <f t="shared" si="30"/>
        <v>5.0000000000000001E-4</v>
      </c>
      <c r="U65" s="179">
        <v>637.96853295573385</v>
      </c>
      <c r="V65" s="80">
        <f t="shared" si="31"/>
        <v>5.0000000000000001E-4</v>
      </c>
      <c r="X65" s="200"/>
    </row>
    <row r="66" spans="1:24" ht="12.75" customHeight="1">
      <c r="A66" s="2" t="s">
        <v>397</v>
      </c>
      <c r="B66" s="35"/>
      <c r="C66" s="179">
        <v>2786.32872</v>
      </c>
      <c r="D66" s="80">
        <f t="shared" si="22"/>
        <v>2.8E-3</v>
      </c>
      <c r="E66" s="179">
        <v>3049.2</v>
      </c>
      <c r="F66" s="80">
        <f t="shared" si="23"/>
        <v>2.8E-3</v>
      </c>
      <c r="G66" s="179">
        <v>3110.1840000000002</v>
      </c>
      <c r="H66" s="80">
        <f t="shared" si="24"/>
        <v>2.8E-3</v>
      </c>
      <c r="I66" s="179">
        <v>3172.3876799999998</v>
      </c>
      <c r="J66" s="80">
        <f t="shared" si="25"/>
        <v>2.7999999999999995E-3</v>
      </c>
      <c r="K66" s="179">
        <v>3235.8354336000002</v>
      </c>
      <c r="L66" s="80">
        <f t="shared" si="26"/>
        <v>2.8E-3</v>
      </c>
      <c r="M66" s="179">
        <v>3300.5521422720003</v>
      </c>
      <c r="N66" s="80">
        <f t="shared" si="27"/>
        <v>2.8E-3</v>
      </c>
      <c r="O66" s="179">
        <v>3366.5631851174403</v>
      </c>
      <c r="P66" s="80">
        <f t="shared" si="28"/>
        <v>2.7999999999999995E-3</v>
      </c>
      <c r="Q66" s="179">
        <v>3433.8944488197894</v>
      </c>
      <c r="R66" s="80">
        <f t="shared" si="29"/>
        <v>2.8E-3</v>
      </c>
      <c r="S66" s="179">
        <v>3502.5723377961854</v>
      </c>
      <c r="T66" s="80">
        <f t="shared" si="30"/>
        <v>2.8E-3</v>
      </c>
      <c r="U66" s="179">
        <v>3572.6237845521096</v>
      </c>
      <c r="V66" s="80">
        <f t="shared" si="31"/>
        <v>2.8E-3</v>
      </c>
      <c r="X66" s="200"/>
    </row>
    <row r="67" spans="1:24" ht="12.75" customHeight="1">
      <c r="A67" s="2" t="s">
        <v>398</v>
      </c>
      <c r="B67" s="35"/>
      <c r="C67" s="179">
        <v>14926.761</v>
      </c>
      <c r="D67" s="80">
        <f t="shared" si="22"/>
        <v>1.4999999999999999E-2</v>
      </c>
      <c r="E67" s="179">
        <v>16334.999999999998</v>
      </c>
      <c r="F67" s="80">
        <f t="shared" si="23"/>
        <v>1.4999999999999998E-2</v>
      </c>
      <c r="G67" s="179">
        <v>16661.7</v>
      </c>
      <c r="H67" s="80">
        <f t="shared" si="24"/>
        <v>1.5000000000000001E-2</v>
      </c>
      <c r="I67" s="179">
        <v>16994.933999999997</v>
      </c>
      <c r="J67" s="80">
        <f t="shared" si="25"/>
        <v>1.4999999999999996E-2</v>
      </c>
      <c r="K67" s="179">
        <v>17334.832680000003</v>
      </c>
      <c r="L67" s="80">
        <f t="shared" si="26"/>
        <v>1.5000000000000001E-2</v>
      </c>
      <c r="M67" s="179">
        <v>17681.529333600003</v>
      </c>
      <c r="N67" s="80">
        <f t="shared" si="27"/>
        <v>1.5000000000000001E-2</v>
      </c>
      <c r="O67" s="179">
        <v>18035.159920272003</v>
      </c>
      <c r="P67" s="80">
        <f t="shared" si="28"/>
        <v>1.4999999999999999E-2</v>
      </c>
      <c r="Q67" s="179">
        <v>18395.863118677444</v>
      </c>
      <c r="R67" s="80">
        <f t="shared" si="29"/>
        <v>1.5000000000000001E-2</v>
      </c>
      <c r="S67" s="179">
        <v>18763.780381050994</v>
      </c>
      <c r="T67" s="80">
        <f t="shared" si="30"/>
        <v>1.5000000000000001E-2</v>
      </c>
      <c r="U67" s="179">
        <v>19139.055988672015</v>
      </c>
      <c r="V67" s="80">
        <f t="shared" si="31"/>
        <v>1.4999999999999999E-2</v>
      </c>
      <c r="X67" s="200"/>
    </row>
    <row r="68" spans="1:24" ht="12.75" customHeight="1">
      <c r="A68" s="2" t="s">
        <v>399</v>
      </c>
      <c r="B68" s="35"/>
      <c r="C68" s="179">
        <v>1691.69958</v>
      </c>
      <c r="D68" s="80">
        <f t="shared" si="22"/>
        <v>1.6999999999999999E-3</v>
      </c>
      <c r="E68" s="179">
        <v>1851.3</v>
      </c>
      <c r="F68" s="80">
        <f t="shared" si="23"/>
        <v>1.6999999999999999E-3</v>
      </c>
      <c r="G68" s="179">
        <v>1888.3259999999998</v>
      </c>
      <c r="H68" s="80">
        <f t="shared" si="24"/>
        <v>1.6999999999999999E-3</v>
      </c>
      <c r="I68" s="179">
        <v>1926.0925200000001</v>
      </c>
      <c r="J68" s="80">
        <f t="shared" si="25"/>
        <v>1.6999999999999999E-3</v>
      </c>
      <c r="K68" s="179">
        <v>1964.6143704000001</v>
      </c>
      <c r="L68" s="80">
        <f t="shared" si="26"/>
        <v>1.6999999999999999E-3</v>
      </c>
      <c r="M68" s="179">
        <v>2003.9066578080001</v>
      </c>
      <c r="N68" s="80">
        <f t="shared" si="27"/>
        <v>1.6999999999999999E-3</v>
      </c>
      <c r="O68" s="179">
        <v>2043.9847909641603</v>
      </c>
      <c r="P68" s="80">
        <f t="shared" si="28"/>
        <v>1.6999999999999999E-3</v>
      </c>
      <c r="Q68" s="179">
        <v>2084.8644867834437</v>
      </c>
      <c r="R68" s="80">
        <f t="shared" si="29"/>
        <v>1.7000000000000001E-3</v>
      </c>
      <c r="S68" s="179">
        <v>2126.5617765191128</v>
      </c>
      <c r="T68" s="80">
        <f t="shared" si="30"/>
        <v>1.7000000000000001E-3</v>
      </c>
      <c r="U68" s="179">
        <v>2169.0930120494945</v>
      </c>
      <c r="V68" s="80">
        <f t="shared" si="31"/>
        <v>1.6999999999999997E-3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2"/>
        <v>0</v>
      </c>
      <c r="E69" s="179">
        <v>0</v>
      </c>
      <c r="F69" s="80">
        <f t="shared" si="23"/>
        <v>0</v>
      </c>
      <c r="G69" s="179">
        <v>0</v>
      </c>
      <c r="H69" s="80">
        <f t="shared" si="24"/>
        <v>0</v>
      </c>
      <c r="I69" s="179">
        <v>0</v>
      </c>
      <c r="J69" s="80">
        <f t="shared" si="25"/>
        <v>0</v>
      </c>
      <c r="K69" s="179">
        <v>0</v>
      </c>
      <c r="L69" s="80">
        <f t="shared" si="26"/>
        <v>0</v>
      </c>
      <c r="M69" s="179">
        <v>0</v>
      </c>
      <c r="N69" s="80">
        <f t="shared" si="27"/>
        <v>0</v>
      </c>
      <c r="O69" s="179">
        <v>0</v>
      </c>
      <c r="P69" s="80">
        <f t="shared" si="28"/>
        <v>0</v>
      </c>
      <c r="Q69" s="179">
        <v>0</v>
      </c>
      <c r="R69" s="80">
        <f t="shared" si="29"/>
        <v>0</v>
      </c>
      <c r="S69" s="179">
        <v>0</v>
      </c>
      <c r="T69" s="80">
        <f t="shared" si="30"/>
        <v>0</v>
      </c>
      <c r="U69" s="179">
        <v>0</v>
      </c>
      <c r="V69" s="80">
        <f t="shared" si="31"/>
        <v>0</v>
      </c>
      <c r="X69" s="200"/>
    </row>
    <row r="70" spans="1:24" ht="12.75" customHeight="1">
      <c r="A70" s="2" t="s">
        <v>401</v>
      </c>
      <c r="B70" s="35"/>
      <c r="C70" s="179">
        <v>99.511740000000017</v>
      </c>
      <c r="D70" s="80">
        <f t="shared" si="22"/>
        <v>1.0000000000000002E-4</v>
      </c>
      <c r="E70" s="179">
        <v>108.9</v>
      </c>
      <c r="F70" s="80">
        <f t="shared" si="23"/>
        <v>1E-4</v>
      </c>
      <c r="G70" s="179">
        <v>111.078</v>
      </c>
      <c r="H70" s="80">
        <f t="shared" si="24"/>
        <v>1E-4</v>
      </c>
      <c r="I70" s="179">
        <v>113.29956000000001</v>
      </c>
      <c r="J70" s="80">
        <f t="shared" si="25"/>
        <v>1E-4</v>
      </c>
      <c r="K70" s="179">
        <v>115.56555120000002</v>
      </c>
      <c r="L70" s="80">
        <f t="shared" si="26"/>
        <v>1E-4</v>
      </c>
      <c r="M70" s="179">
        <v>117.87686222400002</v>
      </c>
      <c r="N70" s="80">
        <f t="shared" si="27"/>
        <v>1E-4</v>
      </c>
      <c r="O70" s="179">
        <v>120.23439946848004</v>
      </c>
      <c r="P70" s="80">
        <f t="shared" si="28"/>
        <v>1E-4</v>
      </c>
      <c r="Q70" s="179">
        <v>122.63908745784964</v>
      </c>
      <c r="R70" s="80">
        <f t="shared" si="29"/>
        <v>1.0000000000000002E-4</v>
      </c>
      <c r="S70" s="179">
        <v>125.09186920700664</v>
      </c>
      <c r="T70" s="80">
        <f t="shared" si="30"/>
        <v>1.0000000000000002E-4</v>
      </c>
      <c r="U70" s="179">
        <v>127.59370659114678</v>
      </c>
      <c r="V70" s="80">
        <f t="shared" si="31"/>
        <v>1.0000000000000002E-4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2"/>
        <v>0</v>
      </c>
      <c r="E71" s="179">
        <v>0</v>
      </c>
      <c r="F71" s="80">
        <f t="shared" si="23"/>
        <v>0</v>
      </c>
      <c r="G71" s="179">
        <v>0</v>
      </c>
      <c r="H71" s="80">
        <f t="shared" si="24"/>
        <v>0</v>
      </c>
      <c r="I71" s="179">
        <v>0</v>
      </c>
      <c r="J71" s="80">
        <f t="shared" si="25"/>
        <v>0</v>
      </c>
      <c r="K71" s="179">
        <v>0</v>
      </c>
      <c r="L71" s="80">
        <f t="shared" si="26"/>
        <v>0</v>
      </c>
      <c r="M71" s="179">
        <v>0</v>
      </c>
      <c r="N71" s="80">
        <f t="shared" si="27"/>
        <v>0</v>
      </c>
      <c r="O71" s="179">
        <v>0</v>
      </c>
      <c r="P71" s="80">
        <f t="shared" si="28"/>
        <v>0</v>
      </c>
      <c r="Q71" s="179">
        <v>0</v>
      </c>
      <c r="R71" s="80">
        <f t="shared" si="29"/>
        <v>0</v>
      </c>
      <c r="S71" s="179">
        <v>0</v>
      </c>
      <c r="T71" s="80">
        <f t="shared" si="30"/>
        <v>0</v>
      </c>
      <c r="U71" s="179">
        <v>0</v>
      </c>
      <c r="V71" s="80">
        <f t="shared" si="31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2"/>
        <v>0</v>
      </c>
      <c r="E72" s="179">
        <v>0</v>
      </c>
      <c r="F72" s="80">
        <f t="shared" si="23"/>
        <v>0</v>
      </c>
      <c r="G72" s="179">
        <v>0</v>
      </c>
      <c r="H72" s="80">
        <f t="shared" si="24"/>
        <v>0</v>
      </c>
      <c r="I72" s="179">
        <v>0</v>
      </c>
      <c r="J72" s="80">
        <f t="shared" si="25"/>
        <v>0</v>
      </c>
      <c r="K72" s="179">
        <v>0</v>
      </c>
      <c r="L72" s="80">
        <f t="shared" si="26"/>
        <v>0</v>
      </c>
      <c r="M72" s="179">
        <v>0</v>
      </c>
      <c r="N72" s="80">
        <f t="shared" si="27"/>
        <v>0</v>
      </c>
      <c r="O72" s="179">
        <v>0</v>
      </c>
      <c r="P72" s="80">
        <f t="shared" si="28"/>
        <v>0</v>
      </c>
      <c r="Q72" s="179">
        <v>0</v>
      </c>
      <c r="R72" s="80">
        <f t="shared" si="29"/>
        <v>0</v>
      </c>
      <c r="S72" s="179">
        <v>0</v>
      </c>
      <c r="T72" s="80">
        <f t="shared" si="30"/>
        <v>0</v>
      </c>
      <c r="U72" s="179">
        <v>0</v>
      </c>
      <c r="V72" s="80">
        <f t="shared" si="31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2"/>
        <v>0</v>
      </c>
      <c r="E73" s="179">
        <v>0</v>
      </c>
      <c r="F73" s="80">
        <f t="shared" si="23"/>
        <v>0</v>
      </c>
      <c r="G73" s="179">
        <v>0</v>
      </c>
      <c r="H73" s="80">
        <f t="shared" si="24"/>
        <v>0</v>
      </c>
      <c r="I73" s="179">
        <v>0</v>
      </c>
      <c r="J73" s="80">
        <f t="shared" si="25"/>
        <v>0</v>
      </c>
      <c r="K73" s="179">
        <v>0</v>
      </c>
      <c r="L73" s="80">
        <f t="shared" si="26"/>
        <v>0</v>
      </c>
      <c r="M73" s="179">
        <v>0</v>
      </c>
      <c r="N73" s="80">
        <f t="shared" si="27"/>
        <v>0</v>
      </c>
      <c r="O73" s="179">
        <v>0</v>
      </c>
      <c r="P73" s="80">
        <f t="shared" si="28"/>
        <v>0</v>
      </c>
      <c r="Q73" s="179">
        <v>0</v>
      </c>
      <c r="R73" s="80">
        <f t="shared" si="29"/>
        <v>0</v>
      </c>
      <c r="S73" s="179">
        <v>0</v>
      </c>
      <c r="T73" s="80">
        <f t="shared" si="30"/>
        <v>0</v>
      </c>
      <c r="U73" s="179">
        <v>0</v>
      </c>
      <c r="V73" s="80">
        <f t="shared" si="31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2"/>
        <v>0</v>
      </c>
      <c r="E74" s="179">
        <v>0</v>
      </c>
      <c r="F74" s="80">
        <f t="shared" si="23"/>
        <v>0</v>
      </c>
      <c r="G74" s="179">
        <v>0</v>
      </c>
      <c r="H74" s="80">
        <f t="shared" si="24"/>
        <v>0</v>
      </c>
      <c r="I74" s="179">
        <v>0</v>
      </c>
      <c r="J74" s="80">
        <f t="shared" si="25"/>
        <v>0</v>
      </c>
      <c r="K74" s="179">
        <v>0</v>
      </c>
      <c r="L74" s="80">
        <f t="shared" si="26"/>
        <v>0</v>
      </c>
      <c r="M74" s="179">
        <v>0</v>
      </c>
      <c r="N74" s="80">
        <f t="shared" si="27"/>
        <v>0</v>
      </c>
      <c r="O74" s="179">
        <v>0</v>
      </c>
      <c r="P74" s="80">
        <f t="shared" si="28"/>
        <v>0</v>
      </c>
      <c r="Q74" s="179">
        <v>0</v>
      </c>
      <c r="R74" s="80">
        <f t="shared" si="29"/>
        <v>0</v>
      </c>
      <c r="S74" s="179">
        <v>0</v>
      </c>
      <c r="T74" s="80">
        <f t="shared" si="30"/>
        <v>0</v>
      </c>
      <c r="U74" s="179">
        <v>0</v>
      </c>
      <c r="V74" s="80">
        <f t="shared" si="31"/>
        <v>0</v>
      </c>
      <c r="X74" s="200"/>
    </row>
    <row r="75" spans="1:24" ht="12.75" customHeight="1">
      <c r="A75" s="2" t="s">
        <v>406</v>
      </c>
      <c r="B75" s="35"/>
      <c r="C75" s="179">
        <v>4975.5870000000004</v>
      </c>
      <c r="D75" s="80">
        <f t="shared" si="22"/>
        <v>5.0000000000000001E-3</v>
      </c>
      <c r="E75" s="179">
        <v>5445</v>
      </c>
      <c r="F75" s="80">
        <f t="shared" si="23"/>
        <v>5.0000000000000001E-3</v>
      </c>
      <c r="G75" s="179">
        <v>5553.9</v>
      </c>
      <c r="H75" s="80">
        <f t="shared" si="24"/>
        <v>5.0000000000000001E-3</v>
      </c>
      <c r="I75" s="179">
        <v>5664.978000000001</v>
      </c>
      <c r="J75" s="80">
        <f t="shared" si="25"/>
        <v>5.0000000000000001E-3</v>
      </c>
      <c r="K75" s="179">
        <v>5778.2775600000014</v>
      </c>
      <c r="L75" s="80">
        <f t="shared" si="26"/>
        <v>5.000000000000001E-3</v>
      </c>
      <c r="M75" s="179">
        <v>5893.8431111999998</v>
      </c>
      <c r="N75" s="80">
        <f t="shared" si="27"/>
        <v>4.9999999999999992E-3</v>
      </c>
      <c r="O75" s="179">
        <v>6011.7199734240012</v>
      </c>
      <c r="P75" s="80">
        <f t="shared" si="28"/>
        <v>5.0000000000000001E-3</v>
      </c>
      <c r="Q75" s="179">
        <v>6131.9543728924818</v>
      </c>
      <c r="R75" s="80">
        <f t="shared" si="29"/>
        <v>5.000000000000001E-3</v>
      </c>
      <c r="S75" s="179">
        <v>6254.593460350332</v>
      </c>
      <c r="T75" s="80">
        <f t="shared" si="30"/>
        <v>5.000000000000001E-3</v>
      </c>
      <c r="U75" s="179">
        <v>6379.6853295573383</v>
      </c>
      <c r="V75" s="80">
        <f t="shared" si="31"/>
        <v>5.0000000000000001E-3</v>
      </c>
      <c r="X75" s="200"/>
    </row>
    <row r="76" spans="1:24" ht="12.75" customHeight="1">
      <c r="A76" s="2" t="s">
        <v>407</v>
      </c>
      <c r="B76" s="35"/>
      <c r="C76" s="179">
        <v>398.04696000000007</v>
      </c>
      <c r="D76" s="80">
        <f t="shared" si="22"/>
        <v>4.0000000000000007E-4</v>
      </c>
      <c r="E76" s="179">
        <v>435.6</v>
      </c>
      <c r="F76" s="80">
        <f t="shared" si="23"/>
        <v>4.0000000000000002E-4</v>
      </c>
      <c r="G76" s="179">
        <v>444.31200000000001</v>
      </c>
      <c r="H76" s="80">
        <f t="shared" si="24"/>
        <v>4.0000000000000002E-4</v>
      </c>
      <c r="I76" s="179">
        <v>453.19824000000006</v>
      </c>
      <c r="J76" s="80">
        <f t="shared" si="25"/>
        <v>4.0000000000000002E-4</v>
      </c>
      <c r="K76" s="179">
        <v>462.26220480000006</v>
      </c>
      <c r="L76" s="80">
        <f t="shared" si="26"/>
        <v>4.0000000000000002E-4</v>
      </c>
      <c r="M76" s="179">
        <v>471.50744889600008</v>
      </c>
      <c r="N76" s="80">
        <f t="shared" si="27"/>
        <v>4.0000000000000002E-4</v>
      </c>
      <c r="O76" s="179">
        <v>480.93759787392014</v>
      </c>
      <c r="P76" s="80">
        <f t="shared" si="28"/>
        <v>4.0000000000000002E-4</v>
      </c>
      <c r="Q76" s="179">
        <v>490.55634983139856</v>
      </c>
      <c r="R76" s="80">
        <f t="shared" si="29"/>
        <v>4.0000000000000007E-4</v>
      </c>
      <c r="S76" s="179">
        <v>500.36747682802655</v>
      </c>
      <c r="T76" s="80">
        <f t="shared" si="30"/>
        <v>4.0000000000000007E-4</v>
      </c>
      <c r="U76" s="179">
        <v>510.37482636458714</v>
      </c>
      <c r="V76" s="80">
        <f t="shared" si="31"/>
        <v>4.0000000000000007E-4</v>
      </c>
      <c r="X76" s="200"/>
    </row>
    <row r="77" spans="1:24" ht="12.75" customHeight="1">
      <c r="A77" s="2" t="s">
        <v>408</v>
      </c>
      <c r="B77" s="35"/>
      <c r="C77" s="179">
        <v>1293.6526200000001</v>
      </c>
      <c r="D77" s="80">
        <f t="shared" si="22"/>
        <v>1.2999999999999999E-3</v>
      </c>
      <c r="E77" s="179">
        <v>1415.6999999999998</v>
      </c>
      <c r="F77" s="80">
        <f t="shared" si="23"/>
        <v>1.2999999999999999E-3</v>
      </c>
      <c r="G77" s="179">
        <v>1444.0139999999997</v>
      </c>
      <c r="H77" s="80">
        <f t="shared" si="24"/>
        <v>1.2999999999999997E-3</v>
      </c>
      <c r="I77" s="179">
        <v>1472.89428</v>
      </c>
      <c r="J77" s="80">
        <f t="shared" si="25"/>
        <v>1.2999999999999999E-3</v>
      </c>
      <c r="K77" s="179">
        <v>1502.3521656</v>
      </c>
      <c r="L77" s="80">
        <f t="shared" si="26"/>
        <v>1.2999999999999999E-3</v>
      </c>
      <c r="M77" s="179">
        <v>1532.3992089120002</v>
      </c>
      <c r="N77" s="80">
        <f t="shared" si="27"/>
        <v>1.2999999999999999E-3</v>
      </c>
      <c r="O77" s="179">
        <v>1563.0471930902402</v>
      </c>
      <c r="P77" s="80">
        <f t="shared" si="28"/>
        <v>1.2999999999999999E-3</v>
      </c>
      <c r="Q77" s="179">
        <v>1594.3081369520453</v>
      </c>
      <c r="R77" s="80">
        <f t="shared" si="29"/>
        <v>1.3000000000000002E-3</v>
      </c>
      <c r="S77" s="179">
        <v>1626.1942996910861</v>
      </c>
      <c r="T77" s="80">
        <f t="shared" si="30"/>
        <v>1.2999999999999999E-3</v>
      </c>
      <c r="U77" s="179">
        <v>1658.7181856849079</v>
      </c>
      <c r="V77" s="80">
        <f t="shared" si="31"/>
        <v>1.2999999999999999E-3</v>
      </c>
      <c r="X77" s="200"/>
    </row>
    <row r="78" spans="1:24" ht="12.75" customHeight="1">
      <c r="A78" s="2" t="s">
        <v>409</v>
      </c>
      <c r="B78" s="35"/>
      <c r="C78" s="179">
        <v>21892.5828</v>
      </c>
      <c r="D78" s="80">
        <f t="shared" si="22"/>
        <v>2.1999999999999999E-2</v>
      </c>
      <c r="E78" s="179">
        <v>23957.999999999996</v>
      </c>
      <c r="F78" s="80">
        <f t="shared" si="23"/>
        <v>2.1999999999999995E-2</v>
      </c>
      <c r="G78" s="179">
        <v>24437.159999999996</v>
      </c>
      <c r="H78" s="80">
        <f t="shared" si="24"/>
        <v>2.1999999999999995E-2</v>
      </c>
      <c r="I78" s="179">
        <v>24925.903199999997</v>
      </c>
      <c r="J78" s="80">
        <f t="shared" si="25"/>
        <v>2.1999999999999995E-2</v>
      </c>
      <c r="K78" s="179">
        <v>25424.421264000001</v>
      </c>
      <c r="L78" s="80">
        <f t="shared" si="26"/>
        <v>2.1999999999999999E-2</v>
      </c>
      <c r="M78" s="179">
        <v>25932.909689280004</v>
      </c>
      <c r="N78" s="80">
        <f t="shared" si="27"/>
        <v>2.2000000000000002E-2</v>
      </c>
      <c r="O78" s="179">
        <v>26451.567883065603</v>
      </c>
      <c r="P78" s="80">
        <f t="shared" si="28"/>
        <v>2.1999999999999999E-2</v>
      </c>
      <c r="Q78" s="179">
        <v>26980.599240726915</v>
      </c>
      <c r="R78" s="80">
        <f t="shared" si="29"/>
        <v>2.1999999999999999E-2</v>
      </c>
      <c r="S78" s="179">
        <v>27520.211225541458</v>
      </c>
      <c r="T78" s="80">
        <f t="shared" si="30"/>
        <v>2.2000000000000002E-2</v>
      </c>
      <c r="U78" s="179">
        <v>28070.61545005229</v>
      </c>
      <c r="V78" s="80">
        <f t="shared" si="31"/>
        <v>2.2000000000000002E-2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2"/>
        <v>0</v>
      </c>
      <c r="E79" s="179">
        <v>0</v>
      </c>
      <c r="F79" s="80">
        <f t="shared" si="23"/>
        <v>0</v>
      </c>
      <c r="G79" s="179">
        <v>0</v>
      </c>
      <c r="H79" s="80">
        <f t="shared" si="24"/>
        <v>0</v>
      </c>
      <c r="I79" s="179">
        <v>0</v>
      </c>
      <c r="J79" s="80">
        <f t="shared" si="25"/>
        <v>0</v>
      </c>
      <c r="K79" s="179">
        <v>0</v>
      </c>
      <c r="L79" s="80">
        <f t="shared" si="26"/>
        <v>0</v>
      </c>
      <c r="M79" s="179">
        <v>0</v>
      </c>
      <c r="N79" s="80">
        <f t="shared" si="27"/>
        <v>0</v>
      </c>
      <c r="O79" s="179">
        <v>0</v>
      </c>
      <c r="P79" s="80">
        <f t="shared" si="28"/>
        <v>0</v>
      </c>
      <c r="Q79" s="179">
        <v>0</v>
      </c>
      <c r="R79" s="80">
        <f t="shared" si="29"/>
        <v>0</v>
      </c>
      <c r="S79" s="179">
        <v>0</v>
      </c>
      <c r="T79" s="80">
        <f t="shared" si="30"/>
        <v>0</v>
      </c>
      <c r="U79" s="179">
        <v>0</v>
      </c>
      <c r="V79" s="80">
        <f t="shared" si="31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2"/>
        <v>0</v>
      </c>
      <c r="E80" s="179">
        <v>0</v>
      </c>
      <c r="F80" s="80">
        <f t="shared" si="23"/>
        <v>0</v>
      </c>
      <c r="G80" s="179">
        <v>0</v>
      </c>
      <c r="H80" s="80">
        <f t="shared" si="24"/>
        <v>0</v>
      </c>
      <c r="I80" s="179">
        <v>0</v>
      </c>
      <c r="J80" s="80">
        <f t="shared" si="25"/>
        <v>0</v>
      </c>
      <c r="K80" s="179">
        <v>0</v>
      </c>
      <c r="L80" s="80">
        <f t="shared" si="26"/>
        <v>0</v>
      </c>
      <c r="M80" s="179">
        <v>0</v>
      </c>
      <c r="N80" s="80">
        <f t="shared" si="27"/>
        <v>0</v>
      </c>
      <c r="O80" s="179">
        <v>0</v>
      </c>
      <c r="P80" s="80">
        <f t="shared" si="28"/>
        <v>0</v>
      </c>
      <c r="Q80" s="179">
        <v>0</v>
      </c>
      <c r="R80" s="80">
        <f t="shared" si="29"/>
        <v>0</v>
      </c>
      <c r="S80" s="179">
        <v>0</v>
      </c>
      <c r="T80" s="80">
        <f t="shared" si="30"/>
        <v>0</v>
      </c>
      <c r="U80" s="179">
        <v>0</v>
      </c>
      <c r="V80" s="80">
        <f t="shared" si="31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2"/>
        <v>0</v>
      </c>
      <c r="E81" s="179">
        <v>0</v>
      </c>
      <c r="F81" s="80">
        <f t="shared" si="23"/>
        <v>0</v>
      </c>
      <c r="G81" s="179">
        <v>0</v>
      </c>
      <c r="H81" s="80">
        <f t="shared" si="24"/>
        <v>0</v>
      </c>
      <c r="I81" s="179">
        <v>0</v>
      </c>
      <c r="J81" s="80">
        <f t="shared" si="25"/>
        <v>0</v>
      </c>
      <c r="K81" s="179">
        <v>0</v>
      </c>
      <c r="L81" s="80">
        <f t="shared" si="26"/>
        <v>0</v>
      </c>
      <c r="M81" s="179">
        <v>0</v>
      </c>
      <c r="N81" s="80">
        <f t="shared" si="27"/>
        <v>0</v>
      </c>
      <c r="O81" s="179">
        <v>0</v>
      </c>
      <c r="P81" s="80">
        <f t="shared" si="28"/>
        <v>0</v>
      </c>
      <c r="Q81" s="179">
        <v>0</v>
      </c>
      <c r="R81" s="80">
        <f t="shared" si="29"/>
        <v>0</v>
      </c>
      <c r="S81" s="179">
        <v>0</v>
      </c>
      <c r="T81" s="80">
        <f t="shared" si="30"/>
        <v>0</v>
      </c>
      <c r="U81" s="179">
        <v>0</v>
      </c>
      <c r="V81" s="80">
        <f t="shared" si="31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2"/>
        <v>0</v>
      </c>
      <c r="E82" s="179">
        <v>0</v>
      </c>
      <c r="F82" s="80">
        <f t="shared" si="23"/>
        <v>0</v>
      </c>
      <c r="G82" s="179">
        <v>0</v>
      </c>
      <c r="H82" s="80">
        <f t="shared" si="24"/>
        <v>0</v>
      </c>
      <c r="I82" s="179">
        <v>0</v>
      </c>
      <c r="J82" s="80">
        <f t="shared" si="25"/>
        <v>0</v>
      </c>
      <c r="K82" s="179">
        <v>0</v>
      </c>
      <c r="L82" s="80">
        <f t="shared" si="26"/>
        <v>0</v>
      </c>
      <c r="M82" s="179">
        <v>0</v>
      </c>
      <c r="N82" s="80">
        <f t="shared" si="27"/>
        <v>0</v>
      </c>
      <c r="O82" s="179">
        <v>0</v>
      </c>
      <c r="P82" s="80">
        <f t="shared" si="28"/>
        <v>0</v>
      </c>
      <c r="Q82" s="179">
        <v>0</v>
      </c>
      <c r="R82" s="80">
        <f t="shared" si="29"/>
        <v>0</v>
      </c>
      <c r="S82" s="179">
        <v>0</v>
      </c>
      <c r="T82" s="80">
        <f t="shared" si="30"/>
        <v>0</v>
      </c>
      <c r="U82" s="179">
        <v>0</v>
      </c>
      <c r="V82" s="80">
        <f t="shared" si="31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2"/>
        <v>0</v>
      </c>
      <c r="E83" s="179">
        <v>0</v>
      </c>
      <c r="F83" s="80">
        <f t="shared" si="23"/>
        <v>0</v>
      </c>
      <c r="G83" s="179">
        <v>0</v>
      </c>
      <c r="H83" s="80">
        <f t="shared" si="24"/>
        <v>0</v>
      </c>
      <c r="I83" s="179">
        <v>0</v>
      </c>
      <c r="J83" s="80">
        <f t="shared" si="25"/>
        <v>0</v>
      </c>
      <c r="K83" s="179">
        <v>0</v>
      </c>
      <c r="L83" s="80">
        <f t="shared" si="26"/>
        <v>0</v>
      </c>
      <c r="M83" s="179">
        <v>0</v>
      </c>
      <c r="N83" s="80">
        <f t="shared" si="27"/>
        <v>0</v>
      </c>
      <c r="O83" s="179">
        <v>0</v>
      </c>
      <c r="P83" s="80">
        <f t="shared" si="28"/>
        <v>0</v>
      </c>
      <c r="Q83" s="179">
        <v>0</v>
      </c>
      <c r="R83" s="80">
        <f t="shared" si="29"/>
        <v>0</v>
      </c>
      <c r="S83" s="179">
        <v>0</v>
      </c>
      <c r="T83" s="80">
        <f t="shared" si="30"/>
        <v>0</v>
      </c>
      <c r="U83" s="179">
        <v>0</v>
      </c>
      <c r="V83" s="80">
        <f t="shared" si="31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2"/>
        <v>0</v>
      </c>
      <c r="E84" s="179">
        <v>0</v>
      </c>
      <c r="F84" s="80">
        <f t="shared" si="23"/>
        <v>0</v>
      </c>
      <c r="G84" s="179">
        <v>0</v>
      </c>
      <c r="H84" s="80">
        <f t="shared" si="24"/>
        <v>0</v>
      </c>
      <c r="I84" s="179">
        <v>0</v>
      </c>
      <c r="J84" s="80">
        <f t="shared" si="25"/>
        <v>0</v>
      </c>
      <c r="K84" s="179">
        <v>0</v>
      </c>
      <c r="L84" s="80">
        <f t="shared" si="26"/>
        <v>0</v>
      </c>
      <c r="M84" s="179">
        <v>0</v>
      </c>
      <c r="N84" s="80">
        <f t="shared" si="27"/>
        <v>0</v>
      </c>
      <c r="O84" s="179">
        <v>0</v>
      </c>
      <c r="P84" s="80">
        <f t="shared" si="28"/>
        <v>0</v>
      </c>
      <c r="Q84" s="179">
        <v>0</v>
      </c>
      <c r="R84" s="80">
        <f t="shared" si="29"/>
        <v>0</v>
      </c>
      <c r="S84" s="179">
        <v>0</v>
      </c>
      <c r="T84" s="80">
        <f t="shared" si="30"/>
        <v>0</v>
      </c>
      <c r="U84" s="179">
        <v>0</v>
      </c>
      <c r="V84" s="80">
        <f t="shared" si="31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2"/>
        <v>0</v>
      </c>
      <c r="E85" s="179">
        <v>0</v>
      </c>
      <c r="F85" s="80">
        <f t="shared" si="23"/>
        <v>0</v>
      </c>
      <c r="G85" s="179">
        <v>0</v>
      </c>
      <c r="H85" s="80">
        <f t="shared" si="24"/>
        <v>0</v>
      </c>
      <c r="I85" s="179">
        <v>0</v>
      </c>
      <c r="J85" s="80">
        <f t="shared" si="25"/>
        <v>0</v>
      </c>
      <c r="K85" s="179">
        <v>0</v>
      </c>
      <c r="L85" s="80">
        <f t="shared" si="26"/>
        <v>0</v>
      </c>
      <c r="M85" s="179">
        <v>0</v>
      </c>
      <c r="N85" s="80">
        <f t="shared" si="27"/>
        <v>0</v>
      </c>
      <c r="O85" s="179">
        <v>0</v>
      </c>
      <c r="P85" s="80">
        <f t="shared" si="28"/>
        <v>0</v>
      </c>
      <c r="Q85" s="179">
        <v>0</v>
      </c>
      <c r="R85" s="80">
        <f t="shared" si="29"/>
        <v>0</v>
      </c>
      <c r="S85" s="179">
        <v>0</v>
      </c>
      <c r="T85" s="80">
        <f t="shared" si="30"/>
        <v>0</v>
      </c>
      <c r="U85" s="179">
        <v>0</v>
      </c>
      <c r="V85" s="80">
        <f t="shared" si="31"/>
        <v>0</v>
      </c>
      <c r="X85" s="200"/>
    </row>
    <row r="86" spans="1:24" ht="12.75" customHeight="1">
      <c r="A86" s="2" t="s">
        <v>417</v>
      </c>
      <c r="B86" s="35"/>
      <c r="C86" s="179">
        <v>3980.4695999999999</v>
      </c>
      <c r="D86" s="80">
        <f t="shared" si="22"/>
        <v>4.0000000000000001E-3</v>
      </c>
      <c r="E86" s="179">
        <v>4356</v>
      </c>
      <c r="F86" s="80">
        <f t="shared" si="23"/>
        <v>4.0000000000000001E-3</v>
      </c>
      <c r="G86" s="179">
        <v>4443.12</v>
      </c>
      <c r="H86" s="80">
        <f t="shared" si="24"/>
        <v>4.0000000000000001E-3</v>
      </c>
      <c r="I86" s="179">
        <v>4531.9824000000008</v>
      </c>
      <c r="J86" s="80">
        <f t="shared" si="25"/>
        <v>4.0000000000000001E-3</v>
      </c>
      <c r="K86" s="179">
        <v>4622.6220480000011</v>
      </c>
      <c r="L86" s="80">
        <f t="shared" si="26"/>
        <v>4.000000000000001E-3</v>
      </c>
      <c r="M86" s="179">
        <v>4715.074488960001</v>
      </c>
      <c r="N86" s="80">
        <f t="shared" si="27"/>
        <v>4.0000000000000001E-3</v>
      </c>
      <c r="O86" s="179">
        <v>4809.3759787392009</v>
      </c>
      <c r="P86" s="80">
        <f t="shared" si="28"/>
        <v>4.0000000000000001E-3</v>
      </c>
      <c r="Q86" s="179">
        <v>4905.5634983139853</v>
      </c>
      <c r="R86" s="80">
        <f t="shared" si="29"/>
        <v>4.0000000000000001E-3</v>
      </c>
      <c r="S86" s="179">
        <v>5003.6747682802652</v>
      </c>
      <c r="T86" s="80">
        <f t="shared" si="30"/>
        <v>4.0000000000000001E-3</v>
      </c>
      <c r="U86" s="179">
        <v>5103.7482636458708</v>
      </c>
      <c r="V86" s="80">
        <f t="shared" si="31"/>
        <v>4.0000000000000001E-3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2"/>
        <v>0</v>
      </c>
      <c r="E87" s="179">
        <v>0</v>
      </c>
      <c r="F87" s="80">
        <f t="shared" si="23"/>
        <v>0</v>
      </c>
      <c r="G87" s="179">
        <v>0</v>
      </c>
      <c r="H87" s="80">
        <f t="shared" si="24"/>
        <v>0</v>
      </c>
      <c r="I87" s="179">
        <v>0</v>
      </c>
      <c r="J87" s="80">
        <f t="shared" si="25"/>
        <v>0</v>
      </c>
      <c r="K87" s="179">
        <v>0</v>
      </c>
      <c r="L87" s="80">
        <f t="shared" si="26"/>
        <v>0</v>
      </c>
      <c r="M87" s="179">
        <v>0</v>
      </c>
      <c r="N87" s="80">
        <f t="shared" si="27"/>
        <v>0</v>
      </c>
      <c r="O87" s="179">
        <v>0</v>
      </c>
      <c r="P87" s="80">
        <f t="shared" si="28"/>
        <v>0</v>
      </c>
      <c r="Q87" s="179">
        <v>0</v>
      </c>
      <c r="R87" s="80">
        <f t="shared" si="29"/>
        <v>0</v>
      </c>
      <c r="S87" s="179">
        <v>0</v>
      </c>
      <c r="T87" s="80">
        <f t="shared" si="30"/>
        <v>0</v>
      </c>
      <c r="U87" s="179">
        <v>0</v>
      </c>
      <c r="V87" s="80">
        <f t="shared" si="31"/>
        <v>0</v>
      </c>
      <c r="X87" s="200"/>
    </row>
    <row r="88" spans="1:24" ht="12.75" customHeight="1">
      <c r="A88" s="2" t="s">
        <v>419</v>
      </c>
      <c r="B88" s="35"/>
      <c r="C88" s="179">
        <v>5075.0987400000013</v>
      </c>
      <c r="D88" s="80">
        <f t="shared" si="22"/>
        <v>5.1000000000000012E-3</v>
      </c>
      <c r="E88" s="179">
        <v>5553.9000000000005</v>
      </c>
      <c r="F88" s="80">
        <f t="shared" si="23"/>
        <v>5.1000000000000004E-3</v>
      </c>
      <c r="G88" s="179">
        <v>5664.978000000001</v>
      </c>
      <c r="H88" s="80">
        <f t="shared" si="24"/>
        <v>5.1000000000000012E-3</v>
      </c>
      <c r="I88" s="179">
        <v>5778.2775600000004</v>
      </c>
      <c r="J88" s="80">
        <f t="shared" si="25"/>
        <v>5.1000000000000004E-3</v>
      </c>
      <c r="K88" s="179">
        <v>5893.8431112000017</v>
      </c>
      <c r="L88" s="80">
        <f t="shared" si="26"/>
        <v>5.1000000000000012E-3</v>
      </c>
      <c r="M88" s="179">
        <v>6011.7199734240012</v>
      </c>
      <c r="N88" s="80">
        <f t="shared" si="27"/>
        <v>5.1000000000000004E-3</v>
      </c>
      <c r="O88" s="179">
        <v>6131.9543728924818</v>
      </c>
      <c r="P88" s="80">
        <f t="shared" si="28"/>
        <v>5.1000000000000004E-3</v>
      </c>
      <c r="Q88" s="179">
        <v>6254.593460350332</v>
      </c>
      <c r="R88" s="80">
        <f t="shared" si="29"/>
        <v>5.1000000000000012E-3</v>
      </c>
      <c r="S88" s="179">
        <v>6379.6853295573392</v>
      </c>
      <c r="T88" s="80">
        <f t="shared" si="30"/>
        <v>5.1000000000000012E-3</v>
      </c>
      <c r="U88" s="179">
        <v>6507.2790361484858</v>
      </c>
      <c r="V88" s="80">
        <f t="shared" si="31"/>
        <v>5.1000000000000004E-3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2"/>
        <v>0</v>
      </c>
      <c r="E89" s="179">
        <v>0</v>
      </c>
      <c r="F89" s="80">
        <f t="shared" si="23"/>
        <v>0</v>
      </c>
      <c r="G89" s="179">
        <v>0</v>
      </c>
      <c r="H89" s="80">
        <f t="shared" si="24"/>
        <v>0</v>
      </c>
      <c r="I89" s="179">
        <v>0</v>
      </c>
      <c r="J89" s="80">
        <f t="shared" si="25"/>
        <v>0</v>
      </c>
      <c r="K89" s="179">
        <v>0</v>
      </c>
      <c r="L89" s="80">
        <f t="shared" si="26"/>
        <v>0</v>
      </c>
      <c r="M89" s="179">
        <v>0</v>
      </c>
      <c r="N89" s="80">
        <f t="shared" si="27"/>
        <v>0</v>
      </c>
      <c r="O89" s="179">
        <v>0</v>
      </c>
      <c r="P89" s="80">
        <f t="shared" si="28"/>
        <v>0</v>
      </c>
      <c r="Q89" s="179">
        <v>0</v>
      </c>
      <c r="R89" s="80">
        <f t="shared" si="29"/>
        <v>0</v>
      </c>
      <c r="S89" s="179">
        <v>0</v>
      </c>
      <c r="T89" s="80">
        <f t="shared" si="30"/>
        <v>0</v>
      </c>
      <c r="U89" s="179">
        <v>0</v>
      </c>
      <c r="V89" s="80">
        <f t="shared" si="31"/>
        <v>0</v>
      </c>
      <c r="X89" s="200"/>
    </row>
    <row r="90" spans="1:24" ht="12.75" customHeight="1">
      <c r="A90" s="2" t="s">
        <v>421</v>
      </c>
      <c r="B90" s="35"/>
      <c r="C90" s="179">
        <v>199.02348000000003</v>
      </c>
      <c r="D90" s="80">
        <f t="shared" si="22"/>
        <v>2.0000000000000004E-4</v>
      </c>
      <c r="E90" s="179">
        <v>217.8</v>
      </c>
      <c r="F90" s="80">
        <f t="shared" si="23"/>
        <v>2.0000000000000001E-4</v>
      </c>
      <c r="G90" s="179">
        <v>222.15600000000001</v>
      </c>
      <c r="H90" s="80">
        <f t="shared" si="24"/>
        <v>2.0000000000000001E-4</v>
      </c>
      <c r="I90" s="179">
        <v>226.59912000000003</v>
      </c>
      <c r="J90" s="80">
        <f t="shared" si="25"/>
        <v>2.0000000000000001E-4</v>
      </c>
      <c r="K90" s="179">
        <v>231.13110240000003</v>
      </c>
      <c r="L90" s="80">
        <f t="shared" si="26"/>
        <v>2.0000000000000001E-4</v>
      </c>
      <c r="M90" s="179">
        <v>235.75372444800004</v>
      </c>
      <c r="N90" s="80">
        <f t="shared" si="27"/>
        <v>2.0000000000000001E-4</v>
      </c>
      <c r="O90" s="179">
        <v>240.46879893696007</v>
      </c>
      <c r="P90" s="80">
        <f t="shared" si="28"/>
        <v>2.0000000000000001E-4</v>
      </c>
      <c r="Q90" s="179">
        <v>245.27817491569928</v>
      </c>
      <c r="R90" s="80">
        <f t="shared" si="29"/>
        <v>2.0000000000000004E-4</v>
      </c>
      <c r="S90" s="179">
        <v>250.18373841401328</v>
      </c>
      <c r="T90" s="80">
        <f t="shared" si="30"/>
        <v>2.0000000000000004E-4</v>
      </c>
      <c r="U90" s="179">
        <v>255.18741318229357</v>
      </c>
      <c r="V90" s="80">
        <f t="shared" si="31"/>
        <v>2.0000000000000004E-4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22"/>
        <v>0</v>
      </c>
      <c r="E91" s="179">
        <v>0</v>
      </c>
      <c r="F91" s="80">
        <f t="shared" si="23"/>
        <v>0</v>
      </c>
      <c r="G91" s="179">
        <v>0</v>
      </c>
      <c r="H91" s="80">
        <f t="shared" si="24"/>
        <v>0</v>
      </c>
      <c r="I91" s="179">
        <v>0</v>
      </c>
      <c r="J91" s="80">
        <f t="shared" si="25"/>
        <v>0</v>
      </c>
      <c r="K91" s="179">
        <v>0</v>
      </c>
      <c r="L91" s="80">
        <f t="shared" si="26"/>
        <v>0</v>
      </c>
      <c r="M91" s="179">
        <v>0</v>
      </c>
      <c r="N91" s="80">
        <f t="shared" si="27"/>
        <v>0</v>
      </c>
      <c r="O91" s="179">
        <v>0</v>
      </c>
      <c r="P91" s="80">
        <f t="shared" si="28"/>
        <v>0</v>
      </c>
      <c r="Q91" s="179">
        <v>0</v>
      </c>
      <c r="R91" s="80">
        <f t="shared" si="29"/>
        <v>0</v>
      </c>
      <c r="S91" s="179">
        <v>0</v>
      </c>
      <c r="T91" s="80">
        <f t="shared" si="30"/>
        <v>0</v>
      </c>
      <c r="U91" s="179">
        <v>0</v>
      </c>
      <c r="V91" s="80">
        <f t="shared" si="31"/>
        <v>0</v>
      </c>
      <c r="X91" s="200"/>
    </row>
    <row r="92" spans="1:24" ht="12.75" customHeight="1">
      <c r="A92" s="2" t="s">
        <v>423</v>
      </c>
      <c r="B92" s="35"/>
      <c r="C92" s="179">
        <v>5174.6104800000003</v>
      </c>
      <c r="D92" s="80">
        <f t="shared" si="22"/>
        <v>5.1999999999999998E-3</v>
      </c>
      <c r="E92" s="179">
        <v>5662.7999999999993</v>
      </c>
      <c r="F92" s="80">
        <f t="shared" si="23"/>
        <v>5.1999999999999998E-3</v>
      </c>
      <c r="G92" s="179">
        <v>5776.0559999999987</v>
      </c>
      <c r="H92" s="80">
        <f t="shared" si="24"/>
        <v>5.1999999999999989E-3</v>
      </c>
      <c r="I92" s="179">
        <v>5891.5771199999999</v>
      </c>
      <c r="J92" s="80">
        <f t="shared" si="25"/>
        <v>5.1999999999999998E-3</v>
      </c>
      <c r="K92" s="179">
        <v>6009.4086624000001</v>
      </c>
      <c r="L92" s="80">
        <f t="shared" si="26"/>
        <v>5.1999999999999998E-3</v>
      </c>
      <c r="M92" s="179">
        <v>6129.5968356480007</v>
      </c>
      <c r="N92" s="80">
        <f t="shared" si="27"/>
        <v>5.1999999999999998E-3</v>
      </c>
      <c r="O92" s="179">
        <v>6252.1887723609607</v>
      </c>
      <c r="P92" s="80">
        <f t="shared" si="28"/>
        <v>5.1999999999999998E-3</v>
      </c>
      <c r="Q92" s="179">
        <v>6377.2325478081812</v>
      </c>
      <c r="R92" s="80">
        <f t="shared" si="29"/>
        <v>5.2000000000000006E-3</v>
      </c>
      <c r="S92" s="179">
        <v>6504.7771987643446</v>
      </c>
      <c r="T92" s="80">
        <f t="shared" si="30"/>
        <v>5.1999999999999998E-3</v>
      </c>
      <c r="U92" s="179">
        <v>6634.8727427396316</v>
      </c>
      <c r="V92" s="80">
        <f t="shared" si="31"/>
        <v>5.1999999999999998E-3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2"/>
        <v>0</v>
      </c>
      <c r="E93" s="179">
        <v>0</v>
      </c>
      <c r="F93" s="80">
        <f t="shared" si="23"/>
        <v>0</v>
      </c>
      <c r="G93" s="179">
        <v>0</v>
      </c>
      <c r="H93" s="80">
        <f t="shared" si="24"/>
        <v>0</v>
      </c>
      <c r="I93" s="179">
        <v>0</v>
      </c>
      <c r="J93" s="80">
        <f t="shared" si="25"/>
        <v>0</v>
      </c>
      <c r="K93" s="179">
        <v>0</v>
      </c>
      <c r="L93" s="80">
        <f t="shared" si="26"/>
        <v>0</v>
      </c>
      <c r="M93" s="179">
        <v>0</v>
      </c>
      <c r="N93" s="80">
        <f t="shared" si="27"/>
        <v>0</v>
      </c>
      <c r="O93" s="179">
        <v>0</v>
      </c>
      <c r="P93" s="80">
        <f t="shared" si="28"/>
        <v>0</v>
      </c>
      <c r="Q93" s="179">
        <v>0</v>
      </c>
      <c r="R93" s="80">
        <f t="shared" si="29"/>
        <v>0</v>
      </c>
      <c r="S93" s="179">
        <v>0</v>
      </c>
      <c r="T93" s="80">
        <f t="shared" si="30"/>
        <v>0</v>
      </c>
      <c r="U93" s="179">
        <v>0</v>
      </c>
      <c r="V93" s="80">
        <f t="shared" si="31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2"/>
        <v>0</v>
      </c>
      <c r="E94" s="179">
        <v>0</v>
      </c>
      <c r="F94" s="80">
        <f t="shared" si="23"/>
        <v>0</v>
      </c>
      <c r="G94" s="179">
        <v>0</v>
      </c>
      <c r="H94" s="80">
        <f t="shared" si="24"/>
        <v>0</v>
      </c>
      <c r="I94" s="179">
        <v>0</v>
      </c>
      <c r="J94" s="80">
        <f t="shared" si="25"/>
        <v>0</v>
      </c>
      <c r="K94" s="179">
        <v>0</v>
      </c>
      <c r="L94" s="80">
        <f t="shared" si="26"/>
        <v>0</v>
      </c>
      <c r="M94" s="179">
        <v>0</v>
      </c>
      <c r="N94" s="80">
        <f t="shared" si="27"/>
        <v>0</v>
      </c>
      <c r="O94" s="179">
        <v>0</v>
      </c>
      <c r="P94" s="80">
        <f t="shared" si="28"/>
        <v>0</v>
      </c>
      <c r="Q94" s="179">
        <v>0</v>
      </c>
      <c r="R94" s="80">
        <f t="shared" si="29"/>
        <v>0</v>
      </c>
      <c r="S94" s="179">
        <v>0</v>
      </c>
      <c r="T94" s="80">
        <f t="shared" si="30"/>
        <v>0</v>
      </c>
      <c r="U94" s="179">
        <v>0</v>
      </c>
      <c r="V94" s="80">
        <f t="shared" si="31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2"/>
        <v>0</v>
      </c>
      <c r="E95" s="179">
        <v>0</v>
      </c>
      <c r="F95" s="80">
        <f t="shared" si="23"/>
        <v>0</v>
      </c>
      <c r="G95" s="179">
        <v>0</v>
      </c>
      <c r="H95" s="80">
        <f t="shared" si="24"/>
        <v>0</v>
      </c>
      <c r="I95" s="179">
        <v>0</v>
      </c>
      <c r="J95" s="80">
        <f t="shared" si="25"/>
        <v>0</v>
      </c>
      <c r="K95" s="179">
        <v>0</v>
      </c>
      <c r="L95" s="80">
        <f t="shared" si="26"/>
        <v>0</v>
      </c>
      <c r="M95" s="179">
        <v>0</v>
      </c>
      <c r="N95" s="80">
        <f t="shared" si="27"/>
        <v>0</v>
      </c>
      <c r="O95" s="179">
        <v>0</v>
      </c>
      <c r="P95" s="80">
        <f t="shared" si="28"/>
        <v>0</v>
      </c>
      <c r="Q95" s="179">
        <v>0</v>
      </c>
      <c r="R95" s="80">
        <f t="shared" si="29"/>
        <v>0</v>
      </c>
      <c r="S95" s="179">
        <v>0</v>
      </c>
      <c r="T95" s="80">
        <f t="shared" si="30"/>
        <v>0</v>
      </c>
      <c r="U95" s="179">
        <v>0</v>
      </c>
      <c r="V95" s="80">
        <f t="shared" si="31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2"/>
        <v>0</v>
      </c>
      <c r="E96" s="179">
        <v>0</v>
      </c>
      <c r="F96" s="80">
        <f t="shared" si="23"/>
        <v>0</v>
      </c>
      <c r="G96" s="179">
        <v>0</v>
      </c>
      <c r="H96" s="80">
        <f t="shared" si="24"/>
        <v>0</v>
      </c>
      <c r="I96" s="179">
        <v>0</v>
      </c>
      <c r="J96" s="80">
        <f t="shared" si="25"/>
        <v>0</v>
      </c>
      <c r="K96" s="179">
        <v>0</v>
      </c>
      <c r="L96" s="80">
        <f t="shared" si="26"/>
        <v>0</v>
      </c>
      <c r="M96" s="179">
        <v>0</v>
      </c>
      <c r="N96" s="80">
        <f t="shared" si="27"/>
        <v>0</v>
      </c>
      <c r="O96" s="179">
        <v>0</v>
      </c>
      <c r="P96" s="80">
        <f t="shared" si="28"/>
        <v>0</v>
      </c>
      <c r="Q96" s="179">
        <v>0</v>
      </c>
      <c r="R96" s="80">
        <f t="shared" si="29"/>
        <v>0</v>
      </c>
      <c r="S96" s="179">
        <v>0</v>
      </c>
      <c r="T96" s="80">
        <f t="shared" si="30"/>
        <v>0</v>
      </c>
      <c r="U96" s="179">
        <v>0</v>
      </c>
      <c r="V96" s="80">
        <f t="shared" si="31"/>
        <v>0</v>
      </c>
      <c r="X96" s="200"/>
    </row>
    <row r="97" spans="1:24" ht="12.75" customHeight="1">
      <c r="A97" s="2" t="s">
        <v>428</v>
      </c>
      <c r="B97" s="35"/>
      <c r="C97" s="179">
        <v>7621.1062000000002</v>
      </c>
      <c r="D97" s="80">
        <f t="shared" si="22"/>
        <v>7.6584995900986158E-3</v>
      </c>
      <c r="E97" s="179">
        <v>8474.6700944000004</v>
      </c>
      <c r="F97" s="80">
        <f t="shared" si="23"/>
        <v>7.7820662023875119E-3</v>
      </c>
      <c r="G97" s="179">
        <v>8771.2835477040007</v>
      </c>
      <c r="H97" s="80">
        <f t="shared" si="24"/>
        <v>7.8965083524226223E-3</v>
      </c>
      <c r="I97" s="179">
        <v>9051.964621230527</v>
      </c>
      <c r="J97" s="80">
        <f t="shared" si="25"/>
        <v>7.9894084506864152E-3</v>
      </c>
      <c r="K97" s="179">
        <v>9278.2637367612915</v>
      </c>
      <c r="L97" s="80">
        <f t="shared" si="26"/>
        <v>8.0285722176015473E-3</v>
      </c>
      <c r="M97" s="179">
        <v>9510.220330180322</v>
      </c>
      <c r="N97" s="80">
        <f t="shared" si="27"/>
        <v>8.0679279637662586E-3</v>
      </c>
      <c r="O97" s="179">
        <v>9747.9758384348279</v>
      </c>
      <c r="P97" s="80">
        <f t="shared" si="28"/>
        <v>8.1074766302553052E-3</v>
      </c>
      <c r="Q97" s="179">
        <v>9991.6752343956978</v>
      </c>
      <c r="R97" s="80">
        <f t="shared" si="29"/>
        <v>8.1472191627565572E-3</v>
      </c>
      <c r="S97" s="179">
        <v>10241.467115255591</v>
      </c>
      <c r="T97" s="80">
        <f t="shared" si="30"/>
        <v>8.1871565115935983E-3</v>
      </c>
      <c r="U97" s="179">
        <v>10497.503793136979</v>
      </c>
      <c r="V97" s="80">
        <f t="shared" si="31"/>
        <v>8.2272896317484683E-3</v>
      </c>
      <c r="X97" s="200"/>
    </row>
    <row r="98" spans="1:24" ht="12.75" customHeight="1">
      <c r="A98" s="117" t="s">
        <v>431</v>
      </c>
      <c r="B98" s="35"/>
      <c r="C98" s="179">
        <v>1194.1408799999999</v>
      </c>
      <c r="D98" s="80">
        <f t="shared" si="22"/>
        <v>1.1999999999999999E-3</v>
      </c>
      <c r="E98" s="179">
        <v>1306.7999999999997</v>
      </c>
      <c r="F98" s="80">
        <f t="shared" si="23"/>
        <v>1.1999999999999997E-3</v>
      </c>
      <c r="G98" s="179">
        <v>1332.9359999999997</v>
      </c>
      <c r="H98" s="80">
        <f t="shared" si="24"/>
        <v>1.1999999999999997E-3</v>
      </c>
      <c r="I98" s="179">
        <v>1359.5947199999998</v>
      </c>
      <c r="J98" s="80">
        <f t="shared" si="25"/>
        <v>1.1999999999999997E-3</v>
      </c>
      <c r="K98" s="179">
        <v>1386.7866144</v>
      </c>
      <c r="L98" s="80">
        <f t="shared" si="26"/>
        <v>1.1999999999999999E-3</v>
      </c>
      <c r="M98" s="179">
        <v>1414.522346688</v>
      </c>
      <c r="N98" s="80">
        <f t="shared" si="27"/>
        <v>1.1999999999999999E-3</v>
      </c>
      <c r="O98" s="179">
        <v>1442.8127936217602</v>
      </c>
      <c r="P98" s="80">
        <f t="shared" si="28"/>
        <v>1.1999999999999999E-3</v>
      </c>
      <c r="Q98" s="179">
        <v>1471.6690494941954</v>
      </c>
      <c r="R98" s="80">
        <f t="shared" si="29"/>
        <v>1.1999999999999999E-3</v>
      </c>
      <c r="S98" s="179">
        <v>1501.1024304840796</v>
      </c>
      <c r="T98" s="80">
        <f t="shared" si="30"/>
        <v>1.2000000000000001E-3</v>
      </c>
      <c r="U98" s="179">
        <v>1531.124479093761</v>
      </c>
      <c r="V98" s="80">
        <f t="shared" si="31"/>
        <v>1.1999999999999999E-3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2"/>
        <v>0</v>
      </c>
      <c r="E99" s="179">
        <v>0</v>
      </c>
      <c r="F99" s="80">
        <f t="shared" si="23"/>
        <v>0</v>
      </c>
      <c r="G99" s="179">
        <v>0</v>
      </c>
      <c r="H99" s="80">
        <f t="shared" si="24"/>
        <v>0</v>
      </c>
      <c r="I99" s="179">
        <v>0</v>
      </c>
      <c r="J99" s="80">
        <f t="shared" si="25"/>
        <v>0</v>
      </c>
      <c r="K99" s="179">
        <v>0</v>
      </c>
      <c r="L99" s="80">
        <f t="shared" si="26"/>
        <v>0</v>
      </c>
      <c r="M99" s="179">
        <v>0</v>
      </c>
      <c r="N99" s="80">
        <f t="shared" si="27"/>
        <v>0</v>
      </c>
      <c r="O99" s="179">
        <v>0</v>
      </c>
      <c r="P99" s="80">
        <f t="shared" si="28"/>
        <v>0</v>
      </c>
      <c r="Q99" s="179">
        <v>0</v>
      </c>
      <c r="R99" s="80">
        <f t="shared" si="29"/>
        <v>0</v>
      </c>
      <c r="S99" s="179">
        <v>0</v>
      </c>
      <c r="T99" s="80">
        <f t="shared" si="30"/>
        <v>0</v>
      </c>
      <c r="U99" s="179">
        <v>0</v>
      </c>
      <c r="V99" s="80">
        <f t="shared" si="31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2"/>
        <v>0</v>
      </c>
      <c r="E100" s="179">
        <v>0</v>
      </c>
      <c r="F100" s="80">
        <f t="shared" si="23"/>
        <v>0</v>
      </c>
      <c r="G100" s="179">
        <v>0</v>
      </c>
      <c r="H100" s="80">
        <f t="shared" si="24"/>
        <v>0</v>
      </c>
      <c r="I100" s="179">
        <v>0</v>
      </c>
      <c r="J100" s="80">
        <f t="shared" si="25"/>
        <v>0</v>
      </c>
      <c r="K100" s="179">
        <v>0</v>
      </c>
      <c r="L100" s="80">
        <f t="shared" si="26"/>
        <v>0</v>
      </c>
      <c r="M100" s="179">
        <v>0</v>
      </c>
      <c r="N100" s="80">
        <f t="shared" si="27"/>
        <v>0</v>
      </c>
      <c r="O100" s="179">
        <v>0</v>
      </c>
      <c r="P100" s="80">
        <f t="shared" si="28"/>
        <v>0</v>
      </c>
      <c r="Q100" s="179">
        <v>0</v>
      </c>
      <c r="R100" s="80">
        <f t="shared" si="29"/>
        <v>0</v>
      </c>
      <c r="S100" s="179">
        <v>0</v>
      </c>
      <c r="T100" s="80">
        <f t="shared" si="30"/>
        <v>0</v>
      </c>
      <c r="U100" s="179">
        <v>0</v>
      </c>
      <c r="V100" s="80">
        <f t="shared" si="31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2"/>
        <v>0</v>
      </c>
      <c r="E101" s="179"/>
      <c r="F101" s="80">
        <f t="shared" si="23"/>
        <v>0</v>
      </c>
      <c r="G101" s="179"/>
      <c r="H101" s="80">
        <f t="shared" si="24"/>
        <v>0</v>
      </c>
      <c r="I101" s="179">
        <v>0</v>
      </c>
      <c r="J101" s="80">
        <f t="shared" si="25"/>
        <v>0</v>
      </c>
      <c r="K101" s="179">
        <v>0</v>
      </c>
      <c r="L101" s="80">
        <f t="shared" si="26"/>
        <v>0</v>
      </c>
      <c r="M101" s="179">
        <v>0</v>
      </c>
      <c r="N101" s="80">
        <f t="shared" si="27"/>
        <v>0</v>
      </c>
      <c r="O101" s="179">
        <v>0</v>
      </c>
      <c r="P101" s="80">
        <f t="shared" si="28"/>
        <v>0</v>
      </c>
      <c r="Q101" s="179">
        <v>0</v>
      </c>
      <c r="R101" s="80">
        <f t="shared" si="29"/>
        <v>0</v>
      </c>
      <c r="S101" s="179">
        <v>0</v>
      </c>
      <c r="T101" s="80">
        <f t="shared" si="30"/>
        <v>0</v>
      </c>
      <c r="U101" s="179">
        <v>0</v>
      </c>
      <c r="V101" s="80">
        <f t="shared" si="31"/>
        <v>0</v>
      </c>
      <c r="X101" s="200"/>
    </row>
    <row r="102" spans="1:24" ht="12.75" customHeight="1">
      <c r="A102" s="117" t="s">
        <v>433</v>
      </c>
      <c r="B102" s="35"/>
      <c r="C102" s="179">
        <v>9951.1740000000009</v>
      </c>
      <c r="D102" s="80">
        <f t="shared" si="22"/>
        <v>0.01</v>
      </c>
      <c r="E102" s="179">
        <v>10890</v>
      </c>
      <c r="F102" s="80">
        <f t="shared" si="23"/>
        <v>0.01</v>
      </c>
      <c r="G102" s="179">
        <v>11107.8</v>
      </c>
      <c r="H102" s="80">
        <f t="shared" si="24"/>
        <v>0.01</v>
      </c>
      <c r="I102" s="179">
        <v>11329.956000000002</v>
      </c>
      <c r="J102" s="80">
        <f t="shared" si="25"/>
        <v>0.01</v>
      </c>
      <c r="K102" s="179">
        <v>11556.555120000003</v>
      </c>
      <c r="L102" s="80">
        <f t="shared" si="26"/>
        <v>1.0000000000000002E-2</v>
      </c>
      <c r="M102" s="179">
        <v>11787.6862224</v>
      </c>
      <c r="N102" s="80">
        <f t="shared" si="27"/>
        <v>9.9999999999999985E-3</v>
      </c>
      <c r="O102" s="179">
        <v>12023.439946848002</v>
      </c>
      <c r="P102" s="80">
        <f t="shared" si="28"/>
        <v>0.01</v>
      </c>
      <c r="Q102" s="179">
        <v>12263.908745784964</v>
      </c>
      <c r="R102" s="80">
        <f t="shared" si="29"/>
        <v>1.0000000000000002E-2</v>
      </c>
      <c r="S102" s="179">
        <v>12509.186920700664</v>
      </c>
      <c r="T102" s="80">
        <f t="shared" si="30"/>
        <v>1.0000000000000002E-2</v>
      </c>
      <c r="U102" s="179">
        <v>12759.370659114677</v>
      </c>
      <c r="V102" s="80">
        <f t="shared" si="31"/>
        <v>0.01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2"/>
        <v>0</v>
      </c>
      <c r="E103" s="179">
        <v>0</v>
      </c>
      <c r="F103" s="80">
        <f t="shared" si="23"/>
        <v>0</v>
      </c>
      <c r="G103" s="179">
        <v>0</v>
      </c>
      <c r="H103" s="80">
        <f t="shared" si="24"/>
        <v>0</v>
      </c>
      <c r="I103" s="179">
        <v>0</v>
      </c>
      <c r="J103" s="80">
        <f t="shared" si="25"/>
        <v>0</v>
      </c>
      <c r="K103" s="179">
        <v>0</v>
      </c>
      <c r="L103" s="80">
        <f t="shared" si="26"/>
        <v>0</v>
      </c>
      <c r="M103" s="179">
        <v>0</v>
      </c>
      <c r="N103" s="80">
        <f t="shared" si="27"/>
        <v>0</v>
      </c>
      <c r="O103" s="179">
        <v>0</v>
      </c>
      <c r="P103" s="80">
        <f t="shared" si="28"/>
        <v>0</v>
      </c>
      <c r="Q103" s="179">
        <v>0</v>
      </c>
      <c r="R103" s="80">
        <f t="shared" si="29"/>
        <v>0</v>
      </c>
      <c r="S103" s="179">
        <v>0</v>
      </c>
      <c r="T103" s="80">
        <f t="shared" si="30"/>
        <v>0</v>
      </c>
      <c r="U103" s="179">
        <v>0</v>
      </c>
      <c r="V103" s="80">
        <f t="shared" si="31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2"/>
        <v>0</v>
      </c>
      <c r="E104" s="179">
        <v>0</v>
      </c>
      <c r="F104" s="80">
        <f t="shared" si="23"/>
        <v>0</v>
      </c>
      <c r="G104" s="179">
        <v>0</v>
      </c>
      <c r="H104" s="80">
        <f t="shared" si="24"/>
        <v>0</v>
      </c>
      <c r="I104" s="179">
        <v>0</v>
      </c>
      <c r="J104" s="80">
        <f t="shared" si="25"/>
        <v>0</v>
      </c>
      <c r="K104" s="179">
        <v>0</v>
      </c>
      <c r="L104" s="80">
        <f t="shared" si="26"/>
        <v>0</v>
      </c>
      <c r="M104" s="179">
        <v>0</v>
      </c>
      <c r="N104" s="80">
        <f t="shared" si="27"/>
        <v>0</v>
      </c>
      <c r="O104" s="179">
        <v>0</v>
      </c>
      <c r="P104" s="80">
        <f t="shared" si="28"/>
        <v>0</v>
      </c>
      <c r="Q104" s="179">
        <v>0</v>
      </c>
      <c r="R104" s="80">
        <f t="shared" si="29"/>
        <v>0</v>
      </c>
      <c r="S104" s="179">
        <v>0</v>
      </c>
      <c r="T104" s="80">
        <f t="shared" si="30"/>
        <v>0</v>
      </c>
      <c r="U104" s="179">
        <v>0</v>
      </c>
      <c r="V104" s="80">
        <f t="shared" si="31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171051.66045935877</v>
      </c>
      <c r="D105" s="83">
        <f t="shared" ref="D105" si="32">IFERROR(C105/C$28,0)</f>
        <v>0.17189093513926976</v>
      </c>
      <c r="E105" s="82">
        <f>SUM(E52:E104)</f>
        <v>180827.78206861933</v>
      </c>
      <c r="F105" s="83">
        <f t="shared" ref="F105" si="33">IFERROR(E105/E$28,0)</f>
        <v>0.1660493866562161</v>
      </c>
      <c r="G105" s="82">
        <f>SUM(G52:G104)</f>
        <v>185843.5507501328</v>
      </c>
      <c r="H105" s="83">
        <f t="shared" ref="H105" si="34">IFERROR(G105/G$28,0)</f>
        <v>0.16730905377314392</v>
      </c>
      <c r="I105" s="82">
        <f>SUM(I52:I104)</f>
        <v>189577.43349873903</v>
      </c>
      <c r="J105" s="83">
        <f t="shared" ref="J105" si="35">IFERROR(I105/I$28,0)</f>
        <v>0.16732406860074214</v>
      </c>
      <c r="K105" s="82">
        <f>SUM(K52:K104)</f>
        <v>193296.79563627325</v>
      </c>
      <c r="L105" s="83">
        <f t="shared" ref="L105" si="36">IFERROR(K105/K$28,0)</f>
        <v>0.16726160488928921</v>
      </c>
      <c r="M105" s="82">
        <f>SUM(M52:M104)</f>
        <v>197187.50919391852</v>
      </c>
      <c r="N105" s="83">
        <f t="shared" ref="N105" si="37">IFERROR(M105/M$28,0)</f>
        <v>0.167282624828616</v>
      </c>
      <c r="O105" s="82">
        <f>SUM(O52:O104)</f>
        <v>201157.38808920392</v>
      </c>
      <c r="P105" s="83">
        <f t="shared" ref="P105" si="38">IFERROR(O105/O$28,0)</f>
        <v>0.16730435630606547</v>
      </c>
      <c r="Q105" s="82">
        <f>SUM(Q52:Q104)</f>
        <v>205207.68197512481</v>
      </c>
      <c r="R105" s="83">
        <f t="shared" ref="R105" si="39">IFERROR(Q105/Q$28,0)</f>
        <v>0.16732649127518465</v>
      </c>
      <c r="S105" s="82">
        <f>SUM(S52:S104)</f>
        <v>209339.67451988434</v>
      </c>
      <c r="T105" s="83">
        <f t="shared" ref="T105" si="40">IFERROR(S105/S$28,0)</f>
        <v>0.16734874604316716</v>
      </c>
      <c r="U105" s="82">
        <f>SUM(U52:U104)</f>
        <v>213976.48758449129</v>
      </c>
      <c r="V105" s="83">
        <f t="shared" si="31"/>
        <v>0.16770144335577936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288744.86254064122</v>
      </c>
      <c r="D107" s="83">
        <f>IFERROR(C107/C$28,0)</f>
        <v>0.29016160559612486</v>
      </c>
      <c r="E107" s="82">
        <f>E28-E33-E46-E105</f>
        <v>318781.53655538062</v>
      </c>
      <c r="F107" s="83">
        <f>IFERROR(E107/E$28,0)</f>
        <v>0.29272868370558369</v>
      </c>
      <c r="G107" s="82">
        <f>G28-G33-G46-G105</f>
        <v>320389.31902570708</v>
      </c>
      <c r="H107" s="83">
        <f>IFERROR(G107/G$28,0)</f>
        <v>0.28843634115279992</v>
      </c>
      <c r="I107" s="82">
        <f>I28-I33-I46-I105</f>
        <v>323990.86370992789</v>
      </c>
      <c r="J107" s="83">
        <f>IFERROR(I107/I$28,0)</f>
        <v>0.28595950744197757</v>
      </c>
      <c r="K107" s="82">
        <f>K28-K33-K46-K105</f>
        <v>329343.49863261031</v>
      </c>
      <c r="L107" s="83">
        <f>IFERROR(K107/K$28,0)</f>
        <v>0.28498414554579676</v>
      </c>
      <c r="M107" s="82">
        <f>M28-M33-M46-M105</f>
        <v>334676.23785428726</v>
      </c>
      <c r="N107" s="83">
        <f>IFERROR(M107/M$28,0)</f>
        <v>0.28392021261840678</v>
      </c>
      <c r="O107" s="82">
        <f>O28-O33-O46-O105</f>
        <v>340083.54696625919</v>
      </c>
      <c r="P107" s="83">
        <f>IFERROR(O107/O$28,0)</f>
        <v>0.28285045583432517</v>
      </c>
      <c r="Q107" s="82">
        <f>Q28-Q33-Q46-Q105</f>
        <v>345566.48267439782</v>
      </c>
      <c r="R107" s="83">
        <f>IFERROR(Q107/Q$28,0)</f>
        <v>0.28177515817961962</v>
      </c>
      <c r="S107" s="82">
        <f>S28-S33-S46-S105</f>
        <v>351126.09458790283</v>
      </c>
      <c r="T107" s="83">
        <f>IFERROR(S107/S$28,0)</f>
        <v>0.2806945781638665</v>
      </c>
      <c r="U107" s="82">
        <f>U28-U33-U46-U105</f>
        <v>356341.62109985785</v>
      </c>
      <c r="V107" s="83">
        <f>IFERROR(U107/U$28,0)</f>
        <v>0.27927836773462228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1">IFERROR(C111/C$28,0)</f>
        <v>0</v>
      </c>
      <c r="E111" s="79">
        <f>E59</f>
        <v>0</v>
      </c>
      <c r="F111" s="80">
        <f t="shared" ref="F111:F116" si="42">IFERROR(E111/E$28,0)</f>
        <v>0</v>
      </c>
      <c r="G111" s="79">
        <f>G59</f>
        <v>0</v>
      </c>
      <c r="H111" s="80">
        <f t="shared" ref="H111:H116" si="43">IFERROR(G111/G$28,0)</f>
        <v>0</v>
      </c>
      <c r="I111" s="79">
        <f>I59</f>
        <v>0</v>
      </c>
      <c r="J111" s="80">
        <f t="shared" ref="J111:J116" si="44">IFERROR(I111/I$28,0)</f>
        <v>0</v>
      </c>
      <c r="K111" s="79">
        <f>K59</f>
        <v>0</v>
      </c>
      <c r="L111" s="80">
        <f t="shared" ref="L111:L116" si="45">IFERROR(K111/K$28,0)</f>
        <v>0</v>
      </c>
      <c r="M111" s="79">
        <f>M59</f>
        <v>0</v>
      </c>
      <c r="N111" s="80">
        <f t="shared" ref="N111:N116" si="46">IFERROR(M111/M$28,0)</f>
        <v>0</v>
      </c>
      <c r="O111" s="79">
        <f>O59</f>
        <v>0</v>
      </c>
      <c r="P111" s="80">
        <f t="shared" ref="P111:P116" si="47">IFERROR(O111/O$28,0)</f>
        <v>0</v>
      </c>
      <c r="Q111" s="79">
        <f>Q59</f>
        <v>0</v>
      </c>
      <c r="R111" s="80">
        <f t="shared" ref="R111:R116" si="48">IFERROR(Q111/Q$28,0)</f>
        <v>0</v>
      </c>
      <c r="S111" s="79">
        <f>S59</f>
        <v>0</v>
      </c>
      <c r="T111" s="80">
        <f t="shared" ref="T111:T116" si="49">IFERROR(S111/S$28,0)</f>
        <v>0</v>
      </c>
      <c r="U111" s="79">
        <f>U59</f>
        <v>0</v>
      </c>
      <c r="V111" s="80">
        <f t="shared" ref="V111:V116" si="50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1"/>
        <v>0</v>
      </c>
      <c r="E112" s="79">
        <f>E62</f>
        <v>0</v>
      </c>
      <c r="F112" s="80">
        <f t="shared" si="42"/>
        <v>0</v>
      </c>
      <c r="G112" s="79">
        <f>G62</f>
        <v>0</v>
      </c>
      <c r="H112" s="80">
        <f t="shared" si="43"/>
        <v>0</v>
      </c>
      <c r="I112" s="79">
        <f>I62</f>
        <v>0</v>
      </c>
      <c r="J112" s="80">
        <f t="shared" si="44"/>
        <v>0</v>
      </c>
      <c r="K112" s="79">
        <f>K62</f>
        <v>0</v>
      </c>
      <c r="L112" s="80">
        <f t="shared" si="45"/>
        <v>0</v>
      </c>
      <c r="M112" s="79">
        <f>M62</f>
        <v>0</v>
      </c>
      <c r="N112" s="80">
        <f t="shared" si="46"/>
        <v>0</v>
      </c>
      <c r="O112" s="79">
        <f>O62</f>
        <v>0</v>
      </c>
      <c r="P112" s="80">
        <f t="shared" si="47"/>
        <v>0</v>
      </c>
      <c r="Q112" s="79">
        <f>Q62</f>
        <v>0</v>
      </c>
      <c r="R112" s="80">
        <f t="shared" si="48"/>
        <v>0</v>
      </c>
      <c r="S112" s="79">
        <f>S62</f>
        <v>0</v>
      </c>
      <c r="T112" s="80">
        <f t="shared" si="49"/>
        <v>0</v>
      </c>
      <c r="U112" s="79">
        <f>U62</f>
        <v>0</v>
      </c>
      <c r="V112" s="80">
        <f t="shared" si="50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1"/>
        <v>0</v>
      </c>
      <c r="E113" s="111">
        <v>0</v>
      </c>
      <c r="F113" s="80">
        <f t="shared" si="42"/>
        <v>0</v>
      </c>
      <c r="G113" s="111">
        <v>0</v>
      </c>
      <c r="H113" s="80">
        <f t="shared" si="43"/>
        <v>0</v>
      </c>
      <c r="I113" s="111">
        <v>0</v>
      </c>
      <c r="J113" s="80">
        <f t="shared" si="44"/>
        <v>0</v>
      </c>
      <c r="K113" s="111">
        <v>0</v>
      </c>
      <c r="L113" s="80">
        <f t="shared" si="45"/>
        <v>0</v>
      </c>
      <c r="M113" s="111">
        <v>0</v>
      </c>
      <c r="N113" s="80">
        <f t="shared" si="46"/>
        <v>0</v>
      </c>
      <c r="O113" s="111">
        <v>0</v>
      </c>
      <c r="P113" s="80">
        <f t="shared" si="47"/>
        <v>0</v>
      </c>
      <c r="Q113" s="111">
        <v>0</v>
      </c>
      <c r="R113" s="80">
        <f t="shared" si="48"/>
        <v>0</v>
      </c>
      <c r="S113" s="111">
        <v>0</v>
      </c>
      <c r="T113" s="80">
        <f t="shared" si="49"/>
        <v>0</v>
      </c>
      <c r="U113" s="111">
        <v>0</v>
      </c>
      <c r="V113" s="80">
        <f t="shared" si="50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1"/>
        <v>0</v>
      </c>
      <c r="E114" s="111">
        <v>0</v>
      </c>
      <c r="F114" s="80">
        <f t="shared" si="42"/>
        <v>0</v>
      </c>
      <c r="G114" s="111">
        <v>0</v>
      </c>
      <c r="H114" s="80">
        <f t="shared" si="43"/>
        <v>0</v>
      </c>
      <c r="I114" s="111">
        <v>0</v>
      </c>
      <c r="J114" s="80">
        <f t="shared" si="44"/>
        <v>0</v>
      </c>
      <c r="K114" s="111">
        <v>0</v>
      </c>
      <c r="L114" s="80">
        <f t="shared" si="45"/>
        <v>0</v>
      </c>
      <c r="M114" s="111">
        <v>0</v>
      </c>
      <c r="N114" s="80">
        <f t="shared" si="46"/>
        <v>0</v>
      </c>
      <c r="O114" s="111">
        <v>0</v>
      </c>
      <c r="P114" s="80">
        <f t="shared" si="47"/>
        <v>0</v>
      </c>
      <c r="Q114" s="111">
        <v>0</v>
      </c>
      <c r="R114" s="80">
        <f t="shared" si="48"/>
        <v>0</v>
      </c>
      <c r="S114" s="111">
        <v>0</v>
      </c>
      <c r="T114" s="80">
        <f t="shared" si="49"/>
        <v>0</v>
      </c>
      <c r="U114" s="111">
        <v>0</v>
      </c>
      <c r="V114" s="80">
        <f t="shared" si="50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1"/>
        <v>0</v>
      </c>
      <c r="E115" s="112">
        <v>0</v>
      </c>
      <c r="F115" s="80">
        <f t="shared" si="42"/>
        <v>0</v>
      </c>
      <c r="G115" s="112">
        <v>0</v>
      </c>
      <c r="H115" s="80">
        <f t="shared" si="43"/>
        <v>0</v>
      </c>
      <c r="I115" s="112">
        <v>0</v>
      </c>
      <c r="J115" s="80">
        <f t="shared" si="44"/>
        <v>0</v>
      </c>
      <c r="K115" s="112">
        <v>0</v>
      </c>
      <c r="L115" s="80">
        <f t="shared" si="45"/>
        <v>0</v>
      </c>
      <c r="M115" s="112">
        <v>0</v>
      </c>
      <c r="N115" s="80">
        <f t="shared" si="46"/>
        <v>0</v>
      </c>
      <c r="O115" s="112">
        <v>0</v>
      </c>
      <c r="P115" s="80">
        <f t="shared" si="47"/>
        <v>0</v>
      </c>
      <c r="Q115" s="112">
        <v>0</v>
      </c>
      <c r="R115" s="80">
        <f t="shared" si="48"/>
        <v>0</v>
      </c>
      <c r="S115" s="112">
        <v>0</v>
      </c>
      <c r="T115" s="80">
        <f t="shared" si="49"/>
        <v>0</v>
      </c>
      <c r="U115" s="112">
        <v>0</v>
      </c>
      <c r="V115" s="80">
        <f t="shared" si="50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1"/>
        <v>0</v>
      </c>
      <c r="E116" s="85">
        <f>SUM(E111:E115)</f>
        <v>0</v>
      </c>
      <c r="F116" s="83">
        <f t="shared" si="42"/>
        <v>0</v>
      </c>
      <c r="G116" s="85">
        <f>SUM(G111:G115)</f>
        <v>0</v>
      </c>
      <c r="H116" s="83">
        <f t="shared" si="43"/>
        <v>0</v>
      </c>
      <c r="I116" s="85">
        <f>SUM(I111:I115)</f>
        <v>0</v>
      </c>
      <c r="J116" s="83">
        <f t="shared" si="44"/>
        <v>0</v>
      </c>
      <c r="K116" s="85">
        <f>SUM(K111:K115)</f>
        <v>0</v>
      </c>
      <c r="L116" s="83">
        <f t="shared" si="45"/>
        <v>0</v>
      </c>
      <c r="M116" s="85">
        <f>SUM(M111:M115)</f>
        <v>0</v>
      </c>
      <c r="N116" s="83">
        <f t="shared" si="46"/>
        <v>0</v>
      </c>
      <c r="O116" s="85">
        <f>SUM(O111:O115)</f>
        <v>0</v>
      </c>
      <c r="P116" s="83">
        <f t="shared" si="47"/>
        <v>0</v>
      </c>
      <c r="Q116" s="85">
        <f>SUM(Q111:Q115)</f>
        <v>0</v>
      </c>
      <c r="R116" s="83">
        <f t="shared" si="48"/>
        <v>0</v>
      </c>
      <c r="S116" s="85">
        <f>SUM(S111:S115)</f>
        <v>0</v>
      </c>
      <c r="T116" s="83">
        <f t="shared" si="49"/>
        <v>0</v>
      </c>
      <c r="U116" s="85">
        <f>SUM(U111:U115)</f>
        <v>0</v>
      </c>
      <c r="V116" s="83">
        <f t="shared" si="50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7" tint="0.59999389629810485"/>
  </sheetPr>
  <dimension ref="A1:X119"/>
  <sheetViews>
    <sheetView topLeftCell="A24" zoomScale="70" zoomScaleNormal="70" workbookViewId="0" xr3:uid="{F4A53677-9E12-59C4-BAB1-211CDE2C826E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45.57031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49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Taco Bell (Mango)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160</v>
      </c>
      <c r="E8" s="109">
        <f>+C8</f>
        <v>160</v>
      </c>
      <c r="G8" s="109">
        <f>+E8</f>
        <v>160</v>
      </c>
      <c r="I8" s="109">
        <f>+G8</f>
        <v>160</v>
      </c>
      <c r="K8" s="109">
        <f>+I8</f>
        <v>160</v>
      </c>
      <c r="M8" s="109">
        <f>+K8</f>
        <v>160</v>
      </c>
      <c r="O8" s="109">
        <f>+M8</f>
        <v>160</v>
      </c>
      <c r="Q8" s="109">
        <f>+O8</f>
        <v>160</v>
      </c>
      <c r="S8" s="109">
        <f>+Q8</f>
        <v>160</v>
      </c>
      <c r="U8" s="109">
        <f>+S8</f>
        <v>160</v>
      </c>
    </row>
    <row r="10" spans="1:22" ht="12.75" customHeight="1">
      <c r="A10" s="2" t="s">
        <v>449</v>
      </c>
      <c r="C10" s="209">
        <f>+C14/C8/C12</f>
        <v>448.875</v>
      </c>
      <c r="D10" s="186"/>
      <c r="E10" s="209">
        <f>+E14/E8/E12</f>
        <v>487.84977908689245</v>
      </c>
      <c r="F10" s="186"/>
      <c r="G10" s="209">
        <f>+G14/G8/G12</f>
        <v>495.96330275229354</v>
      </c>
      <c r="H10" s="186"/>
      <c r="I10" s="209">
        <f>+I14/I8/I12</f>
        <v>503.11313868613144</v>
      </c>
      <c r="J10" s="186"/>
      <c r="K10" s="209">
        <f>+K14/K8/K12</f>
        <v>510.38134301270429</v>
      </c>
      <c r="L10" s="186"/>
      <c r="M10" s="209">
        <f>+M14/M8/M12</f>
        <v>517.76989602888091</v>
      </c>
      <c r="N10" s="186"/>
      <c r="O10" s="209">
        <f>+O14/O8/O12</f>
        <v>525.28081301256736</v>
      </c>
      <c r="P10" s="186"/>
      <c r="Q10" s="209">
        <f>+Q14/Q8/Q12</f>
        <v>532.91614483028582</v>
      </c>
      <c r="R10" s="186"/>
      <c r="S10" s="209">
        <f>+S14/S8/S12</f>
        <v>540.67797855605545</v>
      </c>
      <c r="T10" s="186"/>
      <c r="U10" s="209">
        <f>+U14/U8/U12</f>
        <v>548.56843810176747</v>
      </c>
    </row>
    <row r="12" spans="1:22" ht="12.75" customHeight="1">
      <c r="A12" s="2" t="s">
        <v>450</v>
      </c>
      <c r="C12" s="110">
        <v>5.4</v>
      </c>
      <c r="E12" s="110">
        <v>5.4320000000000004</v>
      </c>
      <c r="G12" s="110">
        <v>5.45</v>
      </c>
      <c r="I12" s="110">
        <v>5.48</v>
      </c>
      <c r="K12" s="110">
        <v>5.51</v>
      </c>
      <c r="M12" s="110">
        <v>5.54</v>
      </c>
      <c r="O12" s="110">
        <v>5.57</v>
      </c>
      <c r="Q12" s="110">
        <v>5.6</v>
      </c>
      <c r="S12" s="110">
        <v>5.63</v>
      </c>
      <c r="U12" s="110">
        <v>5.66</v>
      </c>
    </row>
    <row r="14" spans="1:22" ht="12.75" customHeight="1">
      <c r="A14" s="2" t="s">
        <v>451</v>
      </c>
      <c r="C14" s="206">
        <v>387828</v>
      </c>
      <c r="D14" s="12"/>
      <c r="E14" s="206">
        <v>424000</v>
      </c>
      <c r="F14" s="12"/>
      <c r="G14" s="206">
        <f>+E14*1.02</f>
        <v>432480</v>
      </c>
      <c r="H14" s="12"/>
      <c r="I14" s="206">
        <f>+G14*1.02</f>
        <v>441129.60000000003</v>
      </c>
      <c r="J14" s="12"/>
      <c r="K14" s="206">
        <f>+I14*1.02</f>
        <v>449952.19200000004</v>
      </c>
      <c r="L14" s="12"/>
      <c r="M14" s="206">
        <f>+K14*1.02</f>
        <v>458951.23584000004</v>
      </c>
      <c r="N14" s="12"/>
      <c r="O14" s="206">
        <f>+M14*1.02</f>
        <v>468130.26055680006</v>
      </c>
      <c r="P14" s="12"/>
      <c r="Q14" s="206">
        <f>+O14*1.02</f>
        <v>477492.86576793605</v>
      </c>
      <c r="R14" s="12"/>
      <c r="S14" s="206">
        <f>+Q14*1.02</f>
        <v>487042.72308329475</v>
      </c>
      <c r="T14" s="12"/>
      <c r="U14" s="206">
        <f>+S14*1.02</f>
        <v>496783.57754496066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4">
        <f>+C14-C20-C21</f>
        <v>334773.12959999999</v>
      </c>
      <c r="D19" s="80">
        <f>IFERROR(C19/C$28,0)</f>
        <v>0.86319999999999997</v>
      </c>
      <c r="E19" s="204">
        <f>+E14-E20-E21</f>
        <v>192623.19999999998</v>
      </c>
      <c r="F19" s="80">
        <f>IFERROR(E19/E$28,0)</f>
        <v>0.45429999999999998</v>
      </c>
      <c r="G19" s="204">
        <f>+G14-G20-G21</f>
        <v>196475.66399999999</v>
      </c>
      <c r="H19" s="80">
        <f>IFERROR(G19/G$28,0)</f>
        <v>0.45429999999999998</v>
      </c>
      <c r="I19" s="204">
        <f>+I14-I20-I21</f>
        <v>200405.17728000003</v>
      </c>
      <c r="J19" s="80">
        <f>IFERROR(I19/I$28,0)</f>
        <v>0.45430000000000004</v>
      </c>
      <c r="K19" s="204">
        <f>+K14-K20-K21</f>
        <v>204413.28082560003</v>
      </c>
      <c r="L19" s="80">
        <f>IFERROR(K19/K$28,0)</f>
        <v>0.45429999999999998</v>
      </c>
      <c r="M19" s="204">
        <f>+M14-M20-M21</f>
        <v>208501.54644211201</v>
      </c>
      <c r="N19" s="80">
        <f>IFERROR(M19/M$28,0)</f>
        <v>0.45430000000000004</v>
      </c>
      <c r="O19" s="204">
        <f>+O14-O20-O21</f>
        <v>212671.57737095427</v>
      </c>
      <c r="P19" s="80">
        <f>IFERROR(O19/O$28,0)</f>
        <v>0.45429999999999998</v>
      </c>
      <c r="Q19" s="204">
        <f>+Q14-Q20-Q21</f>
        <v>216925.00891837332</v>
      </c>
      <c r="R19" s="80">
        <f>IFERROR(Q19/Q$28,0)</f>
        <v>0.45429999999999993</v>
      </c>
      <c r="S19" s="204">
        <f>+S14-S20-S21</f>
        <v>221263.50909674077</v>
      </c>
      <c r="T19" s="80">
        <f>IFERROR(S19/S$28,0)</f>
        <v>0.45429999999999993</v>
      </c>
      <c r="U19" s="204">
        <f>+U14-U20-U21</f>
        <v>225688.77927867559</v>
      </c>
      <c r="V19" s="80">
        <f>IFERROR(U19/U$28,0)</f>
        <v>0.45429999999999998</v>
      </c>
    </row>
    <row r="20" spans="1:24" ht="12.75" customHeight="1">
      <c r="A20" s="2" t="s">
        <v>357</v>
      </c>
      <c r="B20" s="35"/>
      <c r="C20" s="111">
        <f>+C14*12.38%</f>
        <v>48013.106400000004</v>
      </c>
      <c r="D20" s="80">
        <f>IFERROR(C20/C$28,0)</f>
        <v>0.12380000000000001</v>
      </c>
      <c r="E20" s="111">
        <f>+E14*53.27%</f>
        <v>225864.80000000002</v>
      </c>
      <c r="F20" s="80">
        <f>IFERROR(E20/E$28,0)</f>
        <v>0.53270000000000006</v>
      </c>
      <c r="G20" s="111">
        <f t="shared" ref="G20:U20" si="0">E20*1.02</f>
        <v>230382.09600000002</v>
      </c>
      <c r="H20" s="80">
        <f>IFERROR(G20/G$28,0)</f>
        <v>0.53270000000000006</v>
      </c>
      <c r="I20" s="111">
        <f t="shared" si="0"/>
        <v>234989.73792000001</v>
      </c>
      <c r="J20" s="80">
        <f>IFERROR(I20/I$28,0)</f>
        <v>0.53269999999999995</v>
      </c>
      <c r="K20" s="111">
        <f t="shared" si="0"/>
        <v>239689.53267840002</v>
      </c>
      <c r="L20" s="80">
        <f>IFERROR(K20/K$28,0)</f>
        <v>0.53269999999999995</v>
      </c>
      <c r="M20" s="111">
        <f t="shared" si="0"/>
        <v>244483.32333196801</v>
      </c>
      <c r="N20" s="80">
        <f>IFERROR(M20/M$28,0)</f>
        <v>0.53270000000000006</v>
      </c>
      <c r="O20" s="111">
        <f t="shared" si="0"/>
        <v>249372.98979860739</v>
      </c>
      <c r="P20" s="80">
        <f>IFERROR(O20/O$28,0)</f>
        <v>0.53269999999999995</v>
      </c>
      <c r="Q20" s="111">
        <f t="shared" si="0"/>
        <v>254360.44959457955</v>
      </c>
      <c r="R20" s="80">
        <f>IFERROR(Q20/Q$28,0)</f>
        <v>0.53270000000000006</v>
      </c>
      <c r="S20" s="111">
        <f t="shared" si="0"/>
        <v>259447.65858647114</v>
      </c>
      <c r="T20" s="80">
        <f>IFERROR(S20/S$28,0)</f>
        <v>0.53270000000000006</v>
      </c>
      <c r="U20" s="111">
        <f t="shared" si="0"/>
        <v>264636.61175820057</v>
      </c>
      <c r="V20" s="80">
        <f>IFERROR(U20/U$28,0)</f>
        <v>0.53270000000000006</v>
      </c>
    </row>
    <row r="21" spans="1:24" ht="12.75" customHeight="1">
      <c r="A21" s="191" t="s">
        <v>358</v>
      </c>
      <c r="B21" s="203"/>
      <c r="C21" s="111">
        <f>+C14*0.013</f>
        <v>5041.7640000000001</v>
      </c>
      <c r="D21" s="80">
        <f>IFERROR(C21/C$28,0)</f>
        <v>1.3000000000000001E-2</v>
      </c>
      <c r="E21" s="111">
        <f>+E14*0.013</f>
        <v>5512</v>
      </c>
      <c r="F21" s="80">
        <f>IFERROR(E21/E$28,0)</f>
        <v>1.2999999999999999E-2</v>
      </c>
      <c r="G21" s="111">
        <f>+G14*0.013</f>
        <v>5622.24</v>
      </c>
      <c r="H21" s="80">
        <f>IFERROR(G21/G$28,0)</f>
        <v>1.2999999999999999E-2</v>
      </c>
      <c r="I21" s="111">
        <f>+I14*0.013</f>
        <v>5734.6848</v>
      </c>
      <c r="J21" s="80">
        <f>IFERROR(I21/I$28,0)</f>
        <v>1.2999999999999999E-2</v>
      </c>
      <c r="K21" s="111">
        <f>+K14*0.013</f>
        <v>5849.3784960000003</v>
      </c>
      <c r="L21" s="80">
        <f>IFERROR(K21/K$28,0)</f>
        <v>1.2999999999999998E-2</v>
      </c>
      <c r="M21" s="111">
        <f>+M14*0.013</f>
        <v>5966.3660659200004</v>
      </c>
      <c r="N21" s="80">
        <f>IFERROR(M21/M$28,0)</f>
        <v>1.3000000000000001E-2</v>
      </c>
      <c r="O21" s="111">
        <f>+O14*0.013</f>
        <v>6085.6933872384006</v>
      </c>
      <c r="P21" s="80">
        <f>IFERROR(O21/O$28,0)</f>
        <v>1.2999999999999999E-2</v>
      </c>
      <c r="Q21" s="111">
        <f>+Q14*0.013</f>
        <v>6207.4072549831681</v>
      </c>
      <c r="R21" s="80">
        <f>IFERROR(Q21/Q$28,0)</f>
        <v>1.2999999999999999E-2</v>
      </c>
      <c r="S21" s="111">
        <f>+S14*0.013</f>
        <v>6331.5554000828315</v>
      </c>
      <c r="T21" s="80">
        <f>IFERROR(S21/S$28,0)</f>
        <v>1.2999999999999999E-2</v>
      </c>
      <c r="U21" s="111">
        <f>+U14*0.013</f>
        <v>6458.1865080844882</v>
      </c>
      <c r="V21" s="80">
        <f>IFERROR(U21/U$28,0)</f>
        <v>1.3000000000000001E-2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364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365</v>
      </c>
      <c r="B28" s="53"/>
      <c r="C28" s="82">
        <f>SUM(C19:C27)</f>
        <v>387828</v>
      </c>
      <c r="D28" s="83">
        <f t="shared" si="1"/>
        <v>1</v>
      </c>
      <c r="E28" s="82">
        <f>SUM(E19:E27)</f>
        <v>424000</v>
      </c>
      <c r="F28" s="83">
        <f t="shared" si="2"/>
        <v>1</v>
      </c>
      <c r="G28" s="82">
        <f>SUM(G19:G27)</f>
        <v>432480</v>
      </c>
      <c r="H28" s="83">
        <f t="shared" si="3"/>
        <v>1</v>
      </c>
      <c r="I28" s="82">
        <f>SUM(I19:I27)</f>
        <v>441129.60000000003</v>
      </c>
      <c r="J28" s="83">
        <f t="shared" si="4"/>
        <v>1</v>
      </c>
      <c r="K28" s="82">
        <f>SUM(K19:K27)</f>
        <v>449952.1920000001</v>
      </c>
      <c r="L28" s="83">
        <f t="shared" si="5"/>
        <v>1</v>
      </c>
      <c r="M28" s="82">
        <f>SUM(M19:M27)</f>
        <v>458951.23583999998</v>
      </c>
      <c r="N28" s="83">
        <f t="shared" si="6"/>
        <v>1</v>
      </c>
      <c r="O28" s="82">
        <f>SUM(O19:O27)</f>
        <v>468130.26055680006</v>
      </c>
      <c r="P28" s="83">
        <f t="shared" si="7"/>
        <v>1</v>
      </c>
      <c r="Q28" s="82">
        <f>SUM(Q19:Q27)</f>
        <v>477492.86576793605</v>
      </c>
      <c r="R28" s="83">
        <f t="shared" si="8"/>
        <v>1</v>
      </c>
      <c r="S28" s="82">
        <f>SUM(S19:S27)</f>
        <v>487042.72308329475</v>
      </c>
      <c r="T28" s="83">
        <f t="shared" si="9"/>
        <v>1</v>
      </c>
      <c r="U28" s="82">
        <f>SUM(U19:U27)</f>
        <v>496783.5775449606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0.33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127983.24</v>
      </c>
      <c r="D31" s="80">
        <f>IFERROR(C31/C$28,0)</f>
        <v>0.33</v>
      </c>
      <c r="E31" s="179">
        <f>$C$30*E14</f>
        <v>139920</v>
      </c>
      <c r="F31" s="80">
        <f>IFERROR(E31/E$28,0)</f>
        <v>0.33</v>
      </c>
      <c r="G31" s="179">
        <f>$C$30*G14</f>
        <v>142718.39999999999</v>
      </c>
      <c r="H31" s="80">
        <f>IFERROR(G31/G$28,0)</f>
        <v>0.32999999999999996</v>
      </c>
      <c r="I31" s="179">
        <f>$C$30*I14</f>
        <v>145572.76800000001</v>
      </c>
      <c r="J31" s="80">
        <f>IFERROR(I31/I$28,0)</f>
        <v>0.33</v>
      </c>
      <c r="K31" s="179">
        <f>$C$30*K14</f>
        <v>148484.22336000003</v>
      </c>
      <c r="L31" s="80">
        <f>IFERROR(K31/K$28,0)</f>
        <v>0.33</v>
      </c>
      <c r="M31" s="179">
        <f>$C$30*M14</f>
        <v>151453.90782720002</v>
      </c>
      <c r="N31" s="80">
        <f>IFERROR(M31/M$28,0)</f>
        <v>0.33000000000000007</v>
      </c>
      <c r="O31" s="179">
        <f>$C$30*O14</f>
        <v>154482.98598374403</v>
      </c>
      <c r="P31" s="80">
        <f>IFERROR(O31/O$28,0)</f>
        <v>0.33</v>
      </c>
      <c r="Q31" s="179">
        <f>$C$30*Q14</f>
        <v>157572.64570341891</v>
      </c>
      <c r="R31" s="80">
        <f>IFERROR(Q31/Q$28,0)</f>
        <v>0.33</v>
      </c>
      <c r="S31" s="179">
        <f>$C$30*S14</f>
        <v>160724.09861748727</v>
      </c>
      <c r="T31" s="80">
        <f>IFERROR(S31/S$28,0)</f>
        <v>0.33</v>
      </c>
      <c r="U31" s="179">
        <f>$C$30*U14</f>
        <v>163938.58058983702</v>
      </c>
      <c r="V31" s="80">
        <f>IFERROR(U31/U$28,0)</f>
        <v>0.33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127983.24</v>
      </c>
      <c r="D33" s="83">
        <f>IFERROR(C33/C$28,0)</f>
        <v>0.33</v>
      </c>
      <c r="E33" s="82">
        <f>SUM(E31:E32)</f>
        <v>139920</v>
      </c>
      <c r="F33" s="83">
        <f>IFERROR(E33/E$28,0)</f>
        <v>0.33</v>
      </c>
      <c r="G33" s="82">
        <f>SUM(G31:G32)</f>
        <v>142718.39999999999</v>
      </c>
      <c r="H33" s="83">
        <f>IFERROR(G33/G$28,0)</f>
        <v>0.32999999999999996</v>
      </c>
      <c r="I33" s="82">
        <f>SUM(I31:I32)</f>
        <v>145572.76800000001</v>
      </c>
      <c r="J33" s="83">
        <f>IFERROR(I33/I$28,0)</f>
        <v>0.33</v>
      </c>
      <c r="K33" s="82">
        <f>SUM(K31:K32)</f>
        <v>148484.22336000003</v>
      </c>
      <c r="L33" s="83">
        <f>IFERROR(K33/K$28,0)</f>
        <v>0.33</v>
      </c>
      <c r="M33" s="82">
        <f>SUM(M31:M32)</f>
        <v>151453.90782720002</v>
      </c>
      <c r="N33" s="83">
        <f>IFERROR(M33/M$28,0)</f>
        <v>0.33000000000000007</v>
      </c>
      <c r="O33" s="82">
        <f>SUM(O31:O32)</f>
        <v>154482.98598374403</v>
      </c>
      <c r="P33" s="83">
        <f>IFERROR(O33/O$28,0)</f>
        <v>0.33</v>
      </c>
      <c r="Q33" s="82">
        <f>SUM(Q31:Q32)</f>
        <v>157572.64570341891</v>
      </c>
      <c r="R33" s="83">
        <f>IFERROR(Q33/Q$28,0)</f>
        <v>0.33</v>
      </c>
      <c r="S33" s="82">
        <f>SUM(S31:S32)</f>
        <v>160724.09861748727</v>
      </c>
      <c r="T33" s="83">
        <f>IFERROR(S33/S$28,0)</f>
        <v>0.33</v>
      </c>
      <c r="U33" s="82">
        <f>SUM(U31:U32)</f>
        <v>163938.58058983702</v>
      </c>
      <c r="V33" s="83">
        <f>IFERROR(U33/U$28,0)</f>
        <v>0.33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/>
      <c r="D36" s="80">
        <f t="shared" ref="D36:D46" si="11">IFERROR(C36/C$28,0)</f>
        <v>0</v>
      </c>
      <c r="E36" s="179"/>
      <c r="F36" s="80">
        <f t="shared" ref="F36:F46" si="12">IFERROR(E36/E$28,0)</f>
        <v>0</v>
      </c>
      <c r="G36" s="179"/>
      <c r="H36" s="80">
        <f t="shared" ref="H36:H46" si="13">IFERROR(G36/G$28,0)</f>
        <v>0</v>
      </c>
      <c r="I36" s="179"/>
      <c r="J36" s="80">
        <f t="shared" ref="J36:J46" si="14">IFERROR(I36/I$28,0)</f>
        <v>0</v>
      </c>
      <c r="K36" s="179"/>
      <c r="L36" s="80">
        <f t="shared" ref="L36:L46" si="15">IFERROR(K36/K$28,0)</f>
        <v>0</v>
      </c>
      <c r="M36" s="179"/>
      <c r="N36" s="80">
        <f t="shared" ref="N36:N46" si="16">IFERROR(M36/M$28,0)</f>
        <v>0</v>
      </c>
      <c r="O36" s="179"/>
      <c r="P36" s="80">
        <f t="shared" ref="P36:P46" si="17">IFERROR(O36/O$28,0)</f>
        <v>0</v>
      </c>
      <c r="Q36" s="179"/>
      <c r="R36" s="80">
        <f t="shared" ref="R36:R46" si="18">IFERROR(Q36/Q$28,0)</f>
        <v>0</v>
      </c>
      <c r="S36" s="179"/>
      <c r="T36" s="80">
        <f t="shared" ref="T36:T46" si="19">IFERROR(S36/S$28,0)</f>
        <v>0</v>
      </c>
      <c r="U36" s="179"/>
      <c r="V36" s="80">
        <f t="shared" ref="V36:V46" si="20">IFERROR(U36/U$28,0)</f>
        <v>0</v>
      </c>
    </row>
    <row r="37" spans="1:22" ht="12.75" customHeight="1">
      <c r="A37" s="2" t="s">
        <v>372</v>
      </c>
      <c r="B37" s="35"/>
      <c r="C37" s="179">
        <v>110467</v>
      </c>
      <c r="D37" s="80">
        <f t="shared" si="11"/>
        <v>0.2848350299617356</v>
      </c>
      <c r="E37" s="179">
        <v>110000</v>
      </c>
      <c r="F37" s="80">
        <f t="shared" si="12"/>
        <v>0.25943396226415094</v>
      </c>
      <c r="G37" s="179">
        <f>+E37*1.035</f>
        <v>113849.99999999999</v>
      </c>
      <c r="H37" s="80">
        <f t="shared" si="13"/>
        <v>0.26324916759156491</v>
      </c>
      <c r="I37" s="179">
        <f>+G37*1.032</f>
        <v>117493.19999999998</v>
      </c>
      <c r="J37" s="80">
        <f t="shared" si="14"/>
        <v>0.26634621662205388</v>
      </c>
      <c r="K37" s="179">
        <f>+I37*1.025</f>
        <v>120430.52999999997</v>
      </c>
      <c r="L37" s="80">
        <f t="shared" si="15"/>
        <v>0.26765183533098547</v>
      </c>
      <c r="M37" s="179">
        <f>+K37*1.025</f>
        <v>123441.29324999996</v>
      </c>
      <c r="N37" s="80">
        <f t="shared" si="16"/>
        <v>0.2689638541316276</v>
      </c>
      <c r="O37" s="179">
        <f>+M37*1.025</f>
        <v>126527.32558124994</v>
      </c>
      <c r="P37" s="80">
        <f t="shared" si="17"/>
        <v>0.27028230439697859</v>
      </c>
      <c r="Q37" s="179">
        <f>+O37*1.025</f>
        <v>129690.50872078117</v>
      </c>
      <c r="R37" s="80">
        <f t="shared" si="18"/>
        <v>0.2716072176538265</v>
      </c>
      <c r="S37" s="179">
        <f>+Q37*1.025</f>
        <v>132932.7714388007</v>
      </c>
      <c r="T37" s="80">
        <f t="shared" si="19"/>
        <v>0.27293862558350213</v>
      </c>
      <c r="U37" s="179">
        <f>+S37*1.025</f>
        <v>136256.09072477071</v>
      </c>
      <c r="V37" s="80">
        <f t="shared" si="20"/>
        <v>0.27427656002263695</v>
      </c>
    </row>
    <row r="38" spans="1:22" ht="12.75" customHeight="1">
      <c r="A38" s="2" t="s">
        <v>373</v>
      </c>
      <c r="B38" s="35"/>
      <c r="C38" s="179">
        <v>13255</v>
      </c>
      <c r="D38" s="80">
        <f t="shared" si="11"/>
        <v>3.4177521994286128E-2</v>
      </c>
      <c r="E38" s="179">
        <f t="shared" ref="E38:E39" si="21">+C38*1.112</f>
        <v>14739.560000000001</v>
      </c>
      <c r="F38" s="80">
        <f t="shared" si="12"/>
        <v>3.4763113207547172E-2</v>
      </c>
      <c r="G38" s="179">
        <f>+E38*1.035</f>
        <v>15255.444600000001</v>
      </c>
      <c r="H38" s="80">
        <f t="shared" si="13"/>
        <v>3.5274335460599333E-2</v>
      </c>
      <c r="I38" s="179">
        <f>+G38*1.032</f>
        <v>15743.618827200002</v>
      </c>
      <c r="J38" s="80">
        <f t="shared" si="14"/>
        <v>3.5689327642488743E-2</v>
      </c>
      <c r="K38" s="179">
        <f>+I38*1.025</f>
        <v>16137.209297880001</v>
      </c>
      <c r="L38" s="80">
        <f t="shared" si="15"/>
        <v>3.5864275327010739E-2</v>
      </c>
      <c r="M38" s="179">
        <f>+K38*1.025</f>
        <v>16540.639530327</v>
      </c>
      <c r="N38" s="80">
        <f t="shared" si="16"/>
        <v>3.6040080598221579E-2</v>
      </c>
      <c r="O38" s="179">
        <f>+M38*1.025</f>
        <v>16954.155518585172</v>
      </c>
      <c r="P38" s="80">
        <f t="shared" si="17"/>
        <v>3.6216747659977559E-2</v>
      </c>
      <c r="Q38" s="179">
        <f>+O38*1.025</f>
        <v>17378.009406549801</v>
      </c>
      <c r="R38" s="80">
        <f t="shared" si="18"/>
        <v>3.6394280736742154E-2</v>
      </c>
      <c r="S38" s="179">
        <f>+Q38*1.025</f>
        <v>17812.459641713544</v>
      </c>
      <c r="T38" s="80">
        <f t="shared" si="19"/>
        <v>3.657268407368696E-2</v>
      </c>
      <c r="U38" s="179">
        <f>+S38*1.025</f>
        <v>18257.771132756381</v>
      </c>
      <c r="V38" s="80">
        <f t="shared" si="20"/>
        <v>3.6751961936793275E-2</v>
      </c>
    </row>
    <row r="39" spans="1:22" ht="12.75" customHeight="1">
      <c r="A39" s="2" t="s">
        <v>374</v>
      </c>
      <c r="B39" s="35"/>
      <c r="C39" s="179">
        <v>19643</v>
      </c>
      <c r="D39" s="80">
        <f t="shared" si="11"/>
        <v>5.0648741194550165E-2</v>
      </c>
      <c r="E39" s="179">
        <f t="shared" si="21"/>
        <v>21843.016000000003</v>
      </c>
      <c r="F39" s="80">
        <f t="shared" si="12"/>
        <v>5.1516547169811328E-2</v>
      </c>
      <c r="G39" s="179">
        <f>+E39*1.035</f>
        <v>22607.521560000001</v>
      </c>
      <c r="H39" s="80">
        <f t="shared" si="13"/>
        <v>5.2274143451720316E-2</v>
      </c>
      <c r="I39" s="179">
        <f>+G39*1.032</f>
        <v>23330.962249920001</v>
      </c>
      <c r="J39" s="80">
        <f t="shared" si="14"/>
        <v>5.2889133374681728E-2</v>
      </c>
      <c r="K39" s="179">
        <f>+I39*1.025</f>
        <v>23914.236306168001</v>
      </c>
      <c r="L39" s="80">
        <f t="shared" si="15"/>
        <v>5.3148393832400748E-2</v>
      </c>
      <c r="M39" s="179">
        <f>+K39*1.025</f>
        <v>24512.092213822198</v>
      </c>
      <c r="N39" s="80">
        <f t="shared" si="16"/>
        <v>5.3408925174716439E-2</v>
      </c>
      <c r="O39" s="179">
        <f>+M39*1.025</f>
        <v>25124.894519167752</v>
      </c>
      <c r="P39" s="80">
        <f t="shared" si="17"/>
        <v>5.3670733631455241E-2</v>
      </c>
      <c r="Q39" s="179">
        <f>+O39*1.025</f>
        <v>25753.016882146945</v>
      </c>
      <c r="R39" s="80">
        <f t="shared" si="18"/>
        <v>5.3933825462981977E-2</v>
      </c>
      <c r="S39" s="179">
        <f>+Q39*1.025</f>
        <v>26396.842304200618</v>
      </c>
      <c r="T39" s="80">
        <f t="shared" si="19"/>
        <v>5.4198206960349535E-2</v>
      </c>
      <c r="U39" s="179">
        <f>+S39*1.025</f>
        <v>27056.763361805632</v>
      </c>
      <c r="V39" s="80">
        <f t="shared" si="20"/>
        <v>5.4463884445449293E-2</v>
      </c>
    </row>
    <row r="40" spans="1:22" ht="12.75" customHeight="1">
      <c r="A40" s="2" t="s">
        <v>375</v>
      </c>
      <c r="B40" s="35"/>
      <c r="C40" s="179">
        <f>C36*0.124</f>
        <v>0</v>
      </c>
      <c r="D40" s="80">
        <f t="shared" si="11"/>
        <v>0</v>
      </c>
      <c r="E40" s="179">
        <f>E36*0.124</f>
        <v>0</v>
      </c>
      <c r="F40" s="80">
        <f t="shared" si="12"/>
        <v>0</v>
      </c>
      <c r="G40" s="179">
        <f>G36*0.124</f>
        <v>0</v>
      </c>
      <c r="H40" s="80">
        <f t="shared" si="13"/>
        <v>0</v>
      </c>
      <c r="I40" s="179">
        <f>I36*0.124</f>
        <v>0</v>
      </c>
      <c r="J40" s="80">
        <f t="shared" si="14"/>
        <v>0</v>
      </c>
      <c r="K40" s="179">
        <f>K36*0.124</f>
        <v>0</v>
      </c>
      <c r="L40" s="80">
        <f t="shared" si="15"/>
        <v>0</v>
      </c>
      <c r="M40" s="179">
        <f>M36*0.124</f>
        <v>0</v>
      </c>
      <c r="N40" s="80">
        <f t="shared" si="16"/>
        <v>0</v>
      </c>
      <c r="O40" s="179">
        <f>O36*0.124</f>
        <v>0</v>
      </c>
      <c r="P40" s="80">
        <f t="shared" si="17"/>
        <v>0</v>
      </c>
      <c r="Q40" s="179">
        <f>Q36*0.124</f>
        <v>0</v>
      </c>
      <c r="R40" s="80">
        <f t="shared" si="18"/>
        <v>0</v>
      </c>
      <c r="S40" s="179">
        <f>S36*0.124</f>
        <v>0</v>
      </c>
      <c r="T40" s="80">
        <f t="shared" si="19"/>
        <v>0</v>
      </c>
      <c r="U40" s="179">
        <f>U36*0.124</f>
        <v>0</v>
      </c>
      <c r="V40" s="80">
        <f t="shared" si="20"/>
        <v>0</v>
      </c>
    </row>
    <row r="41" spans="1:22" ht="12.75" customHeight="1">
      <c r="A41" s="2" t="s">
        <v>376</v>
      </c>
      <c r="B41" s="35"/>
      <c r="C41" s="179">
        <f>C37*0.124</f>
        <v>13697.907999999999</v>
      </c>
      <c r="D41" s="80">
        <f t="shared" si="11"/>
        <v>3.5319543715255218E-2</v>
      </c>
      <c r="E41" s="179">
        <f>E37*0.124</f>
        <v>13640</v>
      </c>
      <c r="F41" s="80">
        <f t="shared" si="12"/>
        <v>3.2169811320754714E-2</v>
      </c>
      <c r="G41" s="179">
        <f>G37*0.124</f>
        <v>14117.399999999998</v>
      </c>
      <c r="H41" s="80">
        <f t="shared" si="13"/>
        <v>3.2642896781354049E-2</v>
      </c>
      <c r="I41" s="179">
        <f>I37*0.124</f>
        <v>14569.156799999997</v>
      </c>
      <c r="J41" s="80">
        <f t="shared" si="14"/>
        <v>3.302693086113468E-2</v>
      </c>
      <c r="K41" s="179">
        <f>K37*0.124</f>
        <v>14933.385719999997</v>
      </c>
      <c r="L41" s="80">
        <f t="shared" si="15"/>
        <v>3.3188827581042198E-2</v>
      </c>
      <c r="M41" s="179">
        <f>M37*0.124</f>
        <v>15306.720362999995</v>
      </c>
      <c r="N41" s="80">
        <f t="shared" si="16"/>
        <v>3.3351517912321819E-2</v>
      </c>
      <c r="O41" s="179">
        <f>O37*0.124</f>
        <v>15689.388372074993</v>
      </c>
      <c r="P41" s="80">
        <f t="shared" si="17"/>
        <v>3.3515005745225347E-2</v>
      </c>
      <c r="Q41" s="179">
        <f>Q37*0.124</f>
        <v>16081.623081376865</v>
      </c>
      <c r="R41" s="80">
        <f t="shared" si="18"/>
        <v>3.3679294989074487E-2</v>
      </c>
      <c r="S41" s="179">
        <f>S37*0.124</f>
        <v>16483.663658411286</v>
      </c>
      <c r="T41" s="80">
        <f t="shared" si="19"/>
        <v>3.3844389572354264E-2</v>
      </c>
      <c r="U41" s="179">
        <f>U37*0.124</f>
        <v>16895.755249871567</v>
      </c>
      <c r="V41" s="80">
        <f t="shared" si="20"/>
        <v>3.4010293442806983E-2</v>
      </c>
    </row>
    <row r="42" spans="1:22" ht="12.75" customHeight="1">
      <c r="A42" s="2" t="s">
        <v>377</v>
      </c>
      <c r="B42" s="35"/>
      <c r="C42" s="179"/>
      <c r="D42" s="80">
        <f t="shared" si="11"/>
        <v>0</v>
      </c>
      <c r="E42" s="179"/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79"/>
      <c r="D43" s="80">
        <f t="shared" si="11"/>
        <v>0</v>
      </c>
      <c r="E43" s="179"/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79"/>
      <c r="D44" s="80">
        <f t="shared" si="11"/>
        <v>0</v>
      </c>
      <c r="E44" s="179"/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82">
        <f>SUM(C36:C39)*0.094</f>
        <v>13476.31</v>
      </c>
      <c r="D45" s="80">
        <f t="shared" si="11"/>
        <v>3.4748161556153755E-2</v>
      </c>
      <c r="E45" s="182">
        <f>SUM(E36:E39)*0.094</f>
        <v>13778.762144</v>
      </c>
      <c r="F45" s="80">
        <f t="shared" si="12"/>
        <v>3.2497080528301886E-2</v>
      </c>
      <c r="G45" s="182">
        <f>SUM(G36:G39)*0.094</f>
        <v>14261.018819039999</v>
      </c>
      <c r="H45" s="80">
        <f t="shared" si="13"/>
        <v>3.2974978771365147E-2</v>
      </c>
      <c r="I45" s="182">
        <f>SUM(I36:I39)*0.094</f>
        <v>14717.37142124928</v>
      </c>
      <c r="J45" s="80">
        <f t="shared" si="14"/>
        <v>3.3362919698087086E-2</v>
      </c>
      <c r="K45" s="182">
        <f>SUM(K36:K39)*0.094</f>
        <v>15085.305706780509</v>
      </c>
      <c r="L45" s="80">
        <f t="shared" si="15"/>
        <v>3.3526463422097308E-2</v>
      </c>
      <c r="M45" s="182">
        <f>SUM(M36:M39)*0.094</f>
        <v>15462.438349450022</v>
      </c>
      <c r="N45" s="80">
        <f t="shared" si="16"/>
        <v>3.3690808831029165E-2</v>
      </c>
      <c r="O45" s="182">
        <f>SUM(O36:O39)*0.094</f>
        <v>15848.999308186269</v>
      </c>
      <c r="P45" s="80">
        <f t="shared" si="17"/>
        <v>3.3855959854710668E-2</v>
      </c>
      <c r="Q45" s="182">
        <f>SUM(Q36:Q39)*0.094</f>
        <v>16245.224290890925</v>
      </c>
      <c r="R45" s="80">
        <f t="shared" si="18"/>
        <v>3.4021920442233761E-2</v>
      </c>
      <c r="S45" s="182">
        <f>SUM(S36:S39)*0.094</f>
        <v>16651.354898163194</v>
      </c>
      <c r="T45" s="80">
        <f t="shared" si="19"/>
        <v>3.4188694562048629E-2</v>
      </c>
      <c r="U45" s="182">
        <f>SUM(U36:U39)*0.094</f>
        <v>17067.638770617275</v>
      </c>
      <c r="V45" s="80">
        <f t="shared" si="20"/>
        <v>3.4356286202058675E-2</v>
      </c>
    </row>
    <row r="46" spans="1:22" ht="12.75" customHeight="1">
      <c r="A46" s="1" t="s">
        <v>381</v>
      </c>
      <c r="B46" s="53"/>
      <c r="C46" s="82">
        <f>SUM(C36:C45)</f>
        <v>170539.21799999999</v>
      </c>
      <c r="D46" s="83">
        <f t="shared" si="11"/>
        <v>0.43972899842198088</v>
      </c>
      <c r="E46" s="82">
        <f>SUM(E36:E45)</f>
        <v>174001.33814400001</v>
      </c>
      <c r="F46" s="83">
        <f t="shared" si="12"/>
        <v>0.41038051449056606</v>
      </c>
      <c r="G46" s="82">
        <f>SUM(G36:G45)</f>
        <v>180091.38497903998</v>
      </c>
      <c r="H46" s="83">
        <f t="shared" si="13"/>
        <v>0.41641552205660376</v>
      </c>
      <c r="I46" s="82">
        <f>SUM(I36:I45)</f>
        <v>185854.30929836928</v>
      </c>
      <c r="J46" s="83">
        <f t="shared" si="14"/>
        <v>0.42131452819844611</v>
      </c>
      <c r="K46" s="82">
        <f>SUM(K36:K45)</f>
        <v>190500.66703082848</v>
      </c>
      <c r="L46" s="83">
        <f t="shared" si="15"/>
        <v>0.42337979549353644</v>
      </c>
      <c r="M46" s="82">
        <f>SUM(M36:M45)</f>
        <v>195263.18370659917</v>
      </c>
      <c r="N46" s="83">
        <f t="shared" si="16"/>
        <v>0.42545518664791659</v>
      </c>
      <c r="O46" s="82">
        <f>SUM(O36:O45)</f>
        <v>200144.7632992641</v>
      </c>
      <c r="P46" s="83">
        <f t="shared" si="17"/>
        <v>0.42754075128834734</v>
      </c>
      <c r="Q46" s="82">
        <f>SUM(Q36:Q45)</f>
        <v>205148.38238174573</v>
      </c>
      <c r="R46" s="83">
        <f t="shared" si="18"/>
        <v>0.42963653928485895</v>
      </c>
      <c r="S46" s="82">
        <f>SUM(S36:S45)</f>
        <v>210277.09194128934</v>
      </c>
      <c r="T46" s="83">
        <f t="shared" si="19"/>
        <v>0.43174260075194154</v>
      </c>
      <c r="U46" s="82">
        <f>SUM(U36:U45)</f>
        <v>215534.01923982156</v>
      </c>
      <c r="V46" s="83">
        <f t="shared" si="20"/>
        <v>0.43385898604974515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2">IFERROR(C52/C$28,0)</f>
        <v>0</v>
      </c>
      <c r="E52" s="179">
        <v>0</v>
      </c>
      <c r="F52" s="80">
        <f t="shared" ref="F52:F104" si="23">IFERROR(E52/E$28,0)</f>
        <v>0</v>
      </c>
      <c r="G52" s="179">
        <v>0</v>
      </c>
      <c r="H52" s="80">
        <f t="shared" ref="H52:H104" si="24">IFERROR(G52/G$28,0)</f>
        <v>0</v>
      </c>
      <c r="I52" s="179">
        <v>0</v>
      </c>
      <c r="J52" s="80">
        <f t="shared" ref="J52:J104" si="25">IFERROR(I52/I$28,0)</f>
        <v>0</v>
      </c>
      <c r="K52" s="179">
        <v>0</v>
      </c>
      <c r="L52" s="80">
        <f t="shared" ref="L52:L104" si="26">IFERROR(K52/K$28,0)</f>
        <v>0</v>
      </c>
      <c r="M52" s="179">
        <v>0</v>
      </c>
      <c r="N52" s="80">
        <f t="shared" ref="N52:N104" si="27">IFERROR(M52/M$28,0)</f>
        <v>0</v>
      </c>
      <c r="O52" s="179">
        <v>0</v>
      </c>
      <c r="P52" s="80">
        <f t="shared" ref="P52:P104" si="28">IFERROR(O52/O$28,0)</f>
        <v>0</v>
      </c>
      <c r="Q52" s="179">
        <v>0</v>
      </c>
      <c r="R52" s="80">
        <f t="shared" ref="R52:R104" si="29">IFERROR(Q52/Q$28,0)</f>
        <v>0</v>
      </c>
      <c r="S52" s="179">
        <v>0</v>
      </c>
      <c r="T52" s="80">
        <f t="shared" ref="T52:T104" si="30">IFERROR(S52/S$28,0)</f>
        <v>0</v>
      </c>
      <c r="U52" s="179">
        <v>0</v>
      </c>
      <c r="V52" s="80">
        <f t="shared" ref="V52:V105" si="31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2"/>
        <v>0</v>
      </c>
      <c r="E53" s="179">
        <v>0</v>
      </c>
      <c r="F53" s="80">
        <f t="shared" si="23"/>
        <v>0</v>
      </c>
      <c r="G53" s="179">
        <v>0</v>
      </c>
      <c r="H53" s="80">
        <f t="shared" si="24"/>
        <v>0</v>
      </c>
      <c r="I53" s="179">
        <v>0</v>
      </c>
      <c r="J53" s="80">
        <f t="shared" si="25"/>
        <v>0</v>
      </c>
      <c r="K53" s="179">
        <v>0</v>
      </c>
      <c r="L53" s="80">
        <f t="shared" si="26"/>
        <v>0</v>
      </c>
      <c r="M53" s="179">
        <v>0</v>
      </c>
      <c r="N53" s="80">
        <f t="shared" si="27"/>
        <v>0</v>
      </c>
      <c r="O53" s="179">
        <v>0</v>
      </c>
      <c r="P53" s="80">
        <f t="shared" si="28"/>
        <v>0</v>
      </c>
      <c r="Q53" s="179">
        <v>0</v>
      </c>
      <c r="R53" s="80">
        <f t="shared" si="29"/>
        <v>0</v>
      </c>
      <c r="S53" s="179">
        <v>0</v>
      </c>
      <c r="T53" s="80">
        <f t="shared" si="30"/>
        <v>0</v>
      </c>
      <c r="U53" s="179">
        <v>0</v>
      </c>
      <c r="V53" s="80">
        <f t="shared" si="31"/>
        <v>0</v>
      </c>
      <c r="X53" s="200"/>
    </row>
    <row r="54" spans="1:24" ht="12.75" customHeight="1">
      <c r="A54" s="2" t="s">
        <v>385</v>
      </c>
      <c r="B54" s="35"/>
      <c r="C54" s="179">
        <v>271.4796</v>
      </c>
      <c r="D54" s="80">
        <f t="shared" si="22"/>
        <v>6.9999999999999999E-4</v>
      </c>
      <c r="E54" s="179">
        <v>296.8</v>
      </c>
      <c r="F54" s="80">
        <f t="shared" si="23"/>
        <v>6.9999999999999999E-4</v>
      </c>
      <c r="G54" s="179">
        <v>302.73600000000005</v>
      </c>
      <c r="H54" s="80">
        <f t="shared" si="24"/>
        <v>7.000000000000001E-4</v>
      </c>
      <c r="I54" s="179">
        <v>308.79071999999996</v>
      </c>
      <c r="J54" s="80">
        <f t="shared" si="25"/>
        <v>6.9999999999999988E-4</v>
      </c>
      <c r="K54" s="179">
        <v>314.96653440000011</v>
      </c>
      <c r="L54" s="80">
        <f t="shared" si="26"/>
        <v>7.000000000000001E-4</v>
      </c>
      <c r="M54" s="179">
        <v>321.265865088</v>
      </c>
      <c r="N54" s="80">
        <f t="shared" si="27"/>
        <v>6.9999999999999999E-4</v>
      </c>
      <c r="O54" s="179">
        <v>327.69118238976006</v>
      </c>
      <c r="P54" s="80">
        <f t="shared" si="28"/>
        <v>6.9999999999999999E-4</v>
      </c>
      <c r="Q54" s="179">
        <v>334.24500603755524</v>
      </c>
      <c r="R54" s="80">
        <f t="shared" si="29"/>
        <v>6.9999999999999999E-4</v>
      </c>
      <c r="S54" s="179">
        <v>340.92990615830632</v>
      </c>
      <c r="T54" s="80">
        <f t="shared" si="30"/>
        <v>6.9999999999999999E-4</v>
      </c>
      <c r="U54" s="179">
        <v>347.74850428147244</v>
      </c>
      <c r="V54" s="80">
        <f t="shared" si="31"/>
        <v>6.9999999999999999E-4</v>
      </c>
      <c r="X54" s="200"/>
    </row>
    <row r="55" spans="1:24" ht="12.75" customHeight="1">
      <c r="A55" s="2" t="s">
        <v>386</v>
      </c>
      <c r="B55" s="35"/>
      <c r="C55" s="179">
        <v>27147.960000000003</v>
      </c>
      <c r="D55" s="80">
        <f t="shared" si="22"/>
        <v>7.0000000000000007E-2</v>
      </c>
      <c r="E55" s="179">
        <v>29680.000000000004</v>
      </c>
      <c r="F55" s="80">
        <f t="shared" si="23"/>
        <v>7.0000000000000007E-2</v>
      </c>
      <c r="G55" s="179">
        <v>30273.600000000002</v>
      </c>
      <c r="H55" s="80">
        <f t="shared" si="24"/>
        <v>7.0000000000000007E-2</v>
      </c>
      <c r="I55" s="179">
        <v>30879.072000000004</v>
      </c>
      <c r="J55" s="80">
        <f t="shared" si="25"/>
        <v>7.0000000000000007E-2</v>
      </c>
      <c r="K55" s="179">
        <v>31496.653440000009</v>
      </c>
      <c r="L55" s="80">
        <f t="shared" si="26"/>
        <v>7.0000000000000007E-2</v>
      </c>
      <c r="M55" s="179">
        <v>32126.586508800003</v>
      </c>
      <c r="N55" s="80">
        <f t="shared" si="27"/>
        <v>7.0000000000000007E-2</v>
      </c>
      <c r="O55" s="179">
        <v>32769.118238976007</v>
      </c>
      <c r="P55" s="80">
        <f t="shared" si="28"/>
        <v>7.0000000000000007E-2</v>
      </c>
      <c r="Q55" s="179">
        <v>33424.500603755529</v>
      </c>
      <c r="R55" s="80">
        <f t="shared" si="29"/>
        <v>7.0000000000000007E-2</v>
      </c>
      <c r="S55" s="179">
        <v>34092.990615830633</v>
      </c>
      <c r="T55" s="80">
        <f t="shared" si="30"/>
        <v>7.0000000000000007E-2</v>
      </c>
      <c r="U55" s="179">
        <v>34774.850428147249</v>
      </c>
      <c r="V55" s="80">
        <f t="shared" si="31"/>
        <v>7.0000000000000007E-2</v>
      </c>
      <c r="X55" s="200"/>
    </row>
    <row r="56" spans="1:24" ht="12.75" customHeight="1">
      <c r="A56" s="2" t="s">
        <v>387</v>
      </c>
      <c r="B56" s="35"/>
      <c r="C56" s="179">
        <v>197.79228000000001</v>
      </c>
      <c r="D56" s="80">
        <f t="shared" si="22"/>
        <v>5.1000000000000004E-4</v>
      </c>
      <c r="E56" s="179">
        <v>216.24000000000004</v>
      </c>
      <c r="F56" s="80">
        <f t="shared" si="23"/>
        <v>5.1000000000000004E-4</v>
      </c>
      <c r="G56" s="179">
        <v>220.56480000000002</v>
      </c>
      <c r="H56" s="80">
        <f t="shared" si="24"/>
        <v>5.1000000000000004E-4</v>
      </c>
      <c r="I56" s="179">
        <v>224.97609600000004</v>
      </c>
      <c r="J56" s="80">
        <f t="shared" si="25"/>
        <v>5.1000000000000004E-4</v>
      </c>
      <c r="K56" s="179">
        <v>229.47561792000008</v>
      </c>
      <c r="L56" s="80">
        <f t="shared" si="26"/>
        <v>5.1000000000000004E-4</v>
      </c>
      <c r="M56" s="179">
        <v>234.06513027840001</v>
      </c>
      <c r="N56" s="80">
        <f t="shared" si="27"/>
        <v>5.1000000000000004E-4</v>
      </c>
      <c r="O56" s="179">
        <v>238.74643288396808</v>
      </c>
      <c r="P56" s="80">
        <f t="shared" si="28"/>
        <v>5.1000000000000015E-4</v>
      </c>
      <c r="Q56" s="179">
        <v>243.52136154164742</v>
      </c>
      <c r="R56" s="80">
        <f t="shared" si="29"/>
        <v>5.1000000000000004E-4</v>
      </c>
      <c r="S56" s="179">
        <v>248.39178877248037</v>
      </c>
      <c r="T56" s="80">
        <f t="shared" si="30"/>
        <v>5.1000000000000004E-4</v>
      </c>
      <c r="U56" s="179">
        <v>253.35962454792991</v>
      </c>
      <c r="V56" s="80">
        <f t="shared" si="31"/>
        <v>5.1000000000000004E-4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2"/>
        <v>0</v>
      </c>
      <c r="E57" s="179">
        <v>0</v>
      </c>
      <c r="F57" s="80">
        <f t="shared" si="23"/>
        <v>0</v>
      </c>
      <c r="G57" s="179">
        <v>0</v>
      </c>
      <c r="H57" s="80">
        <f t="shared" si="24"/>
        <v>0</v>
      </c>
      <c r="I57" s="179">
        <v>0</v>
      </c>
      <c r="J57" s="80">
        <f t="shared" si="25"/>
        <v>0</v>
      </c>
      <c r="K57" s="179">
        <v>0</v>
      </c>
      <c r="L57" s="80">
        <f t="shared" si="26"/>
        <v>0</v>
      </c>
      <c r="M57" s="179">
        <v>0</v>
      </c>
      <c r="N57" s="80">
        <f t="shared" si="27"/>
        <v>0</v>
      </c>
      <c r="O57" s="179">
        <v>0</v>
      </c>
      <c r="P57" s="80">
        <f t="shared" si="28"/>
        <v>0</v>
      </c>
      <c r="Q57" s="179">
        <v>0</v>
      </c>
      <c r="R57" s="80">
        <f t="shared" si="29"/>
        <v>0</v>
      </c>
      <c r="S57" s="179">
        <v>0</v>
      </c>
      <c r="T57" s="80">
        <f t="shared" si="30"/>
        <v>0</v>
      </c>
      <c r="U57" s="179">
        <v>0</v>
      </c>
      <c r="V57" s="80">
        <f t="shared" si="31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2"/>
        <v>0</v>
      </c>
      <c r="E58" s="179">
        <v>0</v>
      </c>
      <c r="F58" s="80">
        <f t="shared" si="23"/>
        <v>0</v>
      </c>
      <c r="G58" s="179">
        <v>0</v>
      </c>
      <c r="H58" s="80">
        <f t="shared" si="24"/>
        <v>0</v>
      </c>
      <c r="I58" s="179">
        <v>0</v>
      </c>
      <c r="J58" s="80">
        <f t="shared" si="25"/>
        <v>0</v>
      </c>
      <c r="K58" s="179">
        <v>0</v>
      </c>
      <c r="L58" s="80">
        <f t="shared" si="26"/>
        <v>0</v>
      </c>
      <c r="M58" s="179">
        <v>0</v>
      </c>
      <c r="N58" s="80">
        <f t="shared" si="27"/>
        <v>0</v>
      </c>
      <c r="O58" s="179">
        <v>0</v>
      </c>
      <c r="P58" s="80">
        <f t="shared" si="28"/>
        <v>0</v>
      </c>
      <c r="Q58" s="179">
        <v>0</v>
      </c>
      <c r="R58" s="80">
        <f t="shared" si="29"/>
        <v>0</v>
      </c>
      <c r="S58" s="179">
        <v>0</v>
      </c>
      <c r="T58" s="80">
        <f t="shared" si="30"/>
        <v>0</v>
      </c>
      <c r="U58" s="179">
        <v>0</v>
      </c>
      <c r="V58" s="80">
        <f t="shared" si="31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2"/>
        <v>0</v>
      </c>
      <c r="E59" s="179">
        <v>0</v>
      </c>
      <c r="F59" s="80">
        <f t="shared" si="23"/>
        <v>0</v>
      </c>
      <c r="G59" s="179">
        <v>0</v>
      </c>
      <c r="H59" s="80">
        <f t="shared" si="24"/>
        <v>0</v>
      </c>
      <c r="I59" s="179">
        <v>0</v>
      </c>
      <c r="J59" s="80">
        <f t="shared" si="25"/>
        <v>0</v>
      </c>
      <c r="K59" s="179">
        <v>0</v>
      </c>
      <c r="L59" s="80">
        <f t="shared" si="26"/>
        <v>0</v>
      </c>
      <c r="M59" s="179">
        <v>0</v>
      </c>
      <c r="N59" s="80">
        <f t="shared" si="27"/>
        <v>0</v>
      </c>
      <c r="O59" s="179">
        <v>0</v>
      </c>
      <c r="P59" s="80">
        <f t="shared" si="28"/>
        <v>0</v>
      </c>
      <c r="Q59" s="179">
        <v>0</v>
      </c>
      <c r="R59" s="80">
        <f t="shared" si="29"/>
        <v>0</v>
      </c>
      <c r="S59" s="179">
        <v>0</v>
      </c>
      <c r="T59" s="80">
        <f t="shared" si="30"/>
        <v>0</v>
      </c>
      <c r="U59" s="179">
        <v>0</v>
      </c>
      <c r="V59" s="80">
        <f t="shared" si="31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2"/>
        <v>0</v>
      </c>
      <c r="E60" s="179">
        <v>0</v>
      </c>
      <c r="F60" s="80">
        <f t="shared" si="23"/>
        <v>0</v>
      </c>
      <c r="G60" s="179">
        <v>0</v>
      </c>
      <c r="H60" s="80">
        <f t="shared" si="24"/>
        <v>0</v>
      </c>
      <c r="I60" s="179">
        <v>0</v>
      </c>
      <c r="J60" s="80">
        <f t="shared" si="25"/>
        <v>0</v>
      </c>
      <c r="K60" s="179">
        <v>0</v>
      </c>
      <c r="L60" s="80">
        <f t="shared" si="26"/>
        <v>0</v>
      </c>
      <c r="M60" s="179">
        <v>0</v>
      </c>
      <c r="N60" s="80">
        <f t="shared" si="27"/>
        <v>0</v>
      </c>
      <c r="O60" s="179">
        <v>0</v>
      </c>
      <c r="P60" s="80">
        <f t="shared" si="28"/>
        <v>0</v>
      </c>
      <c r="Q60" s="179">
        <v>0</v>
      </c>
      <c r="R60" s="80">
        <f t="shared" si="29"/>
        <v>0</v>
      </c>
      <c r="S60" s="179">
        <v>0</v>
      </c>
      <c r="T60" s="80">
        <f t="shared" si="30"/>
        <v>0</v>
      </c>
      <c r="U60" s="179">
        <v>0</v>
      </c>
      <c r="V60" s="80">
        <f t="shared" si="31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2"/>
        <v>0</v>
      </c>
      <c r="E61" s="179">
        <v>0</v>
      </c>
      <c r="F61" s="80">
        <f t="shared" si="23"/>
        <v>0</v>
      </c>
      <c r="G61" s="179">
        <v>0</v>
      </c>
      <c r="H61" s="80">
        <f t="shared" si="24"/>
        <v>0</v>
      </c>
      <c r="I61" s="179">
        <v>0</v>
      </c>
      <c r="J61" s="80">
        <f t="shared" si="25"/>
        <v>0</v>
      </c>
      <c r="K61" s="179">
        <v>0</v>
      </c>
      <c r="L61" s="80">
        <f t="shared" si="26"/>
        <v>0</v>
      </c>
      <c r="M61" s="179">
        <v>0</v>
      </c>
      <c r="N61" s="80">
        <f t="shared" si="27"/>
        <v>0</v>
      </c>
      <c r="O61" s="179">
        <v>0</v>
      </c>
      <c r="P61" s="80">
        <f t="shared" si="28"/>
        <v>0</v>
      </c>
      <c r="Q61" s="179">
        <v>0</v>
      </c>
      <c r="R61" s="80">
        <f t="shared" si="29"/>
        <v>0</v>
      </c>
      <c r="S61" s="179">
        <v>0</v>
      </c>
      <c r="T61" s="80">
        <f t="shared" si="30"/>
        <v>0</v>
      </c>
      <c r="U61" s="179">
        <v>0</v>
      </c>
      <c r="V61" s="80">
        <f t="shared" si="31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2"/>
        <v>0</v>
      </c>
      <c r="E62" s="179">
        <v>0</v>
      </c>
      <c r="F62" s="80">
        <f t="shared" si="23"/>
        <v>0</v>
      </c>
      <c r="G62" s="179">
        <v>0</v>
      </c>
      <c r="H62" s="80">
        <f t="shared" si="24"/>
        <v>0</v>
      </c>
      <c r="I62" s="179">
        <v>0</v>
      </c>
      <c r="J62" s="80">
        <f t="shared" si="25"/>
        <v>0</v>
      </c>
      <c r="K62" s="179">
        <v>0</v>
      </c>
      <c r="L62" s="80">
        <f t="shared" si="26"/>
        <v>0</v>
      </c>
      <c r="M62" s="179">
        <v>0</v>
      </c>
      <c r="N62" s="80">
        <f t="shared" si="27"/>
        <v>0</v>
      </c>
      <c r="O62" s="179">
        <v>0</v>
      </c>
      <c r="P62" s="80">
        <f t="shared" si="28"/>
        <v>0</v>
      </c>
      <c r="Q62" s="179">
        <v>0</v>
      </c>
      <c r="R62" s="80">
        <f t="shared" si="29"/>
        <v>0</v>
      </c>
      <c r="S62" s="179">
        <v>0</v>
      </c>
      <c r="T62" s="80">
        <f t="shared" si="30"/>
        <v>0</v>
      </c>
      <c r="U62" s="179">
        <v>0</v>
      </c>
      <c r="V62" s="80">
        <f t="shared" si="31"/>
        <v>0</v>
      </c>
      <c r="X62" s="200"/>
    </row>
    <row r="63" spans="1:24" ht="12.75" customHeight="1">
      <c r="A63" s="2" t="s">
        <v>394</v>
      </c>
      <c r="B63" s="35"/>
      <c r="C63" s="179">
        <v>5321.9447341639479</v>
      </c>
      <c r="D63" s="80">
        <f t="shared" si="22"/>
        <v>1.3722435549171148E-2</v>
      </c>
      <c r="E63" s="179">
        <v>3289.1038724233395</v>
      </c>
      <c r="F63" s="80">
        <f t="shared" si="23"/>
        <v>7.7573204538286308E-3</v>
      </c>
      <c r="G63" s="179">
        <v>3850.1728435535606</v>
      </c>
      <c r="H63" s="80">
        <f t="shared" si="24"/>
        <v>8.9025454207213289E-3</v>
      </c>
      <c r="I63" s="179">
        <v>3892.8188021300434</v>
      </c>
      <c r="J63" s="80">
        <f t="shared" si="25"/>
        <v>8.8246601500557732E-3</v>
      </c>
      <c r="K63" s="179">
        <v>3924.9476715134915</v>
      </c>
      <c r="L63" s="80">
        <f t="shared" si="26"/>
        <v>8.7230326716876867E-3</v>
      </c>
      <c r="M63" s="179">
        <v>3995.0313837353633</v>
      </c>
      <c r="N63" s="80">
        <f t="shared" si="27"/>
        <v>8.7046968648497435E-3</v>
      </c>
      <c r="O63" s="179">
        <v>4066.5912460625855</v>
      </c>
      <c r="P63" s="80">
        <f t="shared" si="28"/>
        <v>8.6868796758101698E-3</v>
      </c>
      <c r="Q63" s="179">
        <v>4139.5155850853434</v>
      </c>
      <c r="R63" s="80">
        <f t="shared" si="29"/>
        <v>8.669272112428102E-3</v>
      </c>
      <c r="S63" s="179">
        <v>4213.693724456507</v>
      </c>
      <c r="T63" s="80">
        <f t="shared" si="30"/>
        <v>8.6515895315735468E-3</v>
      </c>
      <c r="U63" s="179">
        <v>4453.2443566870488</v>
      </c>
      <c r="V63" s="80">
        <f t="shared" si="31"/>
        <v>8.9641537240308933E-3</v>
      </c>
      <c r="X63" s="200"/>
    </row>
    <row r="64" spans="1:24" ht="12.75" customHeight="1">
      <c r="A64" s="2" t="s">
        <v>395</v>
      </c>
      <c r="B64" s="35"/>
      <c r="C64" s="179">
        <v>1861.5743999999995</v>
      </c>
      <c r="D64" s="80">
        <f t="shared" si="22"/>
        <v>4.7999999999999987E-3</v>
      </c>
      <c r="E64" s="179">
        <v>2035.1999999999998</v>
      </c>
      <c r="F64" s="80">
        <f t="shared" si="23"/>
        <v>4.7999999999999996E-3</v>
      </c>
      <c r="G64" s="179">
        <v>2075.904</v>
      </c>
      <c r="H64" s="80">
        <f t="shared" si="24"/>
        <v>4.7999999999999996E-3</v>
      </c>
      <c r="I64" s="179">
        <v>2117.4220799999998</v>
      </c>
      <c r="J64" s="80">
        <f t="shared" si="25"/>
        <v>4.7999999999999996E-3</v>
      </c>
      <c r="K64" s="179">
        <v>2159.7705216000004</v>
      </c>
      <c r="L64" s="80">
        <f t="shared" si="26"/>
        <v>4.7999999999999996E-3</v>
      </c>
      <c r="M64" s="179">
        <v>2202.9659320319997</v>
      </c>
      <c r="N64" s="80">
        <f t="shared" si="27"/>
        <v>4.7999999999999996E-3</v>
      </c>
      <c r="O64" s="179">
        <v>2247.0252506726401</v>
      </c>
      <c r="P64" s="80">
        <f t="shared" si="28"/>
        <v>4.7999999999999996E-3</v>
      </c>
      <c r="Q64" s="179">
        <v>2291.9657556860925</v>
      </c>
      <c r="R64" s="80">
        <f t="shared" si="29"/>
        <v>4.7999999999999987E-3</v>
      </c>
      <c r="S64" s="179">
        <v>2337.805070799815</v>
      </c>
      <c r="T64" s="80">
        <f t="shared" si="30"/>
        <v>4.8000000000000004E-3</v>
      </c>
      <c r="U64" s="179">
        <v>2384.561172215811</v>
      </c>
      <c r="V64" s="80">
        <f t="shared" si="31"/>
        <v>4.8000000000000004E-3</v>
      </c>
      <c r="X64" s="200"/>
    </row>
    <row r="65" spans="1:24" ht="12.75" customHeight="1">
      <c r="A65" s="2" t="s">
        <v>396</v>
      </c>
      <c r="B65" s="35"/>
      <c r="C65" s="179">
        <v>193.91399999999999</v>
      </c>
      <c r="D65" s="80">
        <f t="shared" si="22"/>
        <v>5.0000000000000001E-4</v>
      </c>
      <c r="E65" s="179">
        <v>212</v>
      </c>
      <c r="F65" s="80">
        <f t="shared" si="23"/>
        <v>5.0000000000000001E-4</v>
      </c>
      <c r="G65" s="179">
        <v>216.24000000000004</v>
      </c>
      <c r="H65" s="80">
        <f t="shared" si="24"/>
        <v>5.0000000000000012E-4</v>
      </c>
      <c r="I65" s="179">
        <v>220.56480000000002</v>
      </c>
      <c r="J65" s="80">
        <f t="shared" si="25"/>
        <v>5.0000000000000001E-4</v>
      </c>
      <c r="K65" s="179">
        <v>224.97609600000007</v>
      </c>
      <c r="L65" s="80">
        <f t="shared" si="26"/>
        <v>5.0000000000000001E-4</v>
      </c>
      <c r="M65" s="179">
        <v>229.47561791999999</v>
      </c>
      <c r="N65" s="80">
        <f t="shared" si="27"/>
        <v>5.0000000000000001E-4</v>
      </c>
      <c r="O65" s="179">
        <v>234.06513027840003</v>
      </c>
      <c r="P65" s="80">
        <f t="shared" si="28"/>
        <v>5.0000000000000001E-4</v>
      </c>
      <c r="Q65" s="179">
        <v>238.74643288396805</v>
      </c>
      <c r="R65" s="80">
        <f t="shared" si="29"/>
        <v>5.0000000000000012E-4</v>
      </c>
      <c r="S65" s="179">
        <v>243.52136154164739</v>
      </c>
      <c r="T65" s="80">
        <f t="shared" si="30"/>
        <v>5.0000000000000001E-4</v>
      </c>
      <c r="U65" s="179">
        <v>248.39178877248031</v>
      </c>
      <c r="V65" s="80">
        <f t="shared" si="31"/>
        <v>5.0000000000000001E-4</v>
      </c>
      <c r="X65" s="200"/>
    </row>
    <row r="66" spans="1:24" ht="12.75" customHeight="1">
      <c r="A66" s="2" t="s">
        <v>397</v>
      </c>
      <c r="B66" s="35"/>
      <c r="C66" s="179">
        <v>1085.9184</v>
      </c>
      <c r="D66" s="80">
        <f t="shared" si="22"/>
        <v>2.8E-3</v>
      </c>
      <c r="E66" s="179">
        <v>1187.2</v>
      </c>
      <c r="F66" s="80">
        <f t="shared" si="23"/>
        <v>2.8E-3</v>
      </c>
      <c r="G66" s="179">
        <v>1210.9440000000002</v>
      </c>
      <c r="H66" s="80">
        <f t="shared" si="24"/>
        <v>2.8000000000000004E-3</v>
      </c>
      <c r="I66" s="179">
        <v>1235.1628799999999</v>
      </c>
      <c r="J66" s="80">
        <f t="shared" si="25"/>
        <v>2.7999999999999995E-3</v>
      </c>
      <c r="K66" s="179">
        <v>1259.8661376000005</v>
      </c>
      <c r="L66" s="80">
        <f t="shared" si="26"/>
        <v>2.8000000000000004E-3</v>
      </c>
      <c r="M66" s="179">
        <v>1285.063460352</v>
      </c>
      <c r="N66" s="80">
        <f t="shared" si="27"/>
        <v>2.8E-3</v>
      </c>
      <c r="O66" s="179">
        <v>1310.7647295590402</v>
      </c>
      <c r="P66" s="80">
        <f t="shared" si="28"/>
        <v>2.8E-3</v>
      </c>
      <c r="Q66" s="179">
        <v>1336.980024150221</v>
      </c>
      <c r="R66" s="80">
        <f t="shared" si="29"/>
        <v>2.8E-3</v>
      </c>
      <c r="S66" s="179">
        <v>1363.7196246332253</v>
      </c>
      <c r="T66" s="80">
        <f t="shared" si="30"/>
        <v>2.8E-3</v>
      </c>
      <c r="U66" s="179">
        <v>1390.9940171258897</v>
      </c>
      <c r="V66" s="80">
        <f t="shared" si="31"/>
        <v>2.8E-3</v>
      </c>
      <c r="X66" s="200"/>
    </row>
    <row r="67" spans="1:24" ht="12.75" customHeight="1">
      <c r="A67" s="2" t="s">
        <v>398</v>
      </c>
      <c r="B67" s="35"/>
      <c r="C67" s="179">
        <v>5817.4199999999992</v>
      </c>
      <c r="D67" s="80">
        <f t="shared" si="22"/>
        <v>1.4999999999999998E-2</v>
      </c>
      <c r="E67" s="179">
        <v>6360</v>
      </c>
      <c r="F67" s="80">
        <f t="shared" si="23"/>
        <v>1.4999999999999999E-2</v>
      </c>
      <c r="G67" s="179">
        <v>6487.2000000000007</v>
      </c>
      <c r="H67" s="80">
        <f t="shared" si="24"/>
        <v>1.5000000000000001E-2</v>
      </c>
      <c r="I67" s="179">
        <v>6616.9439999999995</v>
      </c>
      <c r="J67" s="80">
        <f t="shared" si="25"/>
        <v>1.4999999999999998E-2</v>
      </c>
      <c r="K67" s="179">
        <v>6749.2828800000025</v>
      </c>
      <c r="L67" s="80">
        <f t="shared" si="26"/>
        <v>1.5000000000000003E-2</v>
      </c>
      <c r="M67" s="179">
        <v>6884.2685375999999</v>
      </c>
      <c r="N67" s="80">
        <f t="shared" si="27"/>
        <v>1.5000000000000001E-2</v>
      </c>
      <c r="O67" s="179">
        <v>7021.9539083520012</v>
      </c>
      <c r="P67" s="80">
        <f t="shared" si="28"/>
        <v>1.5000000000000001E-2</v>
      </c>
      <c r="Q67" s="179">
        <v>7162.3929865190412</v>
      </c>
      <c r="R67" s="80">
        <f t="shared" si="29"/>
        <v>1.5000000000000001E-2</v>
      </c>
      <c r="S67" s="179">
        <v>7305.6408462494219</v>
      </c>
      <c r="T67" s="80">
        <f t="shared" si="30"/>
        <v>1.5000000000000001E-2</v>
      </c>
      <c r="U67" s="179">
        <v>7451.7536631744088</v>
      </c>
      <c r="V67" s="80">
        <f t="shared" si="31"/>
        <v>1.4999999999999999E-2</v>
      </c>
      <c r="X67" s="200"/>
    </row>
    <row r="68" spans="1:24" ht="12.75" customHeight="1">
      <c r="A68" s="2" t="s">
        <v>399</v>
      </c>
      <c r="B68" s="35"/>
      <c r="C68" s="179">
        <v>659.30759999999998</v>
      </c>
      <c r="D68" s="80">
        <f t="shared" si="22"/>
        <v>1.6999999999999999E-3</v>
      </c>
      <c r="E68" s="179">
        <v>720.8</v>
      </c>
      <c r="F68" s="80">
        <f t="shared" si="23"/>
        <v>1.6999999999999999E-3</v>
      </c>
      <c r="G68" s="179">
        <v>735.21600000000001</v>
      </c>
      <c r="H68" s="80">
        <f t="shared" si="24"/>
        <v>1.7000000000000001E-3</v>
      </c>
      <c r="I68" s="179">
        <v>749.92032000000006</v>
      </c>
      <c r="J68" s="80">
        <f t="shared" si="25"/>
        <v>1.6999999999999999E-3</v>
      </c>
      <c r="K68" s="179">
        <v>764.9187264000002</v>
      </c>
      <c r="L68" s="80">
        <f t="shared" si="26"/>
        <v>1.7000000000000001E-3</v>
      </c>
      <c r="M68" s="179">
        <v>780.21710092799992</v>
      </c>
      <c r="N68" s="80">
        <f t="shared" si="27"/>
        <v>1.6999999999999999E-3</v>
      </c>
      <c r="O68" s="179">
        <v>795.82144294656018</v>
      </c>
      <c r="P68" s="80">
        <f t="shared" si="28"/>
        <v>1.7000000000000001E-3</v>
      </c>
      <c r="Q68" s="179">
        <v>811.7378718054913</v>
      </c>
      <c r="R68" s="80">
        <f t="shared" si="29"/>
        <v>1.7000000000000001E-3</v>
      </c>
      <c r="S68" s="179">
        <v>827.97262924160111</v>
      </c>
      <c r="T68" s="80">
        <f t="shared" si="30"/>
        <v>1.7000000000000001E-3</v>
      </c>
      <c r="U68" s="179">
        <v>844.532081826433</v>
      </c>
      <c r="V68" s="80">
        <f t="shared" si="31"/>
        <v>1.6999999999999999E-3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2"/>
        <v>0</v>
      </c>
      <c r="E69" s="179">
        <v>0</v>
      </c>
      <c r="F69" s="80">
        <f t="shared" si="23"/>
        <v>0</v>
      </c>
      <c r="G69" s="179">
        <v>0</v>
      </c>
      <c r="H69" s="80">
        <f t="shared" si="24"/>
        <v>0</v>
      </c>
      <c r="I69" s="179">
        <v>0</v>
      </c>
      <c r="J69" s="80">
        <f t="shared" si="25"/>
        <v>0</v>
      </c>
      <c r="K69" s="179">
        <v>0</v>
      </c>
      <c r="L69" s="80">
        <f t="shared" si="26"/>
        <v>0</v>
      </c>
      <c r="M69" s="179">
        <v>0</v>
      </c>
      <c r="N69" s="80">
        <f t="shared" si="27"/>
        <v>0</v>
      </c>
      <c r="O69" s="179">
        <v>0</v>
      </c>
      <c r="P69" s="80">
        <f t="shared" si="28"/>
        <v>0</v>
      </c>
      <c r="Q69" s="179">
        <v>0</v>
      </c>
      <c r="R69" s="80">
        <f t="shared" si="29"/>
        <v>0</v>
      </c>
      <c r="S69" s="179">
        <v>0</v>
      </c>
      <c r="T69" s="80">
        <f t="shared" si="30"/>
        <v>0</v>
      </c>
      <c r="U69" s="179">
        <v>0</v>
      </c>
      <c r="V69" s="80">
        <f t="shared" si="31"/>
        <v>0</v>
      </c>
      <c r="X69" s="200"/>
    </row>
    <row r="70" spans="1:24" ht="12.75" customHeight="1">
      <c r="A70" s="2" t="s">
        <v>401</v>
      </c>
      <c r="B70" s="35"/>
      <c r="C70" s="179">
        <v>38.782800000000002</v>
      </c>
      <c r="D70" s="80">
        <f t="shared" si="22"/>
        <v>1E-4</v>
      </c>
      <c r="E70" s="179">
        <v>42.4</v>
      </c>
      <c r="F70" s="80">
        <f t="shared" si="23"/>
        <v>9.9999999999999991E-5</v>
      </c>
      <c r="G70" s="179">
        <v>43.248000000000005</v>
      </c>
      <c r="H70" s="80">
        <f t="shared" si="24"/>
        <v>1E-4</v>
      </c>
      <c r="I70" s="179">
        <v>44.112960000000001</v>
      </c>
      <c r="J70" s="80">
        <f t="shared" si="25"/>
        <v>9.9999999999999991E-5</v>
      </c>
      <c r="K70" s="179">
        <v>44.995219200000015</v>
      </c>
      <c r="L70" s="80">
        <f t="shared" si="26"/>
        <v>1.0000000000000002E-4</v>
      </c>
      <c r="M70" s="179">
        <v>45.895123584000004</v>
      </c>
      <c r="N70" s="80">
        <f t="shared" si="27"/>
        <v>1.0000000000000002E-4</v>
      </c>
      <c r="O70" s="179">
        <v>46.813026055680012</v>
      </c>
      <c r="P70" s="80">
        <f t="shared" si="28"/>
        <v>1.0000000000000002E-4</v>
      </c>
      <c r="Q70" s="179">
        <v>47.749286576793608</v>
      </c>
      <c r="R70" s="80">
        <f t="shared" si="29"/>
        <v>1E-4</v>
      </c>
      <c r="S70" s="179">
        <v>48.704272308329486</v>
      </c>
      <c r="T70" s="80">
        <f t="shared" si="30"/>
        <v>1.0000000000000002E-4</v>
      </c>
      <c r="U70" s="179">
        <v>49.678357754496069</v>
      </c>
      <c r="V70" s="80">
        <f t="shared" si="31"/>
        <v>1.0000000000000002E-4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2"/>
        <v>0</v>
      </c>
      <c r="E71" s="179">
        <v>0</v>
      </c>
      <c r="F71" s="80">
        <f t="shared" si="23"/>
        <v>0</v>
      </c>
      <c r="G71" s="179">
        <v>0</v>
      </c>
      <c r="H71" s="80">
        <f t="shared" si="24"/>
        <v>0</v>
      </c>
      <c r="I71" s="179">
        <v>0</v>
      </c>
      <c r="J71" s="80">
        <f t="shared" si="25"/>
        <v>0</v>
      </c>
      <c r="K71" s="179">
        <v>0</v>
      </c>
      <c r="L71" s="80">
        <f t="shared" si="26"/>
        <v>0</v>
      </c>
      <c r="M71" s="179">
        <v>0</v>
      </c>
      <c r="N71" s="80">
        <f t="shared" si="27"/>
        <v>0</v>
      </c>
      <c r="O71" s="179">
        <v>0</v>
      </c>
      <c r="P71" s="80">
        <f t="shared" si="28"/>
        <v>0</v>
      </c>
      <c r="Q71" s="179">
        <v>0</v>
      </c>
      <c r="R71" s="80">
        <f t="shared" si="29"/>
        <v>0</v>
      </c>
      <c r="S71" s="179">
        <v>0</v>
      </c>
      <c r="T71" s="80">
        <f t="shared" si="30"/>
        <v>0</v>
      </c>
      <c r="U71" s="179">
        <v>0</v>
      </c>
      <c r="V71" s="80">
        <f t="shared" si="31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2"/>
        <v>0</v>
      </c>
      <c r="E72" s="179">
        <v>0</v>
      </c>
      <c r="F72" s="80">
        <f t="shared" si="23"/>
        <v>0</v>
      </c>
      <c r="G72" s="179">
        <v>0</v>
      </c>
      <c r="H72" s="80">
        <f t="shared" si="24"/>
        <v>0</v>
      </c>
      <c r="I72" s="179">
        <v>0</v>
      </c>
      <c r="J72" s="80">
        <f t="shared" si="25"/>
        <v>0</v>
      </c>
      <c r="K72" s="179">
        <v>0</v>
      </c>
      <c r="L72" s="80">
        <f t="shared" si="26"/>
        <v>0</v>
      </c>
      <c r="M72" s="179">
        <v>0</v>
      </c>
      <c r="N72" s="80">
        <f t="shared" si="27"/>
        <v>0</v>
      </c>
      <c r="O72" s="179">
        <v>0</v>
      </c>
      <c r="P72" s="80">
        <f t="shared" si="28"/>
        <v>0</v>
      </c>
      <c r="Q72" s="179">
        <v>0</v>
      </c>
      <c r="R72" s="80">
        <f t="shared" si="29"/>
        <v>0</v>
      </c>
      <c r="S72" s="179">
        <v>0</v>
      </c>
      <c r="T72" s="80">
        <f t="shared" si="30"/>
        <v>0</v>
      </c>
      <c r="U72" s="179">
        <v>0</v>
      </c>
      <c r="V72" s="80">
        <f t="shared" si="31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2"/>
        <v>0</v>
      </c>
      <c r="E73" s="179">
        <v>0</v>
      </c>
      <c r="F73" s="80">
        <f t="shared" si="23"/>
        <v>0</v>
      </c>
      <c r="G73" s="179">
        <v>0</v>
      </c>
      <c r="H73" s="80">
        <f t="shared" si="24"/>
        <v>0</v>
      </c>
      <c r="I73" s="179">
        <v>0</v>
      </c>
      <c r="J73" s="80">
        <f t="shared" si="25"/>
        <v>0</v>
      </c>
      <c r="K73" s="179">
        <v>0</v>
      </c>
      <c r="L73" s="80">
        <f t="shared" si="26"/>
        <v>0</v>
      </c>
      <c r="M73" s="179">
        <v>0</v>
      </c>
      <c r="N73" s="80">
        <f t="shared" si="27"/>
        <v>0</v>
      </c>
      <c r="O73" s="179">
        <v>0</v>
      </c>
      <c r="P73" s="80">
        <f t="shared" si="28"/>
        <v>0</v>
      </c>
      <c r="Q73" s="179">
        <v>0</v>
      </c>
      <c r="R73" s="80">
        <f t="shared" si="29"/>
        <v>0</v>
      </c>
      <c r="S73" s="179">
        <v>0</v>
      </c>
      <c r="T73" s="80">
        <f t="shared" si="30"/>
        <v>0</v>
      </c>
      <c r="U73" s="179">
        <v>0</v>
      </c>
      <c r="V73" s="80">
        <f t="shared" si="31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2"/>
        <v>0</v>
      </c>
      <c r="E74" s="179">
        <v>0</v>
      </c>
      <c r="F74" s="80">
        <f t="shared" si="23"/>
        <v>0</v>
      </c>
      <c r="G74" s="179">
        <v>0</v>
      </c>
      <c r="H74" s="80">
        <f t="shared" si="24"/>
        <v>0</v>
      </c>
      <c r="I74" s="179">
        <v>0</v>
      </c>
      <c r="J74" s="80">
        <f t="shared" si="25"/>
        <v>0</v>
      </c>
      <c r="K74" s="179">
        <v>0</v>
      </c>
      <c r="L74" s="80">
        <f t="shared" si="26"/>
        <v>0</v>
      </c>
      <c r="M74" s="179">
        <v>0</v>
      </c>
      <c r="N74" s="80">
        <f t="shared" si="27"/>
        <v>0</v>
      </c>
      <c r="O74" s="179">
        <v>0</v>
      </c>
      <c r="P74" s="80">
        <f t="shared" si="28"/>
        <v>0</v>
      </c>
      <c r="Q74" s="179">
        <v>0</v>
      </c>
      <c r="R74" s="80">
        <f t="shared" si="29"/>
        <v>0</v>
      </c>
      <c r="S74" s="179">
        <v>0</v>
      </c>
      <c r="T74" s="80">
        <f t="shared" si="30"/>
        <v>0</v>
      </c>
      <c r="U74" s="179">
        <v>0</v>
      </c>
      <c r="V74" s="80">
        <f t="shared" si="31"/>
        <v>0</v>
      </c>
      <c r="X74" s="200"/>
    </row>
    <row r="75" spans="1:24" ht="12.75" customHeight="1">
      <c r="A75" s="2" t="s">
        <v>406</v>
      </c>
      <c r="B75" s="35"/>
      <c r="C75" s="179">
        <v>1939.1399999999999</v>
      </c>
      <c r="D75" s="80">
        <f t="shared" si="22"/>
        <v>5.0000000000000001E-3</v>
      </c>
      <c r="E75" s="179">
        <v>2120</v>
      </c>
      <c r="F75" s="80">
        <f t="shared" si="23"/>
        <v>5.0000000000000001E-3</v>
      </c>
      <c r="G75" s="179">
        <v>2162.4</v>
      </c>
      <c r="H75" s="80">
        <f t="shared" si="24"/>
        <v>5.0000000000000001E-3</v>
      </c>
      <c r="I75" s="179">
        <v>2205.6480000000001</v>
      </c>
      <c r="J75" s="80">
        <f t="shared" si="25"/>
        <v>5.0000000000000001E-3</v>
      </c>
      <c r="K75" s="179">
        <v>2249.760960000001</v>
      </c>
      <c r="L75" s="80">
        <f t="shared" si="26"/>
        <v>5.000000000000001E-3</v>
      </c>
      <c r="M75" s="179">
        <v>2294.7561791999997</v>
      </c>
      <c r="N75" s="80">
        <f t="shared" si="27"/>
        <v>4.9999999999999992E-3</v>
      </c>
      <c r="O75" s="179">
        <v>2340.6513027840006</v>
      </c>
      <c r="P75" s="80">
        <f t="shared" si="28"/>
        <v>5.000000000000001E-3</v>
      </c>
      <c r="Q75" s="179">
        <v>2387.4643288396805</v>
      </c>
      <c r="R75" s="80">
        <f t="shared" si="29"/>
        <v>5.000000000000001E-3</v>
      </c>
      <c r="S75" s="179">
        <v>2435.2136154164741</v>
      </c>
      <c r="T75" s="80">
        <f t="shared" si="30"/>
        <v>5.000000000000001E-3</v>
      </c>
      <c r="U75" s="179">
        <v>2483.9178877248028</v>
      </c>
      <c r="V75" s="80">
        <f t="shared" si="31"/>
        <v>4.9999999999999992E-3</v>
      </c>
      <c r="X75" s="200"/>
    </row>
    <row r="76" spans="1:24" ht="12.75" customHeight="1">
      <c r="A76" s="2" t="s">
        <v>407</v>
      </c>
      <c r="B76" s="35"/>
      <c r="C76" s="179">
        <v>155.13120000000001</v>
      </c>
      <c r="D76" s="80">
        <f t="shared" si="22"/>
        <v>4.0000000000000002E-4</v>
      </c>
      <c r="E76" s="179">
        <v>169.6</v>
      </c>
      <c r="F76" s="80">
        <f t="shared" si="23"/>
        <v>3.9999999999999996E-4</v>
      </c>
      <c r="G76" s="179">
        <v>172.99200000000002</v>
      </c>
      <c r="H76" s="80">
        <f t="shared" si="24"/>
        <v>4.0000000000000002E-4</v>
      </c>
      <c r="I76" s="179">
        <v>176.45184</v>
      </c>
      <c r="J76" s="80">
        <f t="shared" si="25"/>
        <v>3.9999999999999996E-4</v>
      </c>
      <c r="K76" s="179">
        <v>179.98087680000006</v>
      </c>
      <c r="L76" s="80">
        <f t="shared" si="26"/>
        <v>4.0000000000000007E-4</v>
      </c>
      <c r="M76" s="179">
        <v>183.58049433600002</v>
      </c>
      <c r="N76" s="80">
        <f t="shared" si="27"/>
        <v>4.0000000000000007E-4</v>
      </c>
      <c r="O76" s="179">
        <v>187.25210422272005</v>
      </c>
      <c r="P76" s="80">
        <f t="shared" si="28"/>
        <v>4.0000000000000007E-4</v>
      </c>
      <c r="Q76" s="179">
        <v>190.99714630717443</v>
      </c>
      <c r="R76" s="80">
        <f t="shared" si="29"/>
        <v>4.0000000000000002E-4</v>
      </c>
      <c r="S76" s="179">
        <v>194.81708923331794</v>
      </c>
      <c r="T76" s="80">
        <f t="shared" si="30"/>
        <v>4.0000000000000007E-4</v>
      </c>
      <c r="U76" s="179">
        <v>198.71343101798428</v>
      </c>
      <c r="V76" s="80">
        <f t="shared" si="31"/>
        <v>4.0000000000000007E-4</v>
      </c>
      <c r="X76" s="200"/>
    </row>
    <row r="77" spans="1:24" ht="12.75" customHeight="1">
      <c r="A77" s="2" t="s">
        <v>408</v>
      </c>
      <c r="B77" s="35"/>
      <c r="C77" s="179">
        <v>504.17639999999994</v>
      </c>
      <c r="D77" s="80">
        <f t="shared" si="22"/>
        <v>1.2999999999999999E-3</v>
      </c>
      <c r="E77" s="179">
        <v>551.19999999999993</v>
      </c>
      <c r="F77" s="80">
        <f t="shared" si="23"/>
        <v>1.2999999999999999E-3</v>
      </c>
      <c r="G77" s="179">
        <v>562.22399999999993</v>
      </c>
      <c r="H77" s="80">
        <f t="shared" si="24"/>
        <v>1.2999999999999999E-3</v>
      </c>
      <c r="I77" s="179">
        <v>573.46848</v>
      </c>
      <c r="J77" s="80">
        <f t="shared" si="25"/>
        <v>1.2999999999999999E-3</v>
      </c>
      <c r="K77" s="179">
        <v>584.93784960000016</v>
      </c>
      <c r="L77" s="80">
        <f t="shared" si="26"/>
        <v>1.3000000000000002E-3</v>
      </c>
      <c r="M77" s="179">
        <v>596.63660659199991</v>
      </c>
      <c r="N77" s="80">
        <f t="shared" si="27"/>
        <v>1.2999999999999999E-3</v>
      </c>
      <c r="O77" s="179">
        <v>608.56933872384013</v>
      </c>
      <c r="P77" s="80">
        <f t="shared" si="28"/>
        <v>1.3000000000000002E-3</v>
      </c>
      <c r="Q77" s="179">
        <v>620.74072549831692</v>
      </c>
      <c r="R77" s="80">
        <f t="shared" si="29"/>
        <v>1.3000000000000002E-3</v>
      </c>
      <c r="S77" s="179">
        <v>633.1555400082832</v>
      </c>
      <c r="T77" s="80">
        <f t="shared" si="30"/>
        <v>1.2999999999999999E-3</v>
      </c>
      <c r="U77" s="179">
        <v>645.81865080844875</v>
      </c>
      <c r="V77" s="80">
        <f t="shared" si="31"/>
        <v>1.2999999999999999E-3</v>
      </c>
      <c r="X77" s="200"/>
    </row>
    <row r="78" spans="1:24" ht="12.75" customHeight="1">
      <c r="A78" s="2" t="s">
        <v>409</v>
      </c>
      <c r="B78" s="35"/>
      <c r="C78" s="179">
        <v>8532.2159999999985</v>
      </c>
      <c r="D78" s="80">
        <f t="shared" si="22"/>
        <v>2.1999999999999995E-2</v>
      </c>
      <c r="E78" s="179">
        <v>9328</v>
      </c>
      <c r="F78" s="80">
        <f t="shared" si="23"/>
        <v>2.1999999999999999E-2</v>
      </c>
      <c r="G78" s="179">
        <v>9514.56</v>
      </c>
      <c r="H78" s="80">
        <f t="shared" si="24"/>
        <v>2.1999999999999999E-2</v>
      </c>
      <c r="I78" s="179">
        <v>9704.8511999999992</v>
      </c>
      <c r="J78" s="80">
        <f t="shared" si="25"/>
        <v>2.1999999999999995E-2</v>
      </c>
      <c r="K78" s="179">
        <v>9898.9482240000034</v>
      </c>
      <c r="L78" s="80">
        <f t="shared" si="26"/>
        <v>2.2000000000000002E-2</v>
      </c>
      <c r="M78" s="179">
        <v>10096.92718848</v>
      </c>
      <c r="N78" s="80">
        <f t="shared" si="27"/>
        <v>2.2000000000000002E-2</v>
      </c>
      <c r="O78" s="179">
        <v>10298.865732249602</v>
      </c>
      <c r="P78" s="80">
        <f t="shared" si="28"/>
        <v>2.2000000000000002E-2</v>
      </c>
      <c r="Q78" s="179">
        <v>10504.843046894592</v>
      </c>
      <c r="R78" s="80">
        <f t="shared" si="29"/>
        <v>2.1999999999999999E-2</v>
      </c>
      <c r="S78" s="179">
        <v>10714.939907832484</v>
      </c>
      <c r="T78" s="80">
        <f t="shared" si="30"/>
        <v>2.1999999999999999E-2</v>
      </c>
      <c r="U78" s="179">
        <v>10929.238705989133</v>
      </c>
      <c r="V78" s="80">
        <f t="shared" si="31"/>
        <v>2.2000000000000002E-2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2"/>
        <v>0</v>
      </c>
      <c r="E79" s="179">
        <v>0</v>
      </c>
      <c r="F79" s="80">
        <f t="shared" si="23"/>
        <v>0</v>
      </c>
      <c r="G79" s="179">
        <v>0</v>
      </c>
      <c r="H79" s="80">
        <f t="shared" si="24"/>
        <v>0</v>
      </c>
      <c r="I79" s="179">
        <v>0</v>
      </c>
      <c r="J79" s="80">
        <f t="shared" si="25"/>
        <v>0</v>
      </c>
      <c r="K79" s="179">
        <v>0</v>
      </c>
      <c r="L79" s="80">
        <f t="shared" si="26"/>
        <v>0</v>
      </c>
      <c r="M79" s="179">
        <v>0</v>
      </c>
      <c r="N79" s="80">
        <f t="shared" si="27"/>
        <v>0</v>
      </c>
      <c r="O79" s="179">
        <v>0</v>
      </c>
      <c r="P79" s="80">
        <f t="shared" si="28"/>
        <v>0</v>
      </c>
      <c r="Q79" s="179">
        <v>0</v>
      </c>
      <c r="R79" s="80">
        <f t="shared" si="29"/>
        <v>0</v>
      </c>
      <c r="S79" s="179">
        <v>0</v>
      </c>
      <c r="T79" s="80">
        <f t="shared" si="30"/>
        <v>0</v>
      </c>
      <c r="U79" s="179">
        <v>0</v>
      </c>
      <c r="V79" s="80">
        <f t="shared" si="31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2"/>
        <v>0</v>
      </c>
      <c r="E80" s="179">
        <v>0</v>
      </c>
      <c r="F80" s="80">
        <f t="shared" si="23"/>
        <v>0</v>
      </c>
      <c r="G80" s="179">
        <v>0</v>
      </c>
      <c r="H80" s="80">
        <f t="shared" si="24"/>
        <v>0</v>
      </c>
      <c r="I80" s="179">
        <v>0</v>
      </c>
      <c r="J80" s="80">
        <f t="shared" si="25"/>
        <v>0</v>
      </c>
      <c r="K80" s="179">
        <v>0</v>
      </c>
      <c r="L80" s="80">
        <f t="shared" si="26"/>
        <v>0</v>
      </c>
      <c r="M80" s="179">
        <v>0</v>
      </c>
      <c r="N80" s="80">
        <f t="shared" si="27"/>
        <v>0</v>
      </c>
      <c r="O80" s="179">
        <v>0</v>
      </c>
      <c r="P80" s="80">
        <f t="shared" si="28"/>
        <v>0</v>
      </c>
      <c r="Q80" s="179">
        <v>0</v>
      </c>
      <c r="R80" s="80">
        <f t="shared" si="29"/>
        <v>0</v>
      </c>
      <c r="S80" s="179">
        <v>0</v>
      </c>
      <c r="T80" s="80">
        <f t="shared" si="30"/>
        <v>0</v>
      </c>
      <c r="U80" s="179">
        <v>0</v>
      </c>
      <c r="V80" s="80">
        <f t="shared" si="31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2"/>
        <v>0</v>
      </c>
      <c r="E81" s="179">
        <v>0</v>
      </c>
      <c r="F81" s="80">
        <f t="shared" si="23"/>
        <v>0</v>
      </c>
      <c r="G81" s="179">
        <v>0</v>
      </c>
      <c r="H81" s="80">
        <f t="shared" si="24"/>
        <v>0</v>
      </c>
      <c r="I81" s="179">
        <v>0</v>
      </c>
      <c r="J81" s="80">
        <f t="shared" si="25"/>
        <v>0</v>
      </c>
      <c r="K81" s="179">
        <v>0</v>
      </c>
      <c r="L81" s="80">
        <f t="shared" si="26"/>
        <v>0</v>
      </c>
      <c r="M81" s="179">
        <v>0</v>
      </c>
      <c r="N81" s="80">
        <f t="shared" si="27"/>
        <v>0</v>
      </c>
      <c r="O81" s="179">
        <v>0</v>
      </c>
      <c r="P81" s="80">
        <f t="shared" si="28"/>
        <v>0</v>
      </c>
      <c r="Q81" s="179">
        <v>0</v>
      </c>
      <c r="R81" s="80">
        <f t="shared" si="29"/>
        <v>0</v>
      </c>
      <c r="S81" s="179">
        <v>0</v>
      </c>
      <c r="T81" s="80">
        <f t="shared" si="30"/>
        <v>0</v>
      </c>
      <c r="U81" s="179">
        <v>0</v>
      </c>
      <c r="V81" s="80">
        <f t="shared" si="31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2"/>
        <v>0</v>
      </c>
      <c r="E82" s="179">
        <v>0</v>
      </c>
      <c r="F82" s="80">
        <f t="shared" si="23"/>
        <v>0</v>
      </c>
      <c r="G82" s="179">
        <v>0</v>
      </c>
      <c r="H82" s="80">
        <f t="shared" si="24"/>
        <v>0</v>
      </c>
      <c r="I82" s="179">
        <v>0</v>
      </c>
      <c r="J82" s="80">
        <f t="shared" si="25"/>
        <v>0</v>
      </c>
      <c r="K82" s="179">
        <v>0</v>
      </c>
      <c r="L82" s="80">
        <f t="shared" si="26"/>
        <v>0</v>
      </c>
      <c r="M82" s="179">
        <v>0</v>
      </c>
      <c r="N82" s="80">
        <f t="shared" si="27"/>
        <v>0</v>
      </c>
      <c r="O82" s="179">
        <v>0</v>
      </c>
      <c r="P82" s="80">
        <f t="shared" si="28"/>
        <v>0</v>
      </c>
      <c r="Q82" s="179">
        <v>0</v>
      </c>
      <c r="R82" s="80">
        <f t="shared" si="29"/>
        <v>0</v>
      </c>
      <c r="S82" s="179">
        <v>0</v>
      </c>
      <c r="T82" s="80">
        <f t="shared" si="30"/>
        <v>0</v>
      </c>
      <c r="U82" s="179">
        <v>0</v>
      </c>
      <c r="V82" s="80">
        <f t="shared" si="31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2"/>
        <v>0</v>
      </c>
      <c r="E83" s="179">
        <v>0</v>
      </c>
      <c r="F83" s="80">
        <f t="shared" si="23"/>
        <v>0</v>
      </c>
      <c r="G83" s="179">
        <v>0</v>
      </c>
      <c r="H83" s="80">
        <f t="shared" si="24"/>
        <v>0</v>
      </c>
      <c r="I83" s="179">
        <v>0</v>
      </c>
      <c r="J83" s="80">
        <f t="shared" si="25"/>
        <v>0</v>
      </c>
      <c r="K83" s="179">
        <v>0</v>
      </c>
      <c r="L83" s="80">
        <f t="shared" si="26"/>
        <v>0</v>
      </c>
      <c r="M83" s="179">
        <v>0</v>
      </c>
      <c r="N83" s="80">
        <f t="shared" si="27"/>
        <v>0</v>
      </c>
      <c r="O83" s="179">
        <v>0</v>
      </c>
      <c r="P83" s="80">
        <f t="shared" si="28"/>
        <v>0</v>
      </c>
      <c r="Q83" s="179">
        <v>0</v>
      </c>
      <c r="R83" s="80">
        <f t="shared" si="29"/>
        <v>0</v>
      </c>
      <c r="S83" s="179">
        <v>0</v>
      </c>
      <c r="T83" s="80">
        <f t="shared" si="30"/>
        <v>0</v>
      </c>
      <c r="U83" s="179">
        <v>0</v>
      </c>
      <c r="V83" s="80">
        <f t="shared" si="31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2"/>
        <v>0</v>
      </c>
      <c r="E84" s="179">
        <v>0</v>
      </c>
      <c r="F84" s="80">
        <f t="shared" si="23"/>
        <v>0</v>
      </c>
      <c r="G84" s="179">
        <v>0</v>
      </c>
      <c r="H84" s="80">
        <f t="shared" si="24"/>
        <v>0</v>
      </c>
      <c r="I84" s="179">
        <v>0</v>
      </c>
      <c r="J84" s="80">
        <f t="shared" si="25"/>
        <v>0</v>
      </c>
      <c r="K84" s="179">
        <v>0</v>
      </c>
      <c r="L84" s="80">
        <f t="shared" si="26"/>
        <v>0</v>
      </c>
      <c r="M84" s="179">
        <v>0</v>
      </c>
      <c r="N84" s="80">
        <f t="shared" si="27"/>
        <v>0</v>
      </c>
      <c r="O84" s="179">
        <v>0</v>
      </c>
      <c r="P84" s="80">
        <f t="shared" si="28"/>
        <v>0</v>
      </c>
      <c r="Q84" s="179">
        <v>0</v>
      </c>
      <c r="R84" s="80">
        <f t="shared" si="29"/>
        <v>0</v>
      </c>
      <c r="S84" s="179">
        <v>0</v>
      </c>
      <c r="T84" s="80">
        <f t="shared" si="30"/>
        <v>0</v>
      </c>
      <c r="U84" s="179">
        <v>0</v>
      </c>
      <c r="V84" s="80">
        <f t="shared" si="31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2"/>
        <v>0</v>
      </c>
      <c r="E85" s="179">
        <v>0</v>
      </c>
      <c r="F85" s="80">
        <f t="shared" si="23"/>
        <v>0</v>
      </c>
      <c r="G85" s="179">
        <v>0</v>
      </c>
      <c r="H85" s="80">
        <f t="shared" si="24"/>
        <v>0</v>
      </c>
      <c r="I85" s="179">
        <v>0</v>
      </c>
      <c r="J85" s="80">
        <f t="shared" si="25"/>
        <v>0</v>
      </c>
      <c r="K85" s="179">
        <v>0</v>
      </c>
      <c r="L85" s="80">
        <f t="shared" si="26"/>
        <v>0</v>
      </c>
      <c r="M85" s="179">
        <v>0</v>
      </c>
      <c r="N85" s="80">
        <f t="shared" si="27"/>
        <v>0</v>
      </c>
      <c r="O85" s="179">
        <v>0</v>
      </c>
      <c r="P85" s="80">
        <f t="shared" si="28"/>
        <v>0</v>
      </c>
      <c r="Q85" s="179">
        <v>0</v>
      </c>
      <c r="R85" s="80">
        <f t="shared" si="29"/>
        <v>0</v>
      </c>
      <c r="S85" s="179">
        <v>0</v>
      </c>
      <c r="T85" s="80">
        <f t="shared" si="30"/>
        <v>0</v>
      </c>
      <c r="U85" s="179">
        <v>0</v>
      </c>
      <c r="V85" s="80">
        <f t="shared" si="31"/>
        <v>0</v>
      </c>
      <c r="X85" s="200"/>
    </row>
    <row r="86" spans="1:24" ht="12.75" customHeight="1">
      <c r="A86" s="2" t="s">
        <v>417</v>
      </c>
      <c r="B86" s="35"/>
      <c r="C86" s="179">
        <v>1551.3119999999999</v>
      </c>
      <c r="D86" s="80">
        <f t="shared" si="22"/>
        <v>4.0000000000000001E-3</v>
      </c>
      <c r="E86" s="179">
        <v>1696</v>
      </c>
      <c r="F86" s="80">
        <f t="shared" si="23"/>
        <v>4.0000000000000001E-3</v>
      </c>
      <c r="G86" s="179">
        <v>1729.9200000000003</v>
      </c>
      <c r="H86" s="80">
        <f t="shared" si="24"/>
        <v>4.000000000000001E-3</v>
      </c>
      <c r="I86" s="179">
        <v>1764.5184000000002</v>
      </c>
      <c r="J86" s="80">
        <f t="shared" si="25"/>
        <v>4.0000000000000001E-3</v>
      </c>
      <c r="K86" s="179">
        <v>1799.8087680000006</v>
      </c>
      <c r="L86" s="80">
        <f t="shared" si="26"/>
        <v>4.0000000000000001E-3</v>
      </c>
      <c r="M86" s="179">
        <v>1835.8049433599999</v>
      </c>
      <c r="N86" s="80">
        <f t="shared" si="27"/>
        <v>4.0000000000000001E-3</v>
      </c>
      <c r="O86" s="179">
        <v>1872.5210422272003</v>
      </c>
      <c r="P86" s="80">
        <f t="shared" si="28"/>
        <v>4.0000000000000001E-3</v>
      </c>
      <c r="Q86" s="179">
        <v>1909.9714630717444</v>
      </c>
      <c r="R86" s="80">
        <f t="shared" si="29"/>
        <v>4.000000000000001E-3</v>
      </c>
      <c r="S86" s="179">
        <v>1948.1708923331792</v>
      </c>
      <c r="T86" s="80">
        <f t="shared" si="30"/>
        <v>4.0000000000000001E-3</v>
      </c>
      <c r="U86" s="179">
        <v>1987.1343101798425</v>
      </c>
      <c r="V86" s="80">
        <f t="shared" si="31"/>
        <v>4.0000000000000001E-3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2"/>
        <v>0</v>
      </c>
      <c r="E87" s="179">
        <v>0</v>
      </c>
      <c r="F87" s="80">
        <f t="shared" si="23"/>
        <v>0</v>
      </c>
      <c r="G87" s="179">
        <v>0</v>
      </c>
      <c r="H87" s="80">
        <f t="shared" si="24"/>
        <v>0</v>
      </c>
      <c r="I87" s="179">
        <v>0</v>
      </c>
      <c r="J87" s="80">
        <f t="shared" si="25"/>
        <v>0</v>
      </c>
      <c r="K87" s="179">
        <v>0</v>
      </c>
      <c r="L87" s="80">
        <f t="shared" si="26"/>
        <v>0</v>
      </c>
      <c r="M87" s="179">
        <v>0</v>
      </c>
      <c r="N87" s="80">
        <f t="shared" si="27"/>
        <v>0</v>
      </c>
      <c r="O87" s="179">
        <v>0</v>
      </c>
      <c r="P87" s="80">
        <f t="shared" si="28"/>
        <v>0</v>
      </c>
      <c r="Q87" s="179">
        <v>0</v>
      </c>
      <c r="R87" s="80">
        <f t="shared" si="29"/>
        <v>0</v>
      </c>
      <c r="S87" s="179">
        <v>0</v>
      </c>
      <c r="T87" s="80">
        <f t="shared" si="30"/>
        <v>0</v>
      </c>
      <c r="U87" s="179">
        <v>0</v>
      </c>
      <c r="V87" s="80">
        <f t="shared" si="31"/>
        <v>0</v>
      </c>
      <c r="X87" s="200"/>
    </row>
    <row r="88" spans="1:24" ht="12.75" customHeight="1">
      <c r="A88" s="2" t="s">
        <v>419</v>
      </c>
      <c r="B88" s="35"/>
      <c r="C88" s="179">
        <v>1977.9228000000001</v>
      </c>
      <c r="D88" s="80">
        <f t="shared" si="22"/>
        <v>5.1000000000000004E-3</v>
      </c>
      <c r="E88" s="179">
        <v>2162.4</v>
      </c>
      <c r="F88" s="80">
        <f t="shared" si="23"/>
        <v>5.1000000000000004E-3</v>
      </c>
      <c r="G88" s="179">
        <v>2205.6480000000006</v>
      </c>
      <c r="H88" s="80">
        <f t="shared" si="24"/>
        <v>5.1000000000000012E-3</v>
      </c>
      <c r="I88" s="179">
        <v>2249.7609600000005</v>
      </c>
      <c r="J88" s="80">
        <f t="shared" si="25"/>
        <v>5.1000000000000004E-3</v>
      </c>
      <c r="K88" s="179">
        <v>2294.756179200001</v>
      </c>
      <c r="L88" s="80">
        <f t="shared" si="26"/>
        <v>5.1000000000000012E-3</v>
      </c>
      <c r="M88" s="179">
        <v>2340.6513027840001</v>
      </c>
      <c r="N88" s="80">
        <f t="shared" si="27"/>
        <v>5.1000000000000004E-3</v>
      </c>
      <c r="O88" s="179">
        <v>2387.464328839681</v>
      </c>
      <c r="P88" s="80">
        <f t="shared" si="28"/>
        <v>5.1000000000000012E-3</v>
      </c>
      <c r="Q88" s="179">
        <v>2435.2136154164741</v>
      </c>
      <c r="R88" s="80">
        <f t="shared" si="29"/>
        <v>5.1000000000000004E-3</v>
      </c>
      <c r="S88" s="179">
        <v>2483.9178877248037</v>
      </c>
      <c r="T88" s="80">
        <f t="shared" si="30"/>
        <v>5.1000000000000012E-3</v>
      </c>
      <c r="U88" s="179">
        <v>2533.5962454792993</v>
      </c>
      <c r="V88" s="80">
        <f t="shared" si="31"/>
        <v>5.1000000000000004E-3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2"/>
        <v>0</v>
      </c>
      <c r="E89" s="179">
        <v>0</v>
      </c>
      <c r="F89" s="80">
        <f t="shared" si="23"/>
        <v>0</v>
      </c>
      <c r="G89" s="179">
        <v>0</v>
      </c>
      <c r="H89" s="80">
        <f t="shared" si="24"/>
        <v>0</v>
      </c>
      <c r="I89" s="179">
        <v>0</v>
      </c>
      <c r="J89" s="80">
        <f t="shared" si="25"/>
        <v>0</v>
      </c>
      <c r="K89" s="179">
        <v>0</v>
      </c>
      <c r="L89" s="80">
        <f t="shared" si="26"/>
        <v>0</v>
      </c>
      <c r="M89" s="179">
        <v>0</v>
      </c>
      <c r="N89" s="80">
        <f t="shared" si="27"/>
        <v>0</v>
      </c>
      <c r="O89" s="179">
        <v>0</v>
      </c>
      <c r="P89" s="80">
        <f t="shared" si="28"/>
        <v>0</v>
      </c>
      <c r="Q89" s="179">
        <v>0</v>
      </c>
      <c r="R89" s="80">
        <f t="shared" si="29"/>
        <v>0</v>
      </c>
      <c r="S89" s="179">
        <v>0</v>
      </c>
      <c r="T89" s="80">
        <f t="shared" si="30"/>
        <v>0</v>
      </c>
      <c r="U89" s="179">
        <v>0</v>
      </c>
      <c r="V89" s="80">
        <f t="shared" si="31"/>
        <v>0</v>
      </c>
      <c r="X89" s="200"/>
    </row>
    <row r="90" spans="1:24" ht="12.75" customHeight="1">
      <c r="A90" s="2" t="s">
        <v>421</v>
      </c>
      <c r="B90" s="35"/>
      <c r="C90" s="179">
        <v>77.565600000000003</v>
      </c>
      <c r="D90" s="80">
        <f t="shared" si="22"/>
        <v>2.0000000000000001E-4</v>
      </c>
      <c r="E90" s="179">
        <v>84.8</v>
      </c>
      <c r="F90" s="80">
        <f t="shared" si="23"/>
        <v>1.9999999999999998E-4</v>
      </c>
      <c r="G90" s="179">
        <v>86.496000000000009</v>
      </c>
      <c r="H90" s="80">
        <f t="shared" si="24"/>
        <v>2.0000000000000001E-4</v>
      </c>
      <c r="I90" s="179">
        <v>88.225920000000002</v>
      </c>
      <c r="J90" s="80">
        <f t="shared" si="25"/>
        <v>1.9999999999999998E-4</v>
      </c>
      <c r="K90" s="179">
        <v>89.990438400000031</v>
      </c>
      <c r="L90" s="80">
        <f t="shared" si="26"/>
        <v>2.0000000000000004E-4</v>
      </c>
      <c r="M90" s="179">
        <v>91.790247168000008</v>
      </c>
      <c r="N90" s="80">
        <f t="shared" si="27"/>
        <v>2.0000000000000004E-4</v>
      </c>
      <c r="O90" s="179">
        <v>93.626052111360025</v>
      </c>
      <c r="P90" s="80">
        <f t="shared" si="28"/>
        <v>2.0000000000000004E-4</v>
      </c>
      <c r="Q90" s="179">
        <v>95.498573153587216</v>
      </c>
      <c r="R90" s="80">
        <f t="shared" si="29"/>
        <v>2.0000000000000001E-4</v>
      </c>
      <c r="S90" s="179">
        <v>97.408544616658972</v>
      </c>
      <c r="T90" s="80">
        <f t="shared" si="30"/>
        <v>2.0000000000000004E-4</v>
      </c>
      <c r="U90" s="179">
        <v>99.356715508992139</v>
      </c>
      <c r="V90" s="80">
        <f t="shared" si="31"/>
        <v>2.0000000000000004E-4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22"/>
        <v>0</v>
      </c>
      <c r="E91" s="179">
        <v>0</v>
      </c>
      <c r="F91" s="80">
        <f t="shared" si="23"/>
        <v>0</v>
      </c>
      <c r="G91" s="179">
        <v>0</v>
      </c>
      <c r="H91" s="80">
        <f t="shared" si="24"/>
        <v>0</v>
      </c>
      <c r="I91" s="179">
        <v>0</v>
      </c>
      <c r="J91" s="80">
        <f t="shared" si="25"/>
        <v>0</v>
      </c>
      <c r="K91" s="179">
        <v>0</v>
      </c>
      <c r="L91" s="80">
        <f t="shared" si="26"/>
        <v>0</v>
      </c>
      <c r="M91" s="179">
        <v>0</v>
      </c>
      <c r="N91" s="80">
        <f t="shared" si="27"/>
        <v>0</v>
      </c>
      <c r="O91" s="179">
        <v>0</v>
      </c>
      <c r="P91" s="80">
        <f t="shared" si="28"/>
        <v>0</v>
      </c>
      <c r="Q91" s="179">
        <v>0</v>
      </c>
      <c r="R91" s="80">
        <f t="shared" si="29"/>
        <v>0</v>
      </c>
      <c r="S91" s="179">
        <v>0</v>
      </c>
      <c r="T91" s="80">
        <f t="shared" si="30"/>
        <v>0</v>
      </c>
      <c r="U91" s="179">
        <v>0</v>
      </c>
      <c r="V91" s="80">
        <f t="shared" si="31"/>
        <v>0</v>
      </c>
      <c r="X91" s="200"/>
    </row>
    <row r="92" spans="1:24" ht="12.75" customHeight="1">
      <c r="A92" s="2" t="s">
        <v>423</v>
      </c>
      <c r="B92" s="35"/>
      <c r="C92" s="179">
        <v>2016.7055999999998</v>
      </c>
      <c r="D92" s="80">
        <f t="shared" si="22"/>
        <v>5.1999999999999998E-3</v>
      </c>
      <c r="E92" s="179">
        <v>2204.7999999999997</v>
      </c>
      <c r="F92" s="80">
        <f t="shared" si="23"/>
        <v>5.1999999999999998E-3</v>
      </c>
      <c r="G92" s="179">
        <v>2248.8959999999997</v>
      </c>
      <c r="H92" s="80">
        <f t="shared" si="24"/>
        <v>5.1999999999999998E-3</v>
      </c>
      <c r="I92" s="179">
        <v>2293.87392</v>
      </c>
      <c r="J92" s="80">
        <f t="shared" si="25"/>
        <v>5.1999999999999998E-3</v>
      </c>
      <c r="K92" s="179">
        <v>2339.7513984000007</v>
      </c>
      <c r="L92" s="80">
        <f t="shared" si="26"/>
        <v>5.2000000000000006E-3</v>
      </c>
      <c r="M92" s="179">
        <v>2386.5464263679996</v>
      </c>
      <c r="N92" s="80">
        <f t="shared" si="27"/>
        <v>5.1999999999999998E-3</v>
      </c>
      <c r="O92" s="179">
        <v>2434.2773548953605</v>
      </c>
      <c r="P92" s="80">
        <f t="shared" si="28"/>
        <v>5.2000000000000006E-3</v>
      </c>
      <c r="Q92" s="179">
        <v>2482.9629019932677</v>
      </c>
      <c r="R92" s="80">
        <f t="shared" si="29"/>
        <v>5.2000000000000006E-3</v>
      </c>
      <c r="S92" s="179">
        <v>2532.6221600331328</v>
      </c>
      <c r="T92" s="80">
        <f t="shared" si="30"/>
        <v>5.1999999999999998E-3</v>
      </c>
      <c r="U92" s="179">
        <v>2583.274603233795</v>
      </c>
      <c r="V92" s="80">
        <f t="shared" si="31"/>
        <v>5.1999999999999998E-3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2"/>
        <v>0</v>
      </c>
      <c r="E93" s="179">
        <v>0</v>
      </c>
      <c r="F93" s="80">
        <f t="shared" si="23"/>
        <v>0</v>
      </c>
      <c r="G93" s="179">
        <v>0</v>
      </c>
      <c r="H93" s="80">
        <f t="shared" si="24"/>
        <v>0</v>
      </c>
      <c r="I93" s="179">
        <v>0</v>
      </c>
      <c r="J93" s="80">
        <f t="shared" si="25"/>
        <v>0</v>
      </c>
      <c r="K93" s="179">
        <v>0</v>
      </c>
      <c r="L93" s="80">
        <f t="shared" si="26"/>
        <v>0</v>
      </c>
      <c r="M93" s="179">
        <v>0</v>
      </c>
      <c r="N93" s="80">
        <f t="shared" si="27"/>
        <v>0</v>
      </c>
      <c r="O93" s="179">
        <v>0</v>
      </c>
      <c r="P93" s="80">
        <f t="shared" si="28"/>
        <v>0</v>
      </c>
      <c r="Q93" s="179">
        <v>0</v>
      </c>
      <c r="R93" s="80">
        <f t="shared" si="29"/>
        <v>0</v>
      </c>
      <c r="S93" s="179">
        <v>0</v>
      </c>
      <c r="T93" s="80">
        <f t="shared" si="30"/>
        <v>0</v>
      </c>
      <c r="U93" s="179">
        <v>0</v>
      </c>
      <c r="V93" s="80">
        <f t="shared" si="31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2"/>
        <v>0</v>
      </c>
      <c r="E94" s="179">
        <v>0</v>
      </c>
      <c r="F94" s="80">
        <f t="shared" si="23"/>
        <v>0</v>
      </c>
      <c r="G94" s="179">
        <v>0</v>
      </c>
      <c r="H94" s="80">
        <f t="shared" si="24"/>
        <v>0</v>
      </c>
      <c r="I94" s="179">
        <v>0</v>
      </c>
      <c r="J94" s="80">
        <f t="shared" si="25"/>
        <v>0</v>
      </c>
      <c r="K94" s="179">
        <v>0</v>
      </c>
      <c r="L94" s="80">
        <f t="shared" si="26"/>
        <v>0</v>
      </c>
      <c r="M94" s="179">
        <v>0</v>
      </c>
      <c r="N94" s="80">
        <f t="shared" si="27"/>
        <v>0</v>
      </c>
      <c r="O94" s="179">
        <v>0</v>
      </c>
      <c r="P94" s="80">
        <f t="shared" si="28"/>
        <v>0</v>
      </c>
      <c r="Q94" s="179">
        <v>0</v>
      </c>
      <c r="R94" s="80">
        <f t="shared" si="29"/>
        <v>0</v>
      </c>
      <c r="S94" s="179">
        <v>0</v>
      </c>
      <c r="T94" s="80">
        <f t="shared" si="30"/>
        <v>0</v>
      </c>
      <c r="U94" s="179">
        <v>0</v>
      </c>
      <c r="V94" s="80">
        <f t="shared" si="31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2"/>
        <v>0</v>
      </c>
      <c r="E95" s="179">
        <v>0</v>
      </c>
      <c r="F95" s="80">
        <f t="shared" si="23"/>
        <v>0</v>
      </c>
      <c r="G95" s="179">
        <v>0</v>
      </c>
      <c r="H95" s="80">
        <f t="shared" si="24"/>
        <v>0</v>
      </c>
      <c r="I95" s="179">
        <v>0</v>
      </c>
      <c r="J95" s="80">
        <f t="shared" si="25"/>
        <v>0</v>
      </c>
      <c r="K95" s="179">
        <v>0</v>
      </c>
      <c r="L95" s="80">
        <f t="shared" si="26"/>
        <v>0</v>
      </c>
      <c r="M95" s="179">
        <v>0</v>
      </c>
      <c r="N95" s="80">
        <f t="shared" si="27"/>
        <v>0</v>
      </c>
      <c r="O95" s="179">
        <v>0</v>
      </c>
      <c r="P95" s="80">
        <f t="shared" si="28"/>
        <v>0</v>
      </c>
      <c r="Q95" s="179">
        <v>0</v>
      </c>
      <c r="R95" s="80">
        <f t="shared" si="29"/>
        <v>0</v>
      </c>
      <c r="S95" s="179">
        <v>0</v>
      </c>
      <c r="T95" s="80">
        <f t="shared" si="30"/>
        <v>0</v>
      </c>
      <c r="U95" s="179">
        <v>0</v>
      </c>
      <c r="V95" s="80">
        <f t="shared" si="31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2"/>
        <v>0</v>
      </c>
      <c r="E96" s="179">
        <v>0</v>
      </c>
      <c r="F96" s="80">
        <f t="shared" si="23"/>
        <v>0</v>
      </c>
      <c r="G96" s="179">
        <v>0</v>
      </c>
      <c r="H96" s="80">
        <f t="shared" si="24"/>
        <v>0</v>
      </c>
      <c r="I96" s="179">
        <v>0</v>
      </c>
      <c r="J96" s="80">
        <f t="shared" si="25"/>
        <v>0</v>
      </c>
      <c r="K96" s="179">
        <v>0</v>
      </c>
      <c r="L96" s="80">
        <f t="shared" si="26"/>
        <v>0</v>
      </c>
      <c r="M96" s="179">
        <v>0</v>
      </c>
      <c r="N96" s="80">
        <f t="shared" si="27"/>
        <v>0</v>
      </c>
      <c r="O96" s="179">
        <v>0</v>
      </c>
      <c r="P96" s="80">
        <f t="shared" si="28"/>
        <v>0</v>
      </c>
      <c r="Q96" s="179">
        <v>0</v>
      </c>
      <c r="R96" s="80">
        <f t="shared" si="29"/>
        <v>0</v>
      </c>
      <c r="S96" s="179">
        <v>0</v>
      </c>
      <c r="T96" s="80">
        <f t="shared" si="30"/>
        <v>0</v>
      </c>
      <c r="U96" s="179">
        <v>0</v>
      </c>
      <c r="V96" s="80">
        <f t="shared" si="31"/>
        <v>0</v>
      </c>
      <c r="X96" s="200"/>
    </row>
    <row r="97" spans="1:24" ht="12.75" customHeight="1">
      <c r="A97" s="2" t="s">
        <v>428</v>
      </c>
      <c r="B97" s="35"/>
      <c r="C97" s="179">
        <v>6351.0694999999996</v>
      </c>
      <c r="D97" s="80">
        <f t="shared" si="22"/>
        <v>1.6375995286570334E-2</v>
      </c>
      <c r="E97" s="179">
        <v>6493.6081168000001</v>
      </c>
      <c r="F97" s="80">
        <f t="shared" si="23"/>
        <v>1.5315113483018868E-2</v>
      </c>
      <c r="G97" s="179">
        <v>6720.8844008879987</v>
      </c>
      <c r="H97" s="80">
        <f t="shared" si="24"/>
        <v>1.5540335740122084E-2</v>
      </c>
      <c r="I97" s="179">
        <v>6935.9527017164155</v>
      </c>
      <c r="J97" s="80">
        <f t="shared" si="25"/>
        <v>1.5723163219417639E-2</v>
      </c>
      <c r="K97" s="179">
        <v>7109.351519259325</v>
      </c>
      <c r="L97" s="80">
        <f t="shared" si="26"/>
        <v>1.5800237548924585E-2</v>
      </c>
      <c r="M97" s="179">
        <v>7287.0853072408081</v>
      </c>
      <c r="N97" s="80">
        <f t="shared" si="27"/>
        <v>1.5877689693772255E-2</v>
      </c>
      <c r="O97" s="179">
        <v>7469.2624399218257</v>
      </c>
      <c r="P97" s="80">
        <f t="shared" si="28"/>
        <v>1.5955521505996623E-2</v>
      </c>
      <c r="Q97" s="179">
        <v>7655.9940009198717</v>
      </c>
      <c r="R97" s="80">
        <f t="shared" si="29"/>
        <v>1.6033734846712295E-2</v>
      </c>
      <c r="S97" s="179">
        <v>7847.3938509428672</v>
      </c>
      <c r="T97" s="80">
        <f t="shared" si="30"/>
        <v>1.611233158615696E-2</v>
      </c>
      <c r="U97" s="179">
        <v>8043.5786972164397</v>
      </c>
      <c r="V97" s="80">
        <f t="shared" si="31"/>
        <v>1.6191313603736164E-2</v>
      </c>
      <c r="X97" s="200"/>
    </row>
    <row r="98" spans="1:24" ht="12.75" customHeight="1">
      <c r="A98" s="117" t="s">
        <v>431</v>
      </c>
      <c r="B98" s="35"/>
      <c r="C98" s="179">
        <v>465.39359999999988</v>
      </c>
      <c r="D98" s="80">
        <f t="shared" si="22"/>
        <v>1.1999999999999997E-3</v>
      </c>
      <c r="E98" s="179">
        <v>508.79999999999995</v>
      </c>
      <c r="F98" s="80">
        <f t="shared" si="23"/>
        <v>1.1999999999999999E-3</v>
      </c>
      <c r="G98" s="179">
        <v>518.976</v>
      </c>
      <c r="H98" s="80">
        <f t="shared" si="24"/>
        <v>1.1999999999999999E-3</v>
      </c>
      <c r="I98" s="179">
        <v>529.35551999999996</v>
      </c>
      <c r="J98" s="80">
        <f t="shared" si="25"/>
        <v>1.1999999999999999E-3</v>
      </c>
      <c r="K98" s="179">
        <v>539.9426304000001</v>
      </c>
      <c r="L98" s="80">
        <f t="shared" si="26"/>
        <v>1.1999999999999999E-3</v>
      </c>
      <c r="M98" s="179">
        <v>550.74148300799993</v>
      </c>
      <c r="N98" s="80">
        <f t="shared" si="27"/>
        <v>1.1999999999999999E-3</v>
      </c>
      <c r="O98" s="179">
        <v>561.75631266816004</v>
      </c>
      <c r="P98" s="80">
        <f t="shared" si="28"/>
        <v>1.1999999999999999E-3</v>
      </c>
      <c r="Q98" s="179">
        <v>572.99143892152313</v>
      </c>
      <c r="R98" s="80">
        <f t="shared" si="29"/>
        <v>1.1999999999999997E-3</v>
      </c>
      <c r="S98" s="179">
        <v>584.45126769995375</v>
      </c>
      <c r="T98" s="80">
        <f t="shared" si="30"/>
        <v>1.2000000000000001E-3</v>
      </c>
      <c r="U98" s="179">
        <v>596.14029305395275</v>
      </c>
      <c r="V98" s="80">
        <f t="shared" si="31"/>
        <v>1.2000000000000001E-3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2"/>
        <v>0</v>
      </c>
      <c r="E99" s="179">
        <v>0</v>
      </c>
      <c r="F99" s="80">
        <f t="shared" si="23"/>
        <v>0</v>
      </c>
      <c r="G99" s="179">
        <v>0</v>
      </c>
      <c r="H99" s="80">
        <f t="shared" si="24"/>
        <v>0</v>
      </c>
      <c r="I99" s="179">
        <v>0</v>
      </c>
      <c r="J99" s="80">
        <f t="shared" si="25"/>
        <v>0</v>
      </c>
      <c r="K99" s="179">
        <v>0</v>
      </c>
      <c r="L99" s="80">
        <f t="shared" si="26"/>
        <v>0</v>
      </c>
      <c r="M99" s="179">
        <v>0</v>
      </c>
      <c r="N99" s="80">
        <f t="shared" si="27"/>
        <v>0</v>
      </c>
      <c r="O99" s="179">
        <v>0</v>
      </c>
      <c r="P99" s="80">
        <f t="shared" si="28"/>
        <v>0</v>
      </c>
      <c r="Q99" s="179">
        <v>0</v>
      </c>
      <c r="R99" s="80">
        <f t="shared" si="29"/>
        <v>0</v>
      </c>
      <c r="S99" s="179">
        <v>0</v>
      </c>
      <c r="T99" s="80">
        <f t="shared" si="30"/>
        <v>0</v>
      </c>
      <c r="U99" s="179">
        <v>0</v>
      </c>
      <c r="V99" s="80">
        <f t="shared" si="31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2"/>
        <v>0</v>
      </c>
      <c r="E100" s="179">
        <v>0</v>
      </c>
      <c r="F100" s="80">
        <f t="shared" si="23"/>
        <v>0</v>
      </c>
      <c r="G100" s="179">
        <v>0</v>
      </c>
      <c r="H100" s="80">
        <f t="shared" si="24"/>
        <v>0</v>
      </c>
      <c r="I100" s="179">
        <v>0</v>
      </c>
      <c r="J100" s="80">
        <f t="shared" si="25"/>
        <v>0</v>
      </c>
      <c r="K100" s="179">
        <v>0</v>
      </c>
      <c r="L100" s="80">
        <f t="shared" si="26"/>
        <v>0</v>
      </c>
      <c r="M100" s="179">
        <v>0</v>
      </c>
      <c r="N100" s="80">
        <f t="shared" si="27"/>
        <v>0</v>
      </c>
      <c r="O100" s="179">
        <v>0</v>
      </c>
      <c r="P100" s="80">
        <f t="shared" si="28"/>
        <v>0</v>
      </c>
      <c r="Q100" s="179">
        <v>0</v>
      </c>
      <c r="R100" s="80">
        <f t="shared" si="29"/>
        <v>0</v>
      </c>
      <c r="S100" s="179">
        <v>0</v>
      </c>
      <c r="T100" s="80">
        <f t="shared" si="30"/>
        <v>0</v>
      </c>
      <c r="U100" s="179">
        <v>0</v>
      </c>
      <c r="V100" s="80">
        <f t="shared" si="31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2"/>
        <v>0</v>
      </c>
      <c r="E101" s="179"/>
      <c r="F101" s="80">
        <f t="shared" si="23"/>
        <v>0</v>
      </c>
      <c r="G101" s="179"/>
      <c r="H101" s="80">
        <f t="shared" si="24"/>
        <v>0</v>
      </c>
      <c r="I101" s="179">
        <v>0</v>
      </c>
      <c r="J101" s="80">
        <f t="shared" si="25"/>
        <v>0</v>
      </c>
      <c r="K101" s="179">
        <v>0</v>
      </c>
      <c r="L101" s="80">
        <f t="shared" si="26"/>
        <v>0</v>
      </c>
      <c r="M101" s="179">
        <v>0</v>
      </c>
      <c r="N101" s="80">
        <f t="shared" si="27"/>
        <v>0</v>
      </c>
      <c r="O101" s="179">
        <v>0</v>
      </c>
      <c r="P101" s="80">
        <f t="shared" si="28"/>
        <v>0</v>
      </c>
      <c r="Q101" s="179">
        <v>0</v>
      </c>
      <c r="R101" s="80">
        <f t="shared" si="29"/>
        <v>0</v>
      </c>
      <c r="S101" s="179">
        <v>0</v>
      </c>
      <c r="T101" s="80">
        <f t="shared" si="30"/>
        <v>0</v>
      </c>
      <c r="U101" s="179">
        <v>0</v>
      </c>
      <c r="V101" s="80">
        <f t="shared" si="31"/>
        <v>0</v>
      </c>
      <c r="X101" s="200"/>
    </row>
    <row r="102" spans="1:24" ht="12.75" customHeight="1">
      <c r="A102" s="117" t="s">
        <v>433</v>
      </c>
      <c r="B102" s="35"/>
      <c r="C102" s="179">
        <v>3878.2799999999997</v>
      </c>
      <c r="D102" s="80">
        <f t="shared" si="22"/>
        <v>0.01</v>
      </c>
      <c r="E102" s="179">
        <v>4240</v>
      </c>
      <c r="F102" s="80">
        <f t="shared" si="23"/>
        <v>0.01</v>
      </c>
      <c r="G102" s="179">
        <v>4324.8</v>
      </c>
      <c r="H102" s="80">
        <f t="shared" si="24"/>
        <v>0.01</v>
      </c>
      <c r="I102" s="179">
        <v>4411.2960000000003</v>
      </c>
      <c r="J102" s="80">
        <f t="shared" si="25"/>
        <v>0.01</v>
      </c>
      <c r="K102" s="179">
        <v>4499.521920000002</v>
      </c>
      <c r="L102" s="80">
        <f t="shared" si="26"/>
        <v>1.0000000000000002E-2</v>
      </c>
      <c r="M102" s="179">
        <v>4589.5123583999994</v>
      </c>
      <c r="N102" s="80">
        <f t="shared" si="27"/>
        <v>9.9999999999999985E-3</v>
      </c>
      <c r="O102" s="179">
        <v>4681.3026055680011</v>
      </c>
      <c r="P102" s="80">
        <f t="shared" si="28"/>
        <v>1.0000000000000002E-2</v>
      </c>
      <c r="Q102" s="179">
        <v>4774.9286576793611</v>
      </c>
      <c r="R102" s="80">
        <f t="shared" si="29"/>
        <v>1.0000000000000002E-2</v>
      </c>
      <c r="S102" s="179">
        <v>4870.4272308329482</v>
      </c>
      <c r="T102" s="80">
        <f t="shared" si="30"/>
        <v>1.0000000000000002E-2</v>
      </c>
      <c r="U102" s="179">
        <v>4967.8357754496055</v>
      </c>
      <c r="V102" s="80">
        <f t="shared" si="31"/>
        <v>9.9999999999999985E-3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2"/>
        <v>0</v>
      </c>
      <c r="E103" s="179">
        <v>0</v>
      </c>
      <c r="F103" s="80">
        <f t="shared" si="23"/>
        <v>0</v>
      </c>
      <c r="G103" s="179">
        <v>0</v>
      </c>
      <c r="H103" s="80">
        <f t="shared" si="24"/>
        <v>0</v>
      </c>
      <c r="I103" s="179">
        <v>0</v>
      </c>
      <c r="J103" s="80">
        <f t="shared" si="25"/>
        <v>0</v>
      </c>
      <c r="K103" s="179">
        <v>0</v>
      </c>
      <c r="L103" s="80">
        <f t="shared" si="26"/>
        <v>0</v>
      </c>
      <c r="M103" s="179">
        <v>0</v>
      </c>
      <c r="N103" s="80">
        <f t="shared" si="27"/>
        <v>0</v>
      </c>
      <c r="O103" s="179">
        <v>0</v>
      </c>
      <c r="P103" s="80">
        <f t="shared" si="28"/>
        <v>0</v>
      </c>
      <c r="Q103" s="179">
        <v>0</v>
      </c>
      <c r="R103" s="80">
        <f t="shared" si="29"/>
        <v>0</v>
      </c>
      <c r="S103" s="179">
        <v>0</v>
      </c>
      <c r="T103" s="80">
        <f t="shared" si="30"/>
        <v>0</v>
      </c>
      <c r="U103" s="179">
        <v>0</v>
      </c>
      <c r="V103" s="80">
        <f t="shared" si="31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2"/>
        <v>0</v>
      </c>
      <c r="E104" s="179">
        <v>0</v>
      </c>
      <c r="F104" s="80">
        <f t="shared" si="23"/>
        <v>0</v>
      </c>
      <c r="G104" s="179">
        <v>0</v>
      </c>
      <c r="H104" s="80">
        <f t="shared" si="24"/>
        <v>0</v>
      </c>
      <c r="I104" s="179">
        <v>0</v>
      </c>
      <c r="J104" s="80">
        <f t="shared" si="25"/>
        <v>0</v>
      </c>
      <c r="K104" s="179">
        <v>0</v>
      </c>
      <c r="L104" s="80">
        <f t="shared" si="26"/>
        <v>0</v>
      </c>
      <c r="M104" s="179">
        <v>0</v>
      </c>
      <c r="N104" s="80">
        <f t="shared" si="27"/>
        <v>0</v>
      </c>
      <c r="O104" s="179">
        <v>0</v>
      </c>
      <c r="P104" s="80">
        <f t="shared" si="28"/>
        <v>0</v>
      </c>
      <c r="Q104" s="179">
        <v>0</v>
      </c>
      <c r="R104" s="80">
        <f t="shared" si="29"/>
        <v>0</v>
      </c>
      <c r="S104" s="179">
        <v>0</v>
      </c>
      <c r="T104" s="80">
        <f t="shared" si="30"/>
        <v>0</v>
      </c>
      <c r="U104" s="179">
        <v>0</v>
      </c>
      <c r="V104" s="80">
        <f t="shared" si="31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70045.00651416395</v>
      </c>
      <c r="D105" s="83">
        <f t="shared" ref="D105" si="32">IFERROR(C105/C$28,0)</f>
        <v>0.18060843083574149</v>
      </c>
      <c r="E105" s="82">
        <f>SUM(E52:E104)</f>
        <v>73598.951989223351</v>
      </c>
      <c r="F105" s="83">
        <f t="shared" ref="F105" si="33">IFERROR(E105/E$28,0)</f>
        <v>0.17358243393684752</v>
      </c>
      <c r="G105" s="82">
        <f>SUM(G52:G104)</f>
        <v>75663.622044441567</v>
      </c>
      <c r="H105" s="83">
        <f t="shared" ref="H105" si="34">IFERROR(G105/G$28,0)</f>
        <v>0.17495288116084343</v>
      </c>
      <c r="I105" s="82">
        <f>SUM(I52:I104)</f>
        <v>77223.187599846467</v>
      </c>
      <c r="J105" s="83">
        <f t="shared" ref="J105" si="35">IFERROR(I105/I$28,0)</f>
        <v>0.17505782336947343</v>
      </c>
      <c r="K105" s="82">
        <f>SUM(K52:K104)</f>
        <v>78756.603608692822</v>
      </c>
      <c r="L105" s="83">
        <f t="shared" ref="L105" si="36">IFERROR(K105/K$28,0)</f>
        <v>0.17503327022061224</v>
      </c>
      <c r="M105" s="82">
        <f>SUM(M52:M104)</f>
        <v>80358.867197254571</v>
      </c>
      <c r="N105" s="83">
        <f t="shared" ref="N105" si="37">IFERROR(M105/M$28,0)</f>
        <v>0.175092386558622</v>
      </c>
      <c r="O105" s="82">
        <f>SUM(O52:O104)</f>
        <v>81994.139202388396</v>
      </c>
      <c r="P105" s="83">
        <f t="shared" ref="P105" si="38">IFERROR(O105/O$28,0)</f>
        <v>0.1751524011818068</v>
      </c>
      <c r="Q105" s="82">
        <f>SUM(Q52:Q104)</f>
        <v>83662.960812737307</v>
      </c>
      <c r="R105" s="83">
        <f t="shared" ref="R105" si="39">IFERROR(Q105/Q$28,0)</f>
        <v>0.17521300695914047</v>
      </c>
      <c r="S105" s="82">
        <f>SUM(S52:S104)</f>
        <v>85365.887826666076</v>
      </c>
      <c r="T105" s="83">
        <f t="shared" ref="T105" si="40">IFERROR(S105/S$28,0)</f>
        <v>0.17527392111773052</v>
      </c>
      <c r="U105" s="82">
        <f>SUM(U52:U104)</f>
        <v>87267.71931019552</v>
      </c>
      <c r="V105" s="83">
        <f t="shared" si="31"/>
        <v>0.17566546732776708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19260.535485836066</v>
      </c>
      <c r="D107" s="83">
        <f>IFERROR(C107/C$28,0)</f>
        <v>4.9662570742277673E-2</v>
      </c>
      <c r="E107" s="82">
        <f>E28-E33-E46-E105</f>
        <v>36479.70986677664</v>
      </c>
      <c r="F107" s="83">
        <f>IFERROR(E107/E$28,0)</f>
        <v>8.6037051572586412E-2</v>
      </c>
      <c r="G107" s="82">
        <f>G28-G33-G46-G105</f>
        <v>34006.592976518426</v>
      </c>
      <c r="H107" s="83">
        <f>IFERROR(G107/G$28,0)</f>
        <v>7.8631596782552785E-2</v>
      </c>
      <c r="I107" s="82">
        <f>I28-I33-I46-I105</f>
        <v>32479.335101784309</v>
      </c>
      <c r="J107" s="83">
        <f>IFERROR(I107/I$28,0)</f>
        <v>7.3627648432080514E-2</v>
      </c>
      <c r="K107" s="82">
        <f>K28-K33-K46-K105</f>
        <v>32210.698000478791</v>
      </c>
      <c r="L107" s="83">
        <f>IFERROR(K107/K$28,0)</f>
        <v>7.1586934285851389E-2</v>
      </c>
      <c r="M107" s="82">
        <f>M28-M33-M46-M105</f>
        <v>31875.277108946219</v>
      </c>
      <c r="N107" s="83">
        <f>IFERROR(M107/M$28,0)</f>
        <v>6.9452426793461364E-2</v>
      </c>
      <c r="O107" s="82">
        <f>O28-O33-O46-O105</f>
        <v>31508.37207140353</v>
      </c>
      <c r="P107" s="83">
        <f>IFERROR(O107/O$28,0)</f>
        <v>6.7306847529845809E-2</v>
      </c>
      <c r="Q107" s="82">
        <f>Q28-Q33-Q46-Q105</f>
        <v>31108.876870034073</v>
      </c>
      <c r="R107" s="83">
        <f>IFERROR(Q107/Q$28,0)</f>
        <v>6.5150453756000509E-2</v>
      </c>
      <c r="S107" s="82">
        <f>S28-S33-S46-S105</f>
        <v>30675.64469785204</v>
      </c>
      <c r="T107" s="83">
        <f>IFERROR(S107/S$28,0)</f>
        <v>6.2983478130327897E-2</v>
      </c>
      <c r="U107" s="82">
        <f>U28-U33-U46-U105</f>
        <v>30043.258405106535</v>
      </c>
      <c r="V107" s="83">
        <f>IFERROR(U107/U$28,0)</f>
        <v>6.0475546622487775E-2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1">IFERROR(C111/C$28,0)</f>
        <v>0</v>
      </c>
      <c r="E111" s="79">
        <f>E59</f>
        <v>0</v>
      </c>
      <c r="F111" s="80">
        <f t="shared" ref="F111:F116" si="42">IFERROR(E111/E$28,0)</f>
        <v>0</v>
      </c>
      <c r="G111" s="79">
        <f>G59</f>
        <v>0</v>
      </c>
      <c r="H111" s="80">
        <f t="shared" ref="H111:H116" si="43">IFERROR(G111/G$28,0)</f>
        <v>0</v>
      </c>
      <c r="I111" s="79">
        <f>I59</f>
        <v>0</v>
      </c>
      <c r="J111" s="80">
        <f t="shared" ref="J111:J116" si="44">IFERROR(I111/I$28,0)</f>
        <v>0</v>
      </c>
      <c r="K111" s="79">
        <f>K59</f>
        <v>0</v>
      </c>
      <c r="L111" s="80">
        <f t="shared" ref="L111:L116" si="45">IFERROR(K111/K$28,0)</f>
        <v>0</v>
      </c>
      <c r="M111" s="79">
        <f>M59</f>
        <v>0</v>
      </c>
      <c r="N111" s="80">
        <f t="shared" ref="N111:N116" si="46">IFERROR(M111/M$28,0)</f>
        <v>0</v>
      </c>
      <c r="O111" s="79">
        <f>O59</f>
        <v>0</v>
      </c>
      <c r="P111" s="80">
        <f t="shared" ref="P111:P116" si="47">IFERROR(O111/O$28,0)</f>
        <v>0</v>
      </c>
      <c r="Q111" s="79">
        <f>Q59</f>
        <v>0</v>
      </c>
      <c r="R111" s="80">
        <f t="shared" ref="R111:R116" si="48">IFERROR(Q111/Q$28,0)</f>
        <v>0</v>
      </c>
      <c r="S111" s="79">
        <f>S59</f>
        <v>0</v>
      </c>
      <c r="T111" s="80">
        <f t="shared" ref="T111:T116" si="49">IFERROR(S111/S$28,0)</f>
        <v>0</v>
      </c>
      <c r="U111" s="79">
        <f>U59</f>
        <v>0</v>
      </c>
      <c r="V111" s="80">
        <f t="shared" ref="V111:V116" si="50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1"/>
        <v>0</v>
      </c>
      <c r="E112" s="79">
        <f>E62</f>
        <v>0</v>
      </c>
      <c r="F112" s="80">
        <f t="shared" si="42"/>
        <v>0</v>
      </c>
      <c r="G112" s="79">
        <f>G62</f>
        <v>0</v>
      </c>
      <c r="H112" s="80">
        <f t="shared" si="43"/>
        <v>0</v>
      </c>
      <c r="I112" s="79">
        <f>I62</f>
        <v>0</v>
      </c>
      <c r="J112" s="80">
        <f t="shared" si="44"/>
        <v>0</v>
      </c>
      <c r="K112" s="79">
        <f>K62</f>
        <v>0</v>
      </c>
      <c r="L112" s="80">
        <f t="shared" si="45"/>
        <v>0</v>
      </c>
      <c r="M112" s="79">
        <f>M62</f>
        <v>0</v>
      </c>
      <c r="N112" s="80">
        <f t="shared" si="46"/>
        <v>0</v>
      </c>
      <c r="O112" s="79">
        <f>O62</f>
        <v>0</v>
      </c>
      <c r="P112" s="80">
        <f t="shared" si="47"/>
        <v>0</v>
      </c>
      <c r="Q112" s="79">
        <f>Q62</f>
        <v>0</v>
      </c>
      <c r="R112" s="80">
        <f t="shared" si="48"/>
        <v>0</v>
      </c>
      <c r="S112" s="79">
        <f>S62</f>
        <v>0</v>
      </c>
      <c r="T112" s="80">
        <f t="shared" si="49"/>
        <v>0</v>
      </c>
      <c r="U112" s="79">
        <f>U62</f>
        <v>0</v>
      </c>
      <c r="V112" s="80">
        <f t="shared" si="50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1"/>
        <v>0</v>
      </c>
      <c r="E113" s="111">
        <v>0</v>
      </c>
      <c r="F113" s="80">
        <f t="shared" si="42"/>
        <v>0</v>
      </c>
      <c r="G113" s="111">
        <v>0</v>
      </c>
      <c r="H113" s="80">
        <f t="shared" si="43"/>
        <v>0</v>
      </c>
      <c r="I113" s="111">
        <v>0</v>
      </c>
      <c r="J113" s="80">
        <f t="shared" si="44"/>
        <v>0</v>
      </c>
      <c r="K113" s="111">
        <v>0</v>
      </c>
      <c r="L113" s="80">
        <f t="shared" si="45"/>
        <v>0</v>
      </c>
      <c r="M113" s="111">
        <v>0</v>
      </c>
      <c r="N113" s="80">
        <f t="shared" si="46"/>
        <v>0</v>
      </c>
      <c r="O113" s="111">
        <v>0</v>
      </c>
      <c r="P113" s="80">
        <f t="shared" si="47"/>
        <v>0</v>
      </c>
      <c r="Q113" s="111">
        <v>0</v>
      </c>
      <c r="R113" s="80">
        <f t="shared" si="48"/>
        <v>0</v>
      </c>
      <c r="S113" s="111">
        <v>0</v>
      </c>
      <c r="T113" s="80">
        <f t="shared" si="49"/>
        <v>0</v>
      </c>
      <c r="U113" s="111">
        <v>0</v>
      </c>
      <c r="V113" s="80">
        <f t="shared" si="50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1"/>
        <v>0</v>
      </c>
      <c r="E114" s="111">
        <v>0</v>
      </c>
      <c r="F114" s="80">
        <f t="shared" si="42"/>
        <v>0</v>
      </c>
      <c r="G114" s="111">
        <v>0</v>
      </c>
      <c r="H114" s="80">
        <f t="shared" si="43"/>
        <v>0</v>
      </c>
      <c r="I114" s="111">
        <v>0</v>
      </c>
      <c r="J114" s="80">
        <f t="shared" si="44"/>
        <v>0</v>
      </c>
      <c r="K114" s="111">
        <v>0</v>
      </c>
      <c r="L114" s="80">
        <f t="shared" si="45"/>
        <v>0</v>
      </c>
      <c r="M114" s="111">
        <v>0</v>
      </c>
      <c r="N114" s="80">
        <f t="shared" si="46"/>
        <v>0</v>
      </c>
      <c r="O114" s="111">
        <v>0</v>
      </c>
      <c r="P114" s="80">
        <f t="shared" si="47"/>
        <v>0</v>
      </c>
      <c r="Q114" s="111">
        <v>0</v>
      </c>
      <c r="R114" s="80">
        <f t="shared" si="48"/>
        <v>0</v>
      </c>
      <c r="S114" s="111">
        <v>0</v>
      </c>
      <c r="T114" s="80">
        <f t="shared" si="49"/>
        <v>0</v>
      </c>
      <c r="U114" s="111">
        <v>0</v>
      </c>
      <c r="V114" s="80">
        <f t="shared" si="50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1"/>
        <v>0</v>
      </c>
      <c r="E115" s="112">
        <v>0</v>
      </c>
      <c r="F115" s="80">
        <f t="shared" si="42"/>
        <v>0</v>
      </c>
      <c r="G115" s="112">
        <v>0</v>
      </c>
      <c r="H115" s="80">
        <f t="shared" si="43"/>
        <v>0</v>
      </c>
      <c r="I115" s="112">
        <v>0</v>
      </c>
      <c r="J115" s="80">
        <f t="shared" si="44"/>
        <v>0</v>
      </c>
      <c r="K115" s="112">
        <v>0</v>
      </c>
      <c r="L115" s="80">
        <f t="shared" si="45"/>
        <v>0</v>
      </c>
      <c r="M115" s="112">
        <v>0</v>
      </c>
      <c r="N115" s="80">
        <f t="shared" si="46"/>
        <v>0</v>
      </c>
      <c r="O115" s="112">
        <v>0</v>
      </c>
      <c r="P115" s="80">
        <f t="shared" si="47"/>
        <v>0</v>
      </c>
      <c r="Q115" s="112">
        <v>0</v>
      </c>
      <c r="R115" s="80">
        <f t="shared" si="48"/>
        <v>0</v>
      </c>
      <c r="S115" s="112">
        <v>0</v>
      </c>
      <c r="T115" s="80">
        <f t="shared" si="49"/>
        <v>0</v>
      </c>
      <c r="U115" s="112">
        <v>0</v>
      </c>
      <c r="V115" s="80">
        <f t="shared" si="50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1"/>
        <v>0</v>
      </c>
      <c r="E116" s="85">
        <f>SUM(E111:E115)</f>
        <v>0</v>
      </c>
      <c r="F116" s="83">
        <f t="shared" si="42"/>
        <v>0</v>
      </c>
      <c r="G116" s="85">
        <f>SUM(G111:G115)</f>
        <v>0</v>
      </c>
      <c r="H116" s="83">
        <f t="shared" si="43"/>
        <v>0</v>
      </c>
      <c r="I116" s="85">
        <f>SUM(I111:I115)</f>
        <v>0</v>
      </c>
      <c r="J116" s="83">
        <f t="shared" si="44"/>
        <v>0</v>
      </c>
      <c r="K116" s="85">
        <f>SUM(K111:K115)</f>
        <v>0</v>
      </c>
      <c r="L116" s="83">
        <f t="shared" si="45"/>
        <v>0</v>
      </c>
      <c r="M116" s="85">
        <f>SUM(M111:M115)</f>
        <v>0</v>
      </c>
      <c r="N116" s="83">
        <f t="shared" si="46"/>
        <v>0</v>
      </c>
      <c r="O116" s="85">
        <f>SUM(O111:O115)</f>
        <v>0</v>
      </c>
      <c r="P116" s="83">
        <f t="shared" si="47"/>
        <v>0</v>
      </c>
      <c r="Q116" s="85">
        <f>SUM(Q111:Q115)</f>
        <v>0</v>
      </c>
      <c r="R116" s="83">
        <f t="shared" si="48"/>
        <v>0</v>
      </c>
      <c r="S116" s="85">
        <f>SUM(S111:S115)</f>
        <v>0</v>
      </c>
      <c r="T116" s="83">
        <f t="shared" si="49"/>
        <v>0</v>
      </c>
      <c r="U116" s="85">
        <f>SUM(U111:U115)</f>
        <v>0</v>
      </c>
      <c r="V116" s="83">
        <f t="shared" si="50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7" tint="0.59999389629810485"/>
  </sheetPr>
  <dimension ref="A1:X119"/>
  <sheetViews>
    <sheetView topLeftCell="A9" zoomScale="70" zoomScaleNormal="70" workbookViewId="0" xr3:uid="{23B2C380-326F-580B-8990-D38B2516F165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36.1406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50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Chick-fil-A (Parking Garage 5)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190</v>
      </c>
      <c r="E8" s="109">
        <f>+C8</f>
        <v>190</v>
      </c>
      <c r="G8" s="109">
        <f>+E8</f>
        <v>190</v>
      </c>
      <c r="I8" s="109">
        <f>+G8</f>
        <v>190</v>
      </c>
      <c r="K8" s="109">
        <f>+I8</f>
        <v>190</v>
      </c>
      <c r="M8" s="109">
        <f>+K8</f>
        <v>190</v>
      </c>
      <c r="O8" s="109">
        <f>+M8</f>
        <v>190</v>
      </c>
      <c r="Q8" s="109">
        <f>+O8</f>
        <v>190</v>
      </c>
      <c r="S8" s="109">
        <f>+Q8</f>
        <v>190</v>
      </c>
      <c r="U8" s="109">
        <f>+S8</f>
        <v>190</v>
      </c>
    </row>
    <row r="10" spans="1:22" ht="12.75" customHeight="1">
      <c r="A10" s="2" t="s">
        <v>449</v>
      </c>
      <c r="C10" s="209">
        <f>+C14/C8/C12</f>
        <v>696.00000000000011</v>
      </c>
      <c r="D10" s="186"/>
      <c r="E10" s="209">
        <f>+E14/E8/E12</f>
        <v>757.99160477881833</v>
      </c>
      <c r="F10" s="186"/>
      <c r="G10" s="209">
        <f>+G14/G8/G12</f>
        <v>830.05222981116913</v>
      </c>
      <c r="H10" s="186"/>
      <c r="I10" s="209">
        <f>+I14/I8/I12</f>
        <v>842.79315309550464</v>
      </c>
      <c r="J10" s="186"/>
      <c r="K10" s="209">
        <f>+K14/K8/K12</f>
        <v>855.74743212039164</v>
      </c>
      <c r="L10" s="186"/>
      <c r="M10" s="209">
        <f>+M14/M8/M12</f>
        <v>870.22931174089081</v>
      </c>
      <c r="N10" s="186"/>
      <c r="O10" s="209">
        <f>+O14/O8/O12</f>
        <v>884.96432234269889</v>
      </c>
      <c r="P10" s="186"/>
      <c r="Q10" s="209">
        <f>+Q14/Q8/Q12</f>
        <v>898.60973030696505</v>
      </c>
      <c r="R10" s="186"/>
      <c r="S10" s="209">
        <f>+S14/S8/S12</f>
        <v>912.48394313256904</v>
      </c>
      <c r="T10" s="186"/>
      <c r="U10" s="209">
        <f>+U14/U8/U12</f>
        <v>926.59089074004874</v>
      </c>
    </row>
    <row r="12" spans="1:22" ht="12.75" customHeight="1">
      <c r="A12" s="2" t="s">
        <v>450</v>
      </c>
      <c r="C12" s="110">
        <v>6.49</v>
      </c>
      <c r="E12" s="110">
        <v>6.52</v>
      </c>
      <c r="G12" s="110">
        <v>6.55</v>
      </c>
      <c r="I12" s="110">
        <v>6.58</v>
      </c>
      <c r="K12" s="110">
        <v>6.61</v>
      </c>
      <c r="M12" s="110">
        <v>6.63</v>
      </c>
      <c r="O12" s="110">
        <v>6.65</v>
      </c>
      <c r="Q12" s="110">
        <v>6.68</v>
      </c>
      <c r="S12" s="110">
        <v>6.71</v>
      </c>
      <c r="U12" s="110">
        <v>6.74</v>
      </c>
    </row>
    <row r="14" spans="1:22" ht="12.75" customHeight="1">
      <c r="A14" s="2" t="s">
        <v>451</v>
      </c>
      <c r="C14" s="206">
        <v>858237.60000000009</v>
      </c>
      <c r="D14" s="12"/>
      <c r="E14" s="206">
        <v>939000</v>
      </c>
      <c r="F14" s="12"/>
      <c r="G14" s="206">
        <v>1033000</v>
      </c>
      <c r="H14" s="12"/>
      <c r="I14" s="206">
        <f>+G14*1.02</f>
        <v>1053660</v>
      </c>
      <c r="J14" s="12"/>
      <c r="K14" s="206">
        <f>+I14*1.02</f>
        <v>1074733.2</v>
      </c>
      <c r="L14" s="12"/>
      <c r="M14" s="206">
        <f>+K14*1.02</f>
        <v>1096227.8640000001</v>
      </c>
      <c r="N14" s="12"/>
      <c r="O14" s="206">
        <f>+M14*1.02</f>
        <v>1118152.4212800001</v>
      </c>
      <c r="P14" s="12"/>
      <c r="Q14" s="206">
        <f>+O14*1.02</f>
        <v>1140515.4697056001</v>
      </c>
      <c r="R14" s="12"/>
      <c r="S14" s="206">
        <f>+Q14*1.02</f>
        <v>1163325.7790997121</v>
      </c>
      <c r="T14" s="12"/>
      <c r="U14" s="206">
        <f>+S14*1.02</f>
        <v>1186592.2946817065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4">
        <f>+C14-C20-C21</f>
        <v>730531.84512000019</v>
      </c>
      <c r="D19" s="80">
        <f>IFERROR(C19/C$28,0)</f>
        <v>0.85120000000000018</v>
      </c>
      <c r="E19" s="204">
        <f>+E14-E20-E21</f>
        <v>415319.69999999995</v>
      </c>
      <c r="F19" s="80">
        <f>IFERROR(E19/E$28,0)</f>
        <v>0.44229999999999997</v>
      </c>
      <c r="G19" s="204">
        <f>+G14-G20-G21</f>
        <v>496965.59399999992</v>
      </c>
      <c r="H19" s="80">
        <f>IFERROR(G19/G$28,0)</f>
        <v>0.48108963601161658</v>
      </c>
      <c r="I19" s="204">
        <f>+I14-I20-I21</f>
        <v>506904.90587999998</v>
      </c>
      <c r="J19" s="80">
        <f>IFERROR(I19/I$28,0)</f>
        <v>0.48108963601161664</v>
      </c>
      <c r="K19" s="204">
        <f>+K14-K20-K21</f>
        <v>517043.00399759988</v>
      </c>
      <c r="L19" s="80">
        <f>IFERROR(K19/K$28,0)</f>
        <v>0.48108963601161658</v>
      </c>
      <c r="M19" s="204">
        <f>+M14-M20-M21</f>
        <v>527383.86407755199</v>
      </c>
      <c r="N19" s="80">
        <f>IFERROR(M19/M$28,0)</f>
        <v>0.48108963601161664</v>
      </c>
      <c r="O19" s="204">
        <f>+O14-O20-O21</f>
        <v>537931.54135910305</v>
      </c>
      <c r="P19" s="80">
        <f>IFERROR(O19/O$28,0)</f>
        <v>0.48108963601161669</v>
      </c>
      <c r="Q19" s="204">
        <f>+Q14-Q20-Q21</f>
        <v>548690.17218628502</v>
      </c>
      <c r="R19" s="80">
        <f>IFERROR(Q19/Q$28,0)</f>
        <v>0.48108963601161658</v>
      </c>
      <c r="S19" s="204">
        <f>+S14-S20-S21</f>
        <v>559663.97563001083</v>
      </c>
      <c r="T19" s="80">
        <f>IFERROR(S19/S$28,0)</f>
        <v>0.48108963601161653</v>
      </c>
      <c r="U19" s="204">
        <f>+U14-U20-U21</f>
        <v>570857.2551426111</v>
      </c>
      <c r="V19" s="80">
        <f>IFERROR(U19/U$28,0)</f>
        <v>0.48108963601161664</v>
      </c>
    </row>
    <row r="20" spans="1:24" ht="12.75" customHeight="1">
      <c r="A20" s="2" t="s">
        <v>357</v>
      </c>
      <c r="B20" s="35"/>
      <c r="C20" s="111">
        <f>+C14*12.38%</f>
        <v>106249.81488000002</v>
      </c>
      <c r="D20" s="80">
        <f>IFERROR(C20/C$28,0)</f>
        <v>0.12380000000000001</v>
      </c>
      <c r="E20" s="111">
        <f>+E14*53.27%</f>
        <v>500205.30000000005</v>
      </c>
      <c r="F20" s="80">
        <f>IFERROR(E20/E$28,0)</f>
        <v>0.53270000000000006</v>
      </c>
      <c r="G20" s="111">
        <f t="shared" ref="G20:U20" si="0">E20*1.02</f>
        <v>510209.40600000008</v>
      </c>
      <c r="H20" s="80">
        <f>IFERROR(G20/G$28,0)</f>
        <v>0.49391036398838345</v>
      </c>
      <c r="I20" s="111">
        <f t="shared" si="0"/>
        <v>520413.59412000008</v>
      </c>
      <c r="J20" s="80">
        <f>IFERROR(I20/I$28,0)</f>
        <v>0.49391036398838345</v>
      </c>
      <c r="K20" s="111">
        <f t="shared" si="0"/>
        <v>530821.86600240006</v>
      </c>
      <c r="L20" s="80">
        <f>IFERROR(K20/K$28,0)</f>
        <v>0.49391036398838345</v>
      </c>
      <c r="M20" s="111">
        <f t="shared" si="0"/>
        <v>541438.30332244805</v>
      </c>
      <c r="N20" s="80">
        <f>IFERROR(M20/M$28,0)</f>
        <v>0.49391036398838334</v>
      </c>
      <c r="O20" s="111">
        <f t="shared" si="0"/>
        <v>552267.06938889704</v>
      </c>
      <c r="P20" s="80">
        <f>IFERROR(O20/O$28,0)</f>
        <v>0.49391036398838345</v>
      </c>
      <c r="Q20" s="111">
        <f t="shared" si="0"/>
        <v>563312.41077667498</v>
      </c>
      <c r="R20" s="80">
        <f>IFERROR(Q20/Q$28,0)</f>
        <v>0.49391036398838339</v>
      </c>
      <c r="S20" s="111">
        <f t="shared" si="0"/>
        <v>574578.65899220854</v>
      </c>
      <c r="T20" s="80">
        <f>IFERROR(S20/S$28,0)</f>
        <v>0.49391036398838328</v>
      </c>
      <c r="U20" s="111">
        <f t="shared" si="0"/>
        <v>586070.23217205273</v>
      </c>
      <c r="V20" s="80">
        <f>IFERROR(U20/U$28,0)</f>
        <v>0.49391036398838339</v>
      </c>
    </row>
    <row r="21" spans="1:24" ht="12.75" customHeight="1">
      <c r="A21" s="191" t="s">
        <v>358</v>
      </c>
      <c r="B21" s="203"/>
      <c r="C21" s="111">
        <f>+C14*0.025</f>
        <v>21455.940000000002</v>
      </c>
      <c r="D21" s="80">
        <f>IFERROR(C21/C$28,0)</f>
        <v>2.5000000000000001E-2</v>
      </c>
      <c r="E21" s="111">
        <f>+E14*0.025</f>
        <v>23475</v>
      </c>
      <c r="F21" s="80">
        <f>IFERROR(E21/E$28,0)</f>
        <v>2.5000000000000001E-2</v>
      </c>
      <c r="G21" s="111">
        <f>+G14*0.025</f>
        <v>25825</v>
      </c>
      <c r="H21" s="80">
        <f>IFERROR(G21/G$28,0)</f>
        <v>2.5000000000000001E-2</v>
      </c>
      <c r="I21" s="111">
        <f>+I14*0.025</f>
        <v>26341.5</v>
      </c>
      <c r="J21" s="80">
        <f>IFERROR(I21/I$28,0)</f>
        <v>2.5000000000000001E-2</v>
      </c>
      <c r="K21" s="111">
        <f>+K14*0.025</f>
        <v>26868.33</v>
      </c>
      <c r="L21" s="80">
        <f>IFERROR(K21/K$28,0)</f>
        <v>2.5000000000000001E-2</v>
      </c>
      <c r="M21" s="111">
        <f>+M14*0.025</f>
        <v>27405.696600000003</v>
      </c>
      <c r="N21" s="80">
        <f>IFERROR(M21/M$28,0)</f>
        <v>2.5000000000000001E-2</v>
      </c>
      <c r="O21" s="111">
        <f>+O14*0.025</f>
        <v>27953.810532000003</v>
      </c>
      <c r="P21" s="80">
        <f>IFERROR(O21/O$28,0)</f>
        <v>2.5000000000000005E-2</v>
      </c>
      <c r="Q21" s="111">
        <f>+Q14*0.025</f>
        <v>28512.886742640003</v>
      </c>
      <c r="R21" s="80">
        <f>IFERROR(Q21/Q$28,0)</f>
        <v>2.5000000000000001E-2</v>
      </c>
      <c r="S21" s="111">
        <f>+S14*0.025</f>
        <v>29083.144477492806</v>
      </c>
      <c r="T21" s="80">
        <f>IFERROR(S21/S$28,0)</f>
        <v>2.4999999999999998E-2</v>
      </c>
      <c r="U21" s="111">
        <f>+U14*0.025</f>
        <v>29664.807367042664</v>
      </c>
      <c r="V21" s="80">
        <f>IFERROR(U21/U$28,0)</f>
        <v>2.5000000000000001E-2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364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365</v>
      </c>
      <c r="B28" s="53"/>
      <c r="C28" s="82">
        <f>SUM(C19:C27)</f>
        <v>858237.60000000009</v>
      </c>
      <c r="D28" s="83">
        <f t="shared" si="1"/>
        <v>1</v>
      </c>
      <c r="E28" s="82">
        <f>SUM(E19:E27)</f>
        <v>939000</v>
      </c>
      <c r="F28" s="83">
        <f t="shared" si="2"/>
        <v>1</v>
      </c>
      <c r="G28" s="82">
        <f>SUM(G19:G27)</f>
        <v>1033000</v>
      </c>
      <c r="H28" s="83">
        <f t="shared" si="3"/>
        <v>1</v>
      </c>
      <c r="I28" s="82">
        <f>SUM(I19:I27)</f>
        <v>1053660</v>
      </c>
      <c r="J28" s="83">
        <f t="shared" si="4"/>
        <v>1</v>
      </c>
      <c r="K28" s="82">
        <f>SUM(K19:K27)</f>
        <v>1074733.2</v>
      </c>
      <c r="L28" s="83">
        <f t="shared" si="5"/>
        <v>1</v>
      </c>
      <c r="M28" s="82">
        <f>SUM(M19:M27)</f>
        <v>1096227.8640000001</v>
      </c>
      <c r="N28" s="83">
        <f t="shared" si="6"/>
        <v>1</v>
      </c>
      <c r="O28" s="82">
        <f>SUM(O19:O27)</f>
        <v>1118152.4212799999</v>
      </c>
      <c r="P28" s="83">
        <f t="shared" si="7"/>
        <v>1</v>
      </c>
      <c r="Q28" s="82">
        <f>SUM(Q19:Q27)</f>
        <v>1140515.4697056001</v>
      </c>
      <c r="R28" s="83">
        <f t="shared" si="8"/>
        <v>1</v>
      </c>
      <c r="S28" s="82">
        <f>SUM(S19:S27)</f>
        <v>1163325.7790997124</v>
      </c>
      <c r="T28" s="83">
        <f t="shared" si="9"/>
        <v>1</v>
      </c>
      <c r="U28" s="82">
        <f>SUM(U19:U27)</f>
        <v>1186592.2946817065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0.316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271203.08160000003</v>
      </c>
      <c r="D31" s="80">
        <f>IFERROR(C31/C$28,0)</f>
        <v>0.316</v>
      </c>
      <c r="E31" s="179">
        <f>$C$30*E14</f>
        <v>296724</v>
      </c>
      <c r="F31" s="80">
        <f>IFERROR(E31/E$28,0)</f>
        <v>0.316</v>
      </c>
      <c r="G31" s="179">
        <f>$C$30*G14</f>
        <v>326428</v>
      </c>
      <c r="H31" s="80">
        <f>IFERROR(G31/G$28,0)</f>
        <v>0.316</v>
      </c>
      <c r="I31" s="179">
        <f>$C$30*I14</f>
        <v>332956.56</v>
      </c>
      <c r="J31" s="80">
        <f>IFERROR(I31/I$28,0)</f>
        <v>0.316</v>
      </c>
      <c r="K31" s="179">
        <f>$C$30*K14</f>
        <v>339615.6912</v>
      </c>
      <c r="L31" s="80">
        <f>IFERROR(K31/K$28,0)</f>
        <v>0.316</v>
      </c>
      <c r="M31" s="179">
        <f>$C$30*M14</f>
        <v>346408.00502400001</v>
      </c>
      <c r="N31" s="80">
        <f>IFERROR(M31/M$28,0)</f>
        <v>0.316</v>
      </c>
      <c r="O31" s="179">
        <f>$C$30*O14</f>
        <v>353336.16512448003</v>
      </c>
      <c r="P31" s="80">
        <f>IFERROR(O31/O$28,0)</f>
        <v>0.31600000000000006</v>
      </c>
      <c r="Q31" s="179">
        <f>$C$30*Q14</f>
        <v>360402.88842696964</v>
      </c>
      <c r="R31" s="80">
        <f>IFERROR(Q31/Q$28,0)</f>
        <v>0.316</v>
      </c>
      <c r="S31" s="179">
        <f>$C$30*S14</f>
        <v>367610.94619550905</v>
      </c>
      <c r="T31" s="80">
        <f>IFERROR(S31/S$28,0)</f>
        <v>0.31599999999999995</v>
      </c>
      <c r="U31" s="179">
        <f>$C$30*U14</f>
        <v>374963.16511941922</v>
      </c>
      <c r="V31" s="80">
        <f>IFERROR(U31/U$28,0)</f>
        <v>0.316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271203.08160000003</v>
      </c>
      <c r="D33" s="83">
        <f>IFERROR(C33/C$28,0)</f>
        <v>0.316</v>
      </c>
      <c r="E33" s="82">
        <f>SUM(E31:E32)</f>
        <v>296724</v>
      </c>
      <c r="F33" s="83">
        <f>IFERROR(E33/E$28,0)</f>
        <v>0.316</v>
      </c>
      <c r="G33" s="82">
        <f>SUM(G31:G32)</f>
        <v>326428</v>
      </c>
      <c r="H33" s="83">
        <f>IFERROR(G33/G$28,0)</f>
        <v>0.316</v>
      </c>
      <c r="I33" s="82">
        <f>SUM(I31:I32)</f>
        <v>332956.56</v>
      </c>
      <c r="J33" s="83">
        <f>IFERROR(I33/I$28,0)</f>
        <v>0.316</v>
      </c>
      <c r="K33" s="82">
        <f>SUM(K31:K32)</f>
        <v>339615.6912</v>
      </c>
      <c r="L33" s="83">
        <f>IFERROR(K33/K$28,0)</f>
        <v>0.316</v>
      </c>
      <c r="M33" s="82">
        <f>SUM(M31:M32)</f>
        <v>346408.00502400001</v>
      </c>
      <c r="N33" s="83">
        <f>IFERROR(M33/M$28,0)</f>
        <v>0.316</v>
      </c>
      <c r="O33" s="82">
        <f>SUM(O31:O32)</f>
        <v>353336.16512448003</v>
      </c>
      <c r="P33" s="83">
        <f>IFERROR(O33/O$28,0)</f>
        <v>0.31600000000000006</v>
      </c>
      <c r="Q33" s="82">
        <f>SUM(Q31:Q32)</f>
        <v>360402.88842696964</v>
      </c>
      <c r="R33" s="83">
        <f>IFERROR(Q33/Q$28,0)</f>
        <v>0.316</v>
      </c>
      <c r="S33" s="82">
        <f>SUM(S31:S32)</f>
        <v>367610.94619550905</v>
      </c>
      <c r="T33" s="83">
        <f>IFERROR(S33/S$28,0)</f>
        <v>0.31599999999999995</v>
      </c>
      <c r="U33" s="82">
        <f>SUM(U31:U32)</f>
        <v>374963.16511941922</v>
      </c>
      <c r="V33" s="83">
        <f>IFERROR(U33/U$28,0)</f>
        <v>0.316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/>
      <c r="D36" s="80">
        <f t="shared" ref="D36:D46" si="11">IFERROR(C36/C$28,0)</f>
        <v>0</v>
      </c>
      <c r="E36" s="179"/>
      <c r="F36" s="80">
        <f t="shared" ref="F36:F46" si="12">IFERROR(E36/E$28,0)</f>
        <v>0</v>
      </c>
      <c r="G36" s="179"/>
      <c r="H36" s="80">
        <f t="shared" ref="H36:H46" si="13">IFERROR(G36/G$28,0)</f>
        <v>0</v>
      </c>
      <c r="I36" s="179"/>
      <c r="J36" s="80">
        <f t="shared" ref="J36:J46" si="14">IFERROR(I36/I$28,0)</f>
        <v>0</v>
      </c>
      <c r="K36" s="179"/>
      <c r="L36" s="80">
        <f t="shared" ref="L36:L46" si="15">IFERROR(K36/K$28,0)</f>
        <v>0</v>
      </c>
      <c r="M36" s="179"/>
      <c r="N36" s="80">
        <f t="shared" ref="N36:N46" si="16">IFERROR(M36/M$28,0)</f>
        <v>0</v>
      </c>
      <c r="O36" s="179"/>
      <c r="P36" s="80">
        <f t="shared" ref="P36:P46" si="17">IFERROR(O36/O$28,0)</f>
        <v>0</v>
      </c>
      <c r="Q36" s="179"/>
      <c r="R36" s="80">
        <f t="shared" ref="R36:R46" si="18">IFERROR(Q36/Q$28,0)</f>
        <v>0</v>
      </c>
      <c r="S36" s="179"/>
      <c r="T36" s="80">
        <f t="shared" ref="T36:T46" si="19">IFERROR(S36/S$28,0)</f>
        <v>0</v>
      </c>
      <c r="U36" s="179"/>
      <c r="V36" s="80">
        <f t="shared" ref="V36:V46" si="20">IFERROR(U36/U$28,0)</f>
        <v>0</v>
      </c>
    </row>
    <row r="37" spans="1:22" ht="12.75" customHeight="1">
      <c r="A37" s="2" t="s">
        <v>372</v>
      </c>
      <c r="B37" s="35"/>
      <c r="C37" s="179">
        <v>133163</v>
      </c>
      <c r="D37" s="80">
        <f t="shared" si="11"/>
        <v>0.15515866468679534</v>
      </c>
      <c r="E37" s="179">
        <f>+C37*1.112</f>
        <v>148077.25600000002</v>
      </c>
      <c r="F37" s="80">
        <f t="shared" si="12"/>
        <v>0.15769675825346116</v>
      </c>
      <c r="G37" s="179">
        <f>+E37*1.035</f>
        <v>153259.95996000001</v>
      </c>
      <c r="H37" s="80">
        <f t="shared" si="13"/>
        <v>0.14836394962245886</v>
      </c>
      <c r="I37" s="179">
        <f>+G37*1.032</f>
        <v>158164.27867872</v>
      </c>
      <c r="J37" s="80">
        <f t="shared" si="14"/>
        <v>0.15010940785331131</v>
      </c>
      <c r="K37" s="179">
        <f>+I37*1.025</f>
        <v>162118.38564568799</v>
      </c>
      <c r="L37" s="80">
        <f t="shared" si="15"/>
        <v>0.15084523828396479</v>
      </c>
      <c r="M37" s="179">
        <f>+K37*1.025</f>
        <v>166171.34528683018</v>
      </c>
      <c r="N37" s="80">
        <f t="shared" si="16"/>
        <v>0.15158467572653322</v>
      </c>
      <c r="O37" s="179">
        <f>+M37*1.025</f>
        <v>170325.62891900091</v>
      </c>
      <c r="P37" s="80">
        <f t="shared" si="17"/>
        <v>0.1523277378624476</v>
      </c>
      <c r="Q37" s="179">
        <f>+O37*1.025</f>
        <v>174583.76964197593</v>
      </c>
      <c r="R37" s="80">
        <f t="shared" si="18"/>
        <v>0.15307444245981253</v>
      </c>
      <c r="S37" s="179">
        <f>+Q37*1.025</f>
        <v>178948.3638830253</v>
      </c>
      <c r="T37" s="80">
        <f t="shared" si="19"/>
        <v>0.15382480737383114</v>
      </c>
      <c r="U37" s="179">
        <f>+S37*1.025</f>
        <v>183422.07298010093</v>
      </c>
      <c r="V37" s="80">
        <f t="shared" si="20"/>
        <v>0.1545788505472323</v>
      </c>
    </row>
    <row r="38" spans="1:22" ht="12.75" customHeight="1">
      <c r="A38" s="2" t="s">
        <v>373</v>
      </c>
      <c r="B38" s="35"/>
      <c r="C38" s="179">
        <v>28454</v>
      </c>
      <c r="D38" s="80">
        <f t="shared" si="11"/>
        <v>3.3153989058507805E-2</v>
      </c>
      <c r="E38" s="179">
        <f t="shared" ref="E38:E39" si="21">+C38*1.112</f>
        <v>31640.848000000002</v>
      </c>
      <c r="F38" s="80">
        <f t="shared" si="12"/>
        <v>3.3696323748668801E-2</v>
      </c>
      <c r="G38" s="179">
        <f>+E38*1.035</f>
        <v>32748.277679999999</v>
      </c>
      <c r="H38" s="80">
        <f t="shared" si="13"/>
        <v>3.1702108112294285E-2</v>
      </c>
      <c r="I38" s="179">
        <f>+G38*1.032</f>
        <v>33796.222565759999</v>
      </c>
      <c r="J38" s="80">
        <f t="shared" si="14"/>
        <v>3.2075074090085982E-2</v>
      </c>
      <c r="K38" s="179">
        <f>+I38*1.025</f>
        <v>34641.128129903998</v>
      </c>
      <c r="L38" s="80">
        <f t="shared" si="15"/>
        <v>3.2232304845429542E-2</v>
      </c>
      <c r="M38" s="179">
        <f>+K38*1.025</f>
        <v>35507.156333151594</v>
      </c>
      <c r="N38" s="80">
        <f t="shared" si="16"/>
        <v>3.239030633976988E-2</v>
      </c>
      <c r="O38" s="179">
        <f>+M38*1.025</f>
        <v>36394.835241480381</v>
      </c>
      <c r="P38" s="80">
        <f t="shared" si="17"/>
        <v>3.2549082351239343E-2</v>
      </c>
      <c r="Q38" s="179">
        <f>+O38*1.025</f>
        <v>37304.706122517389</v>
      </c>
      <c r="R38" s="80">
        <f t="shared" si="18"/>
        <v>3.2708636676490509E-2</v>
      </c>
      <c r="S38" s="179">
        <f>+Q38*1.025</f>
        <v>38237.32377558032</v>
      </c>
      <c r="T38" s="80">
        <f t="shared" si="19"/>
        <v>3.2868973130787016E-2</v>
      </c>
      <c r="U38" s="179">
        <f>+S38*1.025</f>
        <v>39193.256869969824</v>
      </c>
      <c r="V38" s="80">
        <f t="shared" si="20"/>
        <v>3.3030095548094801E-2</v>
      </c>
    </row>
    <row r="39" spans="1:22" ht="12.75" customHeight="1">
      <c r="A39" s="2" t="s">
        <v>374</v>
      </c>
      <c r="B39" s="35"/>
      <c r="C39" s="179">
        <v>102465</v>
      </c>
      <c r="D39" s="80">
        <f t="shared" si="11"/>
        <v>0.11939001507274907</v>
      </c>
      <c r="E39" s="179">
        <f t="shared" si="21"/>
        <v>113941.08000000002</v>
      </c>
      <c r="F39" s="80">
        <f t="shared" si="12"/>
        <v>0.12134300319488819</v>
      </c>
      <c r="G39" s="179">
        <f>+E39*1.035</f>
        <v>117929.0178</v>
      </c>
      <c r="H39" s="80">
        <f t="shared" si="13"/>
        <v>0.11416168228460793</v>
      </c>
      <c r="I39" s="179">
        <f>+G39*1.032</f>
        <v>121702.7463696</v>
      </c>
      <c r="J39" s="80">
        <f t="shared" si="14"/>
        <v>0.11550476089972098</v>
      </c>
      <c r="K39" s="179">
        <f>+I39*1.025</f>
        <v>124745.31502883999</v>
      </c>
      <c r="L39" s="80">
        <f t="shared" si="15"/>
        <v>0.11607096070805294</v>
      </c>
      <c r="M39" s="179">
        <f>+K39*1.025</f>
        <v>127863.94790456098</v>
      </c>
      <c r="N39" s="80">
        <f t="shared" si="16"/>
        <v>0.1166399360056414</v>
      </c>
      <c r="O39" s="179">
        <f>+M39*1.025</f>
        <v>131060.54660217499</v>
      </c>
      <c r="P39" s="80">
        <f t="shared" si="17"/>
        <v>0.11721170039782593</v>
      </c>
      <c r="Q39" s="179">
        <f>+O39*1.025</f>
        <v>134337.06026722936</v>
      </c>
      <c r="R39" s="80">
        <f t="shared" si="18"/>
        <v>0.11778626755663878</v>
      </c>
      <c r="S39" s="179">
        <f>+Q39*1.025</f>
        <v>137695.48677391009</v>
      </c>
      <c r="T39" s="80">
        <f t="shared" si="19"/>
        <v>0.11836365122113207</v>
      </c>
      <c r="U39" s="179">
        <f>+S39*1.025</f>
        <v>141137.87394325781</v>
      </c>
      <c r="V39" s="80">
        <f t="shared" si="20"/>
        <v>0.11894386519770624</v>
      </c>
    </row>
    <row r="40" spans="1:22" ht="12.75" customHeight="1">
      <c r="A40" s="2" t="s">
        <v>375</v>
      </c>
      <c r="B40" s="35"/>
      <c r="C40" s="179">
        <f>C36*0.124</f>
        <v>0</v>
      </c>
      <c r="D40" s="80">
        <f t="shared" si="11"/>
        <v>0</v>
      </c>
      <c r="E40" s="179">
        <f>E36*0.124</f>
        <v>0</v>
      </c>
      <c r="F40" s="80">
        <f t="shared" si="12"/>
        <v>0</v>
      </c>
      <c r="G40" s="179">
        <f>G36*0.124</f>
        <v>0</v>
      </c>
      <c r="H40" s="80">
        <f t="shared" si="13"/>
        <v>0</v>
      </c>
      <c r="I40" s="179">
        <f>I36*0.124</f>
        <v>0</v>
      </c>
      <c r="J40" s="80">
        <f t="shared" si="14"/>
        <v>0</v>
      </c>
      <c r="K40" s="179">
        <f>K36*0.124</f>
        <v>0</v>
      </c>
      <c r="L40" s="80">
        <f t="shared" si="15"/>
        <v>0</v>
      </c>
      <c r="M40" s="179">
        <f>M36*0.124</f>
        <v>0</v>
      </c>
      <c r="N40" s="80">
        <f t="shared" si="16"/>
        <v>0</v>
      </c>
      <c r="O40" s="179">
        <f>O36*0.124</f>
        <v>0</v>
      </c>
      <c r="P40" s="80">
        <f t="shared" si="17"/>
        <v>0</v>
      </c>
      <c r="Q40" s="179">
        <f>Q36*0.124</f>
        <v>0</v>
      </c>
      <c r="R40" s="80">
        <f t="shared" si="18"/>
        <v>0</v>
      </c>
      <c r="S40" s="179">
        <f>S36*0.124</f>
        <v>0</v>
      </c>
      <c r="T40" s="80">
        <f t="shared" si="19"/>
        <v>0</v>
      </c>
      <c r="U40" s="179">
        <f>U36*0.124</f>
        <v>0</v>
      </c>
      <c r="V40" s="80">
        <f t="shared" si="20"/>
        <v>0</v>
      </c>
    </row>
    <row r="41" spans="1:22" ht="12.75" customHeight="1">
      <c r="A41" s="2" t="s">
        <v>376</v>
      </c>
      <c r="B41" s="35"/>
      <c r="C41" s="179">
        <f>C37*0.124</f>
        <v>16512.212</v>
      </c>
      <c r="D41" s="80">
        <f t="shared" si="11"/>
        <v>1.923967442116262E-2</v>
      </c>
      <c r="E41" s="179">
        <f>E37*0.124</f>
        <v>18361.579744000002</v>
      </c>
      <c r="F41" s="80">
        <f t="shared" si="12"/>
        <v>1.9554398023429183E-2</v>
      </c>
      <c r="G41" s="179">
        <f>G37*0.124</f>
        <v>19004.235035040001</v>
      </c>
      <c r="H41" s="80">
        <f t="shared" si="13"/>
        <v>1.8397129753184898E-2</v>
      </c>
      <c r="I41" s="179">
        <f>I37*0.124</f>
        <v>19612.370556161281</v>
      </c>
      <c r="J41" s="80">
        <f t="shared" si="14"/>
        <v>1.8613566573810605E-2</v>
      </c>
      <c r="K41" s="179">
        <f>K37*0.124</f>
        <v>20102.67982006531</v>
      </c>
      <c r="L41" s="80">
        <f t="shared" si="15"/>
        <v>1.8704809547211633E-2</v>
      </c>
      <c r="M41" s="179">
        <f>M37*0.124</f>
        <v>20605.246815566941</v>
      </c>
      <c r="N41" s="80">
        <f t="shared" si="16"/>
        <v>1.879649979009012E-2</v>
      </c>
      <c r="O41" s="179">
        <f>O37*0.124</f>
        <v>21120.377985956115</v>
      </c>
      <c r="P41" s="80">
        <f t="shared" si="17"/>
        <v>1.8888639494943505E-2</v>
      </c>
      <c r="Q41" s="179">
        <f>Q37*0.124</f>
        <v>21648.387435605015</v>
      </c>
      <c r="R41" s="80">
        <f t="shared" si="18"/>
        <v>1.8981230865016751E-2</v>
      </c>
      <c r="S41" s="179">
        <f>S37*0.124</f>
        <v>22189.597121495139</v>
      </c>
      <c r="T41" s="80">
        <f t="shared" si="19"/>
        <v>1.9074276114355065E-2</v>
      </c>
      <c r="U41" s="179">
        <f>U37*0.124</f>
        <v>22744.337049532514</v>
      </c>
      <c r="V41" s="80">
        <f t="shared" si="20"/>
        <v>1.9167777467856806E-2</v>
      </c>
    </row>
    <row r="42" spans="1:22" ht="12.75" customHeight="1">
      <c r="A42" s="2" t="s">
        <v>377</v>
      </c>
      <c r="B42" s="35"/>
      <c r="C42" s="179"/>
      <c r="D42" s="80">
        <f t="shared" si="11"/>
        <v>0</v>
      </c>
      <c r="E42" s="179"/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79"/>
      <c r="D43" s="80">
        <f t="shared" si="11"/>
        <v>0</v>
      </c>
      <c r="E43" s="179"/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79"/>
      <c r="D44" s="80">
        <f t="shared" si="11"/>
        <v>0</v>
      </c>
      <c r="E44" s="179"/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82">
        <f>SUM(C36:C39)*0.094</f>
        <v>24823.707999999999</v>
      </c>
      <c r="D45" s="80">
        <f t="shared" si="11"/>
        <v>2.8924050868896906E-2</v>
      </c>
      <c r="E45" s="182">
        <f>SUM(E36:E39)*0.094</f>
        <v>27603.963296000002</v>
      </c>
      <c r="F45" s="80">
        <f t="shared" si="12"/>
        <v>2.9397192008519705E-2</v>
      </c>
      <c r="G45" s="182">
        <f>SUM(G36:G39)*0.094</f>
        <v>28570.102011359999</v>
      </c>
      <c r="H45" s="80">
        <f t="shared" si="13"/>
        <v>2.765740756181994E-2</v>
      </c>
      <c r="I45" s="182">
        <f>SUM(I36:I39)*0.094</f>
        <v>29484.345275723517</v>
      </c>
      <c r="J45" s="80">
        <f t="shared" si="14"/>
        <v>2.7982788827253115E-2</v>
      </c>
      <c r="K45" s="182">
        <f>SUM(K36:K39)*0.094</f>
        <v>30221.453907616604</v>
      </c>
      <c r="L45" s="80">
        <f t="shared" si="15"/>
        <v>2.8119959360720041E-2</v>
      </c>
      <c r="M45" s="182">
        <f>SUM(M36:M39)*0.094</f>
        <v>30976.990255307021</v>
      </c>
      <c r="N45" s="80">
        <f t="shared" si="16"/>
        <v>2.8257802298762787E-2</v>
      </c>
      <c r="O45" s="182">
        <f>SUM(O36:O39)*0.094</f>
        <v>31751.415011689689</v>
      </c>
      <c r="P45" s="80">
        <f t="shared" si="17"/>
        <v>2.8396320937482209E-2</v>
      </c>
      <c r="Q45" s="182">
        <f>SUM(Q36:Q39)*0.094</f>
        <v>32545.200386981931</v>
      </c>
      <c r="R45" s="80">
        <f t="shared" si="18"/>
        <v>2.8535518589136531E-2</v>
      </c>
      <c r="S45" s="182">
        <f>SUM(S36:S39)*0.094</f>
        <v>33358.830396656478</v>
      </c>
      <c r="T45" s="80">
        <f t="shared" si="19"/>
        <v>2.8675398582220523E-2</v>
      </c>
      <c r="U45" s="182">
        <f>SUM(U36:U39)*0.094</f>
        <v>34192.801156572888</v>
      </c>
      <c r="V45" s="80">
        <f t="shared" si="20"/>
        <v>2.8815964261545136E-2</v>
      </c>
    </row>
    <row r="46" spans="1:22" ht="12.75" customHeight="1">
      <c r="A46" s="1" t="s">
        <v>381</v>
      </c>
      <c r="B46" s="53"/>
      <c r="C46" s="82">
        <f>SUM(C36:C45)</f>
        <v>305417.92</v>
      </c>
      <c r="D46" s="83">
        <f t="shared" si="11"/>
        <v>0.35586639410811172</v>
      </c>
      <c r="E46" s="82">
        <f>SUM(E36:E45)</f>
        <v>339624.72704000003</v>
      </c>
      <c r="F46" s="83">
        <f t="shared" si="12"/>
        <v>0.361687675228967</v>
      </c>
      <c r="G46" s="82">
        <f>SUM(G36:G45)</f>
        <v>351511.59248639998</v>
      </c>
      <c r="H46" s="83">
        <f t="shared" si="13"/>
        <v>0.34028227733436589</v>
      </c>
      <c r="I46" s="82">
        <f>SUM(I36:I45)</f>
        <v>362759.96344596474</v>
      </c>
      <c r="J46" s="83">
        <f t="shared" si="14"/>
        <v>0.34428559824418192</v>
      </c>
      <c r="K46" s="82">
        <f>SUM(K36:K45)</f>
        <v>371828.96253211389</v>
      </c>
      <c r="L46" s="83">
        <f t="shared" si="15"/>
        <v>0.34597327274537892</v>
      </c>
      <c r="M46" s="82">
        <f>SUM(M36:M45)</f>
        <v>381124.68659541674</v>
      </c>
      <c r="N46" s="83">
        <f t="shared" si="16"/>
        <v>0.34766922016079743</v>
      </c>
      <c r="O46" s="82">
        <f>SUM(O36:O45)</f>
        <v>390652.80376030208</v>
      </c>
      <c r="P46" s="83">
        <f t="shared" si="17"/>
        <v>0.34937348104393862</v>
      </c>
      <c r="Q46" s="82">
        <f>SUM(Q36:Q45)</f>
        <v>400419.12385430961</v>
      </c>
      <c r="R46" s="83">
        <f t="shared" si="18"/>
        <v>0.35108609614709507</v>
      </c>
      <c r="S46" s="82">
        <f>SUM(S36:S45)</f>
        <v>410429.60195066733</v>
      </c>
      <c r="T46" s="83">
        <f t="shared" si="19"/>
        <v>0.35280710642232582</v>
      </c>
      <c r="U46" s="82">
        <f>SUM(U36:U45)</f>
        <v>420690.34199943399</v>
      </c>
      <c r="V46" s="83">
        <f t="shared" si="20"/>
        <v>0.35453655302243531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2">IFERROR(C52/C$28,0)</f>
        <v>0</v>
      </c>
      <c r="E52" s="179">
        <v>0</v>
      </c>
      <c r="F52" s="80">
        <f t="shared" ref="F52:F104" si="23">IFERROR(E52/E$28,0)</f>
        <v>0</v>
      </c>
      <c r="G52" s="179">
        <v>0</v>
      </c>
      <c r="H52" s="80">
        <f t="shared" ref="H52:H104" si="24">IFERROR(G52/G$28,0)</f>
        <v>0</v>
      </c>
      <c r="I52" s="179">
        <v>0</v>
      </c>
      <c r="J52" s="80">
        <f t="shared" ref="J52:J104" si="25">IFERROR(I52/I$28,0)</f>
        <v>0</v>
      </c>
      <c r="K52" s="179">
        <v>0</v>
      </c>
      <c r="L52" s="80">
        <f t="shared" ref="L52:L104" si="26">IFERROR(K52/K$28,0)</f>
        <v>0</v>
      </c>
      <c r="M52" s="179">
        <v>0</v>
      </c>
      <c r="N52" s="80">
        <f t="shared" ref="N52:N104" si="27">IFERROR(M52/M$28,0)</f>
        <v>0</v>
      </c>
      <c r="O52" s="179">
        <v>0</v>
      </c>
      <c r="P52" s="80">
        <f t="shared" ref="P52:P104" si="28">IFERROR(O52/O$28,0)</f>
        <v>0</v>
      </c>
      <c r="Q52" s="179">
        <v>0</v>
      </c>
      <c r="R52" s="80">
        <f t="shared" ref="R52:R104" si="29">IFERROR(Q52/Q$28,0)</f>
        <v>0</v>
      </c>
      <c r="S52" s="179">
        <v>0</v>
      </c>
      <c r="T52" s="80">
        <f t="shared" ref="T52:T104" si="30">IFERROR(S52/S$28,0)</f>
        <v>0</v>
      </c>
      <c r="U52" s="179">
        <v>0</v>
      </c>
      <c r="V52" s="80">
        <f t="shared" ref="V52:V105" si="31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2"/>
        <v>0</v>
      </c>
      <c r="E53" s="179">
        <v>0</v>
      </c>
      <c r="F53" s="80">
        <f t="shared" si="23"/>
        <v>0</v>
      </c>
      <c r="G53" s="179">
        <v>0</v>
      </c>
      <c r="H53" s="80">
        <f t="shared" si="24"/>
        <v>0</v>
      </c>
      <c r="I53" s="179">
        <v>0</v>
      </c>
      <c r="J53" s="80">
        <f t="shared" si="25"/>
        <v>0</v>
      </c>
      <c r="K53" s="179">
        <v>0</v>
      </c>
      <c r="L53" s="80">
        <f t="shared" si="26"/>
        <v>0</v>
      </c>
      <c r="M53" s="179">
        <v>0</v>
      </c>
      <c r="N53" s="80">
        <f t="shared" si="27"/>
        <v>0</v>
      </c>
      <c r="O53" s="179">
        <v>0</v>
      </c>
      <c r="P53" s="80">
        <f t="shared" si="28"/>
        <v>0</v>
      </c>
      <c r="Q53" s="179">
        <v>0</v>
      </c>
      <c r="R53" s="80">
        <f t="shared" si="29"/>
        <v>0</v>
      </c>
      <c r="S53" s="179">
        <v>0</v>
      </c>
      <c r="T53" s="80">
        <f t="shared" si="30"/>
        <v>0</v>
      </c>
      <c r="U53" s="179">
        <v>0</v>
      </c>
      <c r="V53" s="80">
        <f t="shared" si="31"/>
        <v>0</v>
      </c>
      <c r="X53" s="200"/>
    </row>
    <row r="54" spans="1:24" ht="12.75" customHeight="1">
      <c r="A54" s="2" t="s">
        <v>385</v>
      </c>
      <c r="B54" s="35"/>
      <c r="C54" s="179">
        <v>600.76632000000006</v>
      </c>
      <c r="D54" s="80">
        <f t="shared" si="22"/>
        <v>6.9999999999999999E-4</v>
      </c>
      <c r="E54" s="179">
        <v>657.3</v>
      </c>
      <c r="F54" s="80">
        <f t="shared" si="23"/>
        <v>6.9999999999999999E-4</v>
      </c>
      <c r="G54" s="179">
        <v>723.1</v>
      </c>
      <c r="H54" s="80">
        <f t="shared" si="24"/>
        <v>6.9999999999999999E-4</v>
      </c>
      <c r="I54" s="179">
        <v>737.5619999999999</v>
      </c>
      <c r="J54" s="80">
        <f t="shared" si="25"/>
        <v>6.9999999999999988E-4</v>
      </c>
      <c r="K54" s="179">
        <v>752.31323999999995</v>
      </c>
      <c r="L54" s="80">
        <f t="shared" si="26"/>
        <v>6.9999999999999999E-4</v>
      </c>
      <c r="M54" s="179">
        <v>767.35950480000008</v>
      </c>
      <c r="N54" s="80">
        <f t="shared" si="27"/>
        <v>6.9999999999999999E-4</v>
      </c>
      <c r="O54" s="179">
        <v>782.70669489599993</v>
      </c>
      <c r="P54" s="80">
        <f t="shared" si="28"/>
        <v>6.9999999999999999E-4</v>
      </c>
      <c r="Q54" s="179">
        <v>798.36082879391995</v>
      </c>
      <c r="R54" s="80">
        <f t="shared" si="29"/>
        <v>6.9999999999999988E-4</v>
      </c>
      <c r="S54" s="179">
        <v>814.3280453697987</v>
      </c>
      <c r="T54" s="80">
        <f t="shared" si="30"/>
        <v>6.9999999999999999E-4</v>
      </c>
      <c r="U54" s="179">
        <v>830.61460627719453</v>
      </c>
      <c r="V54" s="80">
        <f t="shared" si="31"/>
        <v>6.9999999999999999E-4</v>
      </c>
      <c r="X54" s="200"/>
    </row>
    <row r="55" spans="1:24" ht="12.75" customHeight="1">
      <c r="A55" s="2" t="s">
        <v>386</v>
      </c>
      <c r="B55" s="35"/>
      <c r="C55" s="179">
        <v>85823.760000000009</v>
      </c>
      <c r="D55" s="80">
        <f t="shared" si="22"/>
        <v>0.1</v>
      </c>
      <c r="E55" s="179">
        <v>93900</v>
      </c>
      <c r="F55" s="80">
        <f t="shared" si="23"/>
        <v>0.1</v>
      </c>
      <c r="G55" s="179">
        <v>103300</v>
      </c>
      <c r="H55" s="80">
        <f t="shared" si="24"/>
        <v>0.1</v>
      </c>
      <c r="I55" s="179">
        <v>105366</v>
      </c>
      <c r="J55" s="80">
        <f t="shared" si="25"/>
        <v>0.1</v>
      </c>
      <c r="K55" s="179">
        <v>107473.32</v>
      </c>
      <c r="L55" s="80">
        <f t="shared" si="26"/>
        <v>0.1</v>
      </c>
      <c r="M55" s="179">
        <v>109622.78640000001</v>
      </c>
      <c r="N55" s="80">
        <f t="shared" si="27"/>
        <v>0.1</v>
      </c>
      <c r="O55" s="179">
        <v>111815.242128</v>
      </c>
      <c r="P55" s="80">
        <f t="shared" si="28"/>
        <v>0.1</v>
      </c>
      <c r="Q55" s="179">
        <v>114051.54697056001</v>
      </c>
      <c r="R55" s="80">
        <f t="shared" si="29"/>
        <v>0.1</v>
      </c>
      <c r="S55" s="179">
        <v>116332.57790997124</v>
      </c>
      <c r="T55" s="80">
        <f t="shared" si="30"/>
        <v>0.1</v>
      </c>
      <c r="U55" s="179">
        <v>118659.22946817066</v>
      </c>
      <c r="V55" s="80">
        <f t="shared" si="31"/>
        <v>0.1</v>
      </c>
      <c r="X55" s="200"/>
    </row>
    <row r="56" spans="1:24" ht="12.75" customHeight="1">
      <c r="A56" s="2" t="s">
        <v>387</v>
      </c>
      <c r="B56" s="35"/>
      <c r="C56" s="179">
        <v>437.70117600000015</v>
      </c>
      <c r="D56" s="80">
        <f t="shared" si="22"/>
        <v>5.1000000000000015E-4</v>
      </c>
      <c r="E56" s="179">
        <v>478.89000000000004</v>
      </c>
      <c r="F56" s="80">
        <f t="shared" si="23"/>
        <v>5.1000000000000004E-4</v>
      </c>
      <c r="G56" s="179">
        <v>526.83000000000004</v>
      </c>
      <c r="H56" s="80">
        <f t="shared" si="24"/>
        <v>5.1000000000000004E-4</v>
      </c>
      <c r="I56" s="179">
        <v>537.36660000000006</v>
      </c>
      <c r="J56" s="80">
        <f t="shared" si="25"/>
        <v>5.1000000000000004E-4</v>
      </c>
      <c r="K56" s="179">
        <v>548.11393199999998</v>
      </c>
      <c r="L56" s="80">
        <f t="shared" si="26"/>
        <v>5.1000000000000004E-4</v>
      </c>
      <c r="M56" s="179">
        <v>559.07621064</v>
      </c>
      <c r="N56" s="80">
        <f t="shared" si="27"/>
        <v>5.0999999999999993E-4</v>
      </c>
      <c r="O56" s="179">
        <v>570.25773485280001</v>
      </c>
      <c r="P56" s="80">
        <f t="shared" si="28"/>
        <v>5.1000000000000004E-4</v>
      </c>
      <c r="Q56" s="179">
        <v>581.662889549856</v>
      </c>
      <c r="R56" s="80">
        <f t="shared" si="29"/>
        <v>5.0999999999999993E-4</v>
      </c>
      <c r="S56" s="179">
        <v>593.29614734085339</v>
      </c>
      <c r="T56" s="80">
        <f t="shared" si="30"/>
        <v>5.1000000000000004E-4</v>
      </c>
      <c r="U56" s="179">
        <v>605.1620702876703</v>
      </c>
      <c r="V56" s="80">
        <f t="shared" si="31"/>
        <v>5.1000000000000004E-4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2"/>
        <v>0</v>
      </c>
      <c r="E57" s="179">
        <v>0</v>
      </c>
      <c r="F57" s="80">
        <f t="shared" si="23"/>
        <v>0</v>
      </c>
      <c r="G57" s="179">
        <v>0</v>
      </c>
      <c r="H57" s="80">
        <f t="shared" si="24"/>
        <v>0</v>
      </c>
      <c r="I57" s="179">
        <v>0</v>
      </c>
      <c r="J57" s="80">
        <f t="shared" si="25"/>
        <v>0</v>
      </c>
      <c r="K57" s="179">
        <v>0</v>
      </c>
      <c r="L57" s="80">
        <f t="shared" si="26"/>
        <v>0</v>
      </c>
      <c r="M57" s="179">
        <v>0</v>
      </c>
      <c r="N57" s="80">
        <f t="shared" si="27"/>
        <v>0</v>
      </c>
      <c r="O57" s="179">
        <v>0</v>
      </c>
      <c r="P57" s="80">
        <f t="shared" si="28"/>
        <v>0</v>
      </c>
      <c r="Q57" s="179">
        <v>0</v>
      </c>
      <c r="R57" s="80">
        <f t="shared" si="29"/>
        <v>0</v>
      </c>
      <c r="S57" s="179">
        <v>0</v>
      </c>
      <c r="T57" s="80">
        <f t="shared" si="30"/>
        <v>0</v>
      </c>
      <c r="U57" s="179">
        <v>0</v>
      </c>
      <c r="V57" s="80">
        <f t="shared" si="31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2"/>
        <v>0</v>
      </c>
      <c r="E58" s="179">
        <v>0</v>
      </c>
      <c r="F58" s="80">
        <f t="shared" si="23"/>
        <v>0</v>
      </c>
      <c r="G58" s="179">
        <v>0</v>
      </c>
      <c r="H58" s="80">
        <f t="shared" si="24"/>
        <v>0</v>
      </c>
      <c r="I58" s="179">
        <v>0</v>
      </c>
      <c r="J58" s="80">
        <f t="shared" si="25"/>
        <v>0</v>
      </c>
      <c r="K58" s="179">
        <v>0</v>
      </c>
      <c r="L58" s="80">
        <f t="shared" si="26"/>
        <v>0</v>
      </c>
      <c r="M58" s="179">
        <v>0</v>
      </c>
      <c r="N58" s="80">
        <f t="shared" si="27"/>
        <v>0</v>
      </c>
      <c r="O58" s="179">
        <v>0</v>
      </c>
      <c r="P58" s="80">
        <f t="shared" si="28"/>
        <v>0</v>
      </c>
      <c r="Q58" s="179">
        <v>0</v>
      </c>
      <c r="R58" s="80">
        <f t="shared" si="29"/>
        <v>0</v>
      </c>
      <c r="S58" s="179">
        <v>0</v>
      </c>
      <c r="T58" s="80">
        <f t="shared" si="30"/>
        <v>0</v>
      </c>
      <c r="U58" s="179">
        <v>0</v>
      </c>
      <c r="V58" s="80">
        <f t="shared" si="31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2"/>
        <v>0</v>
      </c>
      <c r="E59" s="179">
        <v>0</v>
      </c>
      <c r="F59" s="80">
        <f t="shared" si="23"/>
        <v>0</v>
      </c>
      <c r="G59" s="179">
        <v>0</v>
      </c>
      <c r="H59" s="80">
        <f t="shared" si="24"/>
        <v>0</v>
      </c>
      <c r="I59" s="179">
        <v>0</v>
      </c>
      <c r="J59" s="80">
        <f t="shared" si="25"/>
        <v>0</v>
      </c>
      <c r="K59" s="179">
        <v>0</v>
      </c>
      <c r="L59" s="80">
        <f t="shared" si="26"/>
        <v>0</v>
      </c>
      <c r="M59" s="179">
        <v>0</v>
      </c>
      <c r="N59" s="80">
        <f t="shared" si="27"/>
        <v>0</v>
      </c>
      <c r="O59" s="179">
        <v>0</v>
      </c>
      <c r="P59" s="80">
        <f t="shared" si="28"/>
        <v>0</v>
      </c>
      <c r="Q59" s="179">
        <v>0</v>
      </c>
      <c r="R59" s="80">
        <f t="shared" si="29"/>
        <v>0</v>
      </c>
      <c r="S59" s="179">
        <v>0</v>
      </c>
      <c r="T59" s="80">
        <f t="shared" si="30"/>
        <v>0</v>
      </c>
      <c r="U59" s="179">
        <v>0</v>
      </c>
      <c r="V59" s="80">
        <f t="shared" si="31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2"/>
        <v>0</v>
      </c>
      <c r="E60" s="179">
        <v>0</v>
      </c>
      <c r="F60" s="80">
        <f t="shared" si="23"/>
        <v>0</v>
      </c>
      <c r="G60" s="179">
        <v>0</v>
      </c>
      <c r="H60" s="80">
        <f t="shared" si="24"/>
        <v>0</v>
      </c>
      <c r="I60" s="179">
        <v>0</v>
      </c>
      <c r="J60" s="80">
        <f t="shared" si="25"/>
        <v>0</v>
      </c>
      <c r="K60" s="179">
        <v>0</v>
      </c>
      <c r="L60" s="80">
        <f t="shared" si="26"/>
        <v>0</v>
      </c>
      <c r="M60" s="179">
        <v>0</v>
      </c>
      <c r="N60" s="80">
        <f t="shared" si="27"/>
        <v>0</v>
      </c>
      <c r="O60" s="179">
        <v>0</v>
      </c>
      <c r="P60" s="80">
        <f t="shared" si="28"/>
        <v>0</v>
      </c>
      <c r="Q60" s="179">
        <v>0</v>
      </c>
      <c r="R60" s="80">
        <f t="shared" si="29"/>
        <v>0</v>
      </c>
      <c r="S60" s="179">
        <v>0</v>
      </c>
      <c r="T60" s="80">
        <f t="shared" si="30"/>
        <v>0</v>
      </c>
      <c r="U60" s="179">
        <v>0</v>
      </c>
      <c r="V60" s="80">
        <f t="shared" si="31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2"/>
        <v>0</v>
      </c>
      <c r="E61" s="179">
        <v>0</v>
      </c>
      <c r="F61" s="80">
        <f t="shared" si="23"/>
        <v>0</v>
      </c>
      <c r="G61" s="179">
        <v>0</v>
      </c>
      <c r="H61" s="80">
        <f t="shared" si="24"/>
        <v>0</v>
      </c>
      <c r="I61" s="179">
        <v>0</v>
      </c>
      <c r="J61" s="80">
        <f t="shared" si="25"/>
        <v>0</v>
      </c>
      <c r="K61" s="179">
        <v>0</v>
      </c>
      <c r="L61" s="80">
        <f t="shared" si="26"/>
        <v>0</v>
      </c>
      <c r="M61" s="179">
        <v>0</v>
      </c>
      <c r="N61" s="80">
        <f t="shared" si="27"/>
        <v>0</v>
      </c>
      <c r="O61" s="179">
        <v>0</v>
      </c>
      <c r="P61" s="80">
        <f t="shared" si="28"/>
        <v>0</v>
      </c>
      <c r="Q61" s="179">
        <v>0</v>
      </c>
      <c r="R61" s="80">
        <f t="shared" si="29"/>
        <v>0</v>
      </c>
      <c r="S61" s="179">
        <v>0</v>
      </c>
      <c r="T61" s="80">
        <f t="shared" si="30"/>
        <v>0</v>
      </c>
      <c r="U61" s="179">
        <v>0</v>
      </c>
      <c r="V61" s="80">
        <f t="shared" si="31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2"/>
        <v>0</v>
      </c>
      <c r="E62" s="179">
        <v>0</v>
      </c>
      <c r="F62" s="80">
        <f t="shared" si="23"/>
        <v>0</v>
      </c>
      <c r="G62" s="179">
        <v>0</v>
      </c>
      <c r="H62" s="80">
        <f t="shared" si="24"/>
        <v>0</v>
      </c>
      <c r="I62" s="179">
        <v>0</v>
      </c>
      <c r="J62" s="80">
        <f t="shared" si="25"/>
        <v>0</v>
      </c>
      <c r="K62" s="179">
        <v>0</v>
      </c>
      <c r="L62" s="80">
        <f t="shared" si="26"/>
        <v>0</v>
      </c>
      <c r="M62" s="179">
        <v>0</v>
      </c>
      <c r="N62" s="80">
        <f t="shared" si="27"/>
        <v>0</v>
      </c>
      <c r="O62" s="179">
        <v>0</v>
      </c>
      <c r="P62" s="80">
        <f t="shared" si="28"/>
        <v>0</v>
      </c>
      <c r="Q62" s="179">
        <v>0</v>
      </c>
      <c r="R62" s="80">
        <f t="shared" si="29"/>
        <v>0</v>
      </c>
      <c r="S62" s="179">
        <v>0</v>
      </c>
      <c r="T62" s="80">
        <f t="shared" si="30"/>
        <v>0</v>
      </c>
      <c r="U62" s="179">
        <v>0</v>
      </c>
      <c r="V62" s="80">
        <f t="shared" si="31"/>
        <v>0</v>
      </c>
      <c r="X62" s="200"/>
    </row>
    <row r="63" spans="1:24" ht="12.75" customHeight="1">
      <c r="A63" s="2" t="s">
        <v>394</v>
      </c>
      <c r="B63" s="35"/>
      <c r="C63" s="179">
        <v>11777.110151875331</v>
      </c>
      <c r="D63" s="80">
        <f t="shared" si="22"/>
        <v>1.3722435549171149E-2</v>
      </c>
      <c r="E63" s="179">
        <v>7284.1239061450833</v>
      </c>
      <c r="F63" s="80">
        <f t="shared" si="23"/>
        <v>7.7573204538286299E-3</v>
      </c>
      <c r="G63" s="179">
        <v>9196.329419605132</v>
      </c>
      <c r="H63" s="80">
        <f t="shared" si="24"/>
        <v>8.9025454207213289E-3</v>
      </c>
      <c r="I63" s="179">
        <v>9298.1914137077656</v>
      </c>
      <c r="J63" s="80">
        <f t="shared" si="25"/>
        <v>8.8246601500557732E-3</v>
      </c>
      <c r="K63" s="179">
        <v>9374.9328169474538</v>
      </c>
      <c r="L63" s="80">
        <f t="shared" si="26"/>
        <v>8.723032671687685E-3</v>
      </c>
      <c r="M63" s="179">
        <v>9542.3312509217321</v>
      </c>
      <c r="N63" s="80">
        <f t="shared" si="27"/>
        <v>8.7046968648497435E-3</v>
      </c>
      <c r="O63" s="179">
        <v>9713.2555428751621</v>
      </c>
      <c r="P63" s="80">
        <f t="shared" si="28"/>
        <v>8.6868796758101698E-3</v>
      </c>
      <c r="Q63" s="179">
        <v>9887.4389553115961</v>
      </c>
      <c r="R63" s="80">
        <f t="shared" si="29"/>
        <v>8.669272112428102E-3</v>
      </c>
      <c r="S63" s="179">
        <v>10064.617132268711</v>
      </c>
      <c r="T63" s="80">
        <f t="shared" si="30"/>
        <v>8.6515895315735468E-3</v>
      </c>
      <c r="U63" s="179">
        <v>10636.795737277382</v>
      </c>
      <c r="V63" s="80">
        <f t="shared" si="31"/>
        <v>8.9641537240308933E-3</v>
      </c>
      <c r="X63" s="200"/>
    </row>
    <row r="64" spans="1:24" ht="12.75" customHeight="1">
      <c r="A64" s="2" t="s">
        <v>395</v>
      </c>
      <c r="B64" s="35"/>
      <c r="C64" s="179">
        <v>4119.5404800000006</v>
      </c>
      <c r="D64" s="80">
        <f t="shared" si="22"/>
        <v>4.8000000000000004E-3</v>
      </c>
      <c r="E64" s="179">
        <v>4507.1999999999989</v>
      </c>
      <c r="F64" s="80">
        <f t="shared" si="23"/>
        <v>4.7999999999999987E-3</v>
      </c>
      <c r="G64" s="179">
        <v>4958.3999999999996</v>
      </c>
      <c r="H64" s="80">
        <f t="shared" si="24"/>
        <v>4.7999999999999996E-3</v>
      </c>
      <c r="I64" s="179">
        <v>5057.5679999999993</v>
      </c>
      <c r="J64" s="80">
        <f t="shared" si="25"/>
        <v>4.7999999999999996E-3</v>
      </c>
      <c r="K64" s="179">
        <v>5158.7193599999991</v>
      </c>
      <c r="L64" s="80">
        <f t="shared" si="26"/>
        <v>4.7999999999999996E-3</v>
      </c>
      <c r="M64" s="179">
        <v>5261.8937471999998</v>
      </c>
      <c r="N64" s="80">
        <f t="shared" si="27"/>
        <v>4.7999999999999996E-3</v>
      </c>
      <c r="O64" s="179">
        <v>5367.1316221439993</v>
      </c>
      <c r="P64" s="80">
        <f t="shared" si="28"/>
        <v>4.7999999999999996E-3</v>
      </c>
      <c r="Q64" s="179">
        <v>5474.4742545868785</v>
      </c>
      <c r="R64" s="80">
        <f t="shared" si="29"/>
        <v>4.7999999999999987E-3</v>
      </c>
      <c r="S64" s="179">
        <v>5583.9637396786193</v>
      </c>
      <c r="T64" s="80">
        <f t="shared" si="30"/>
        <v>4.7999999999999996E-3</v>
      </c>
      <c r="U64" s="179">
        <v>5695.6430144721908</v>
      </c>
      <c r="V64" s="80">
        <f t="shared" si="31"/>
        <v>4.7999999999999996E-3</v>
      </c>
      <c r="X64" s="200"/>
    </row>
    <row r="65" spans="1:24" ht="12.75" customHeight="1">
      <c r="A65" s="2" t="s">
        <v>396</v>
      </c>
      <c r="B65" s="35"/>
      <c r="C65" s="179">
        <v>429.11880000000008</v>
      </c>
      <c r="D65" s="80">
        <f t="shared" si="22"/>
        <v>5.0000000000000001E-4</v>
      </c>
      <c r="E65" s="179">
        <v>469.5</v>
      </c>
      <c r="F65" s="80">
        <f t="shared" si="23"/>
        <v>5.0000000000000001E-4</v>
      </c>
      <c r="G65" s="179">
        <v>516.50000000000011</v>
      </c>
      <c r="H65" s="80">
        <f t="shared" si="24"/>
        <v>5.0000000000000012E-4</v>
      </c>
      <c r="I65" s="179">
        <v>526.83000000000004</v>
      </c>
      <c r="J65" s="80">
        <f t="shared" si="25"/>
        <v>5.0000000000000001E-4</v>
      </c>
      <c r="K65" s="179">
        <v>537.36660000000006</v>
      </c>
      <c r="L65" s="80">
        <f t="shared" si="26"/>
        <v>5.0000000000000012E-4</v>
      </c>
      <c r="M65" s="179">
        <v>548.11393200000009</v>
      </c>
      <c r="N65" s="80">
        <f t="shared" si="27"/>
        <v>5.0000000000000001E-4</v>
      </c>
      <c r="O65" s="179">
        <v>559.07621064</v>
      </c>
      <c r="P65" s="80">
        <f t="shared" si="28"/>
        <v>5.0000000000000001E-4</v>
      </c>
      <c r="Q65" s="179">
        <v>570.25773485280001</v>
      </c>
      <c r="R65" s="80">
        <f t="shared" si="29"/>
        <v>5.0000000000000001E-4</v>
      </c>
      <c r="S65" s="179">
        <v>581.66288954985623</v>
      </c>
      <c r="T65" s="80">
        <f t="shared" si="30"/>
        <v>5.0000000000000001E-4</v>
      </c>
      <c r="U65" s="179">
        <v>593.29614734085328</v>
      </c>
      <c r="V65" s="80">
        <f t="shared" si="31"/>
        <v>5.0000000000000001E-4</v>
      </c>
      <c r="X65" s="200"/>
    </row>
    <row r="66" spans="1:24" ht="12.75" customHeight="1">
      <c r="A66" s="2" t="s">
        <v>397</v>
      </c>
      <c r="B66" s="35"/>
      <c r="C66" s="179">
        <v>2403.0652800000003</v>
      </c>
      <c r="D66" s="80">
        <f t="shared" si="22"/>
        <v>2.8E-3</v>
      </c>
      <c r="E66" s="179">
        <v>2629.2</v>
      </c>
      <c r="F66" s="80">
        <f t="shared" si="23"/>
        <v>2.8E-3</v>
      </c>
      <c r="G66" s="179">
        <v>2892.4</v>
      </c>
      <c r="H66" s="80">
        <f t="shared" si="24"/>
        <v>2.8E-3</v>
      </c>
      <c r="I66" s="179">
        <v>2950.2479999999996</v>
      </c>
      <c r="J66" s="80">
        <f t="shared" si="25"/>
        <v>2.7999999999999995E-3</v>
      </c>
      <c r="K66" s="179">
        <v>3009.2529599999998</v>
      </c>
      <c r="L66" s="80">
        <f t="shared" si="26"/>
        <v>2.8E-3</v>
      </c>
      <c r="M66" s="179">
        <v>3069.4380192000003</v>
      </c>
      <c r="N66" s="80">
        <f t="shared" si="27"/>
        <v>2.8E-3</v>
      </c>
      <c r="O66" s="179">
        <v>3130.8267795839997</v>
      </c>
      <c r="P66" s="80">
        <f t="shared" si="28"/>
        <v>2.8E-3</v>
      </c>
      <c r="Q66" s="179">
        <v>3193.4433151756798</v>
      </c>
      <c r="R66" s="80">
        <f t="shared" si="29"/>
        <v>2.7999999999999995E-3</v>
      </c>
      <c r="S66" s="179">
        <v>3257.3121814791948</v>
      </c>
      <c r="T66" s="80">
        <f t="shared" si="30"/>
        <v>2.8E-3</v>
      </c>
      <c r="U66" s="179">
        <v>3322.4584251087781</v>
      </c>
      <c r="V66" s="80">
        <f t="shared" si="31"/>
        <v>2.8E-3</v>
      </c>
      <c r="X66" s="200"/>
    </row>
    <row r="67" spans="1:24" ht="12.75" customHeight="1">
      <c r="A67" s="2" t="s">
        <v>398</v>
      </c>
      <c r="B67" s="35"/>
      <c r="C67" s="179">
        <v>12873.564000000002</v>
      </c>
      <c r="D67" s="80">
        <f t="shared" si="22"/>
        <v>1.5000000000000001E-2</v>
      </c>
      <c r="E67" s="179">
        <v>14084.999999999998</v>
      </c>
      <c r="F67" s="80">
        <f t="shared" si="23"/>
        <v>1.4999999999999998E-2</v>
      </c>
      <c r="G67" s="179">
        <v>15495</v>
      </c>
      <c r="H67" s="80">
        <f t="shared" si="24"/>
        <v>1.4999999999999999E-2</v>
      </c>
      <c r="I67" s="179">
        <v>15804.899999999998</v>
      </c>
      <c r="J67" s="80">
        <f t="shared" si="25"/>
        <v>1.4999999999999998E-2</v>
      </c>
      <c r="K67" s="179">
        <v>16120.998</v>
      </c>
      <c r="L67" s="80">
        <f t="shared" si="26"/>
        <v>1.4999999999999999E-2</v>
      </c>
      <c r="M67" s="179">
        <v>16443.417960000002</v>
      </c>
      <c r="N67" s="80">
        <f t="shared" si="27"/>
        <v>1.5000000000000001E-2</v>
      </c>
      <c r="O67" s="179">
        <v>16772.2863192</v>
      </c>
      <c r="P67" s="80">
        <f t="shared" si="28"/>
        <v>1.5000000000000001E-2</v>
      </c>
      <c r="Q67" s="179">
        <v>17107.732045583998</v>
      </c>
      <c r="R67" s="80">
        <f t="shared" si="29"/>
        <v>1.4999999999999998E-2</v>
      </c>
      <c r="S67" s="179">
        <v>17449.886686495687</v>
      </c>
      <c r="T67" s="80">
        <f t="shared" si="30"/>
        <v>1.5000000000000001E-2</v>
      </c>
      <c r="U67" s="179">
        <v>17798.884420225597</v>
      </c>
      <c r="V67" s="80">
        <f t="shared" si="31"/>
        <v>1.4999999999999999E-2</v>
      </c>
      <c r="X67" s="200"/>
    </row>
    <row r="68" spans="1:24" ht="12.75" customHeight="1">
      <c r="A68" s="2" t="s">
        <v>399</v>
      </c>
      <c r="B68" s="35"/>
      <c r="C68" s="179">
        <v>1459.0039200000003</v>
      </c>
      <c r="D68" s="80">
        <f t="shared" si="22"/>
        <v>1.7000000000000001E-3</v>
      </c>
      <c r="E68" s="179">
        <v>1596.2999999999997</v>
      </c>
      <c r="F68" s="80">
        <f t="shared" si="23"/>
        <v>1.6999999999999997E-3</v>
      </c>
      <c r="G68" s="179">
        <v>1756.1000000000001</v>
      </c>
      <c r="H68" s="80">
        <f t="shared" si="24"/>
        <v>1.7000000000000001E-3</v>
      </c>
      <c r="I68" s="179">
        <v>1791.222</v>
      </c>
      <c r="J68" s="80">
        <f t="shared" si="25"/>
        <v>1.6999999999999999E-3</v>
      </c>
      <c r="K68" s="179">
        <v>1827.0464399999998</v>
      </c>
      <c r="L68" s="80">
        <f t="shared" si="26"/>
        <v>1.6999999999999999E-3</v>
      </c>
      <c r="M68" s="179">
        <v>1863.5873687999999</v>
      </c>
      <c r="N68" s="80">
        <f t="shared" si="27"/>
        <v>1.6999999999999999E-3</v>
      </c>
      <c r="O68" s="179">
        <v>1900.8591161759998</v>
      </c>
      <c r="P68" s="80">
        <f t="shared" si="28"/>
        <v>1.6999999999999999E-3</v>
      </c>
      <c r="Q68" s="179">
        <v>1938.8762984995199</v>
      </c>
      <c r="R68" s="80">
        <f t="shared" si="29"/>
        <v>1.6999999999999997E-3</v>
      </c>
      <c r="S68" s="179">
        <v>1977.6538244695109</v>
      </c>
      <c r="T68" s="80">
        <f t="shared" si="30"/>
        <v>1.6999999999999999E-3</v>
      </c>
      <c r="U68" s="179">
        <v>2017.2069009589009</v>
      </c>
      <c r="V68" s="80">
        <f t="shared" si="31"/>
        <v>1.6999999999999999E-3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2"/>
        <v>0</v>
      </c>
      <c r="E69" s="179">
        <v>0</v>
      </c>
      <c r="F69" s="80">
        <f t="shared" si="23"/>
        <v>0</v>
      </c>
      <c r="G69" s="179">
        <v>0</v>
      </c>
      <c r="H69" s="80">
        <f t="shared" si="24"/>
        <v>0</v>
      </c>
      <c r="I69" s="179">
        <v>0</v>
      </c>
      <c r="J69" s="80">
        <f t="shared" si="25"/>
        <v>0</v>
      </c>
      <c r="K69" s="179">
        <v>0</v>
      </c>
      <c r="L69" s="80">
        <f t="shared" si="26"/>
        <v>0</v>
      </c>
      <c r="M69" s="179">
        <v>0</v>
      </c>
      <c r="N69" s="80">
        <f t="shared" si="27"/>
        <v>0</v>
      </c>
      <c r="O69" s="179">
        <v>0</v>
      </c>
      <c r="P69" s="80">
        <f t="shared" si="28"/>
        <v>0</v>
      </c>
      <c r="Q69" s="179">
        <v>0</v>
      </c>
      <c r="R69" s="80">
        <f t="shared" si="29"/>
        <v>0</v>
      </c>
      <c r="S69" s="179">
        <v>0</v>
      </c>
      <c r="T69" s="80">
        <f t="shared" si="30"/>
        <v>0</v>
      </c>
      <c r="U69" s="179">
        <v>0</v>
      </c>
      <c r="V69" s="80">
        <f t="shared" si="31"/>
        <v>0</v>
      </c>
      <c r="X69" s="200"/>
    </row>
    <row r="70" spans="1:24" ht="12.75" customHeight="1">
      <c r="A70" s="2" t="s">
        <v>401</v>
      </c>
      <c r="B70" s="35"/>
      <c r="C70" s="179">
        <v>85.823760000000021</v>
      </c>
      <c r="D70" s="80">
        <f t="shared" si="22"/>
        <v>1.0000000000000002E-4</v>
      </c>
      <c r="E70" s="179">
        <v>93.899999999999991</v>
      </c>
      <c r="F70" s="80">
        <f t="shared" si="23"/>
        <v>9.9999999999999991E-5</v>
      </c>
      <c r="G70" s="179">
        <v>103.30000000000001</v>
      </c>
      <c r="H70" s="80">
        <f t="shared" si="24"/>
        <v>1E-4</v>
      </c>
      <c r="I70" s="179">
        <v>105.366</v>
      </c>
      <c r="J70" s="80">
        <f t="shared" si="25"/>
        <v>1E-4</v>
      </c>
      <c r="K70" s="179">
        <v>107.47332</v>
      </c>
      <c r="L70" s="80">
        <f t="shared" si="26"/>
        <v>1E-4</v>
      </c>
      <c r="M70" s="179">
        <v>109.62278640000001</v>
      </c>
      <c r="N70" s="80">
        <f t="shared" si="27"/>
        <v>1E-4</v>
      </c>
      <c r="O70" s="179">
        <v>111.81524212800001</v>
      </c>
      <c r="P70" s="80">
        <f t="shared" si="28"/>
        <v>1.0000000000000002E-4</v>
      </c>
      <c r="Q70" s="179">
        <v>114.05154697056</v>
      </c>
      <c r="R70" s="80">
        <f t="shared" si="29"/>
        <v>9.9999999999999991E-5</v>
      </c>
      <c r="S70" s="179">
        <v>116.33257790997125</v>
      </c>
      <c r="T70" s="80">
        <f t="shared" si="30"/>
        <v>1E-4</v>
      </c>
      <c r="U70" s="179">
        <v>118.65922946817066</v>
      </c>
      <c r="V70" s="80">
        <f t="shared" si="31"/>
        <v>1.0000000000000002E-4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2"/>
        <v>0</v>
      </c>
      <c r="E71" s="179">
        <v>0</v>
      </c>
      <c r="F71" s="80">
        <f t="shared" si="23"/>
        <v>0</v>
      </c>
      <c r="G71" s="179">
        <v>0</v>
      </c>
      <c r="H71" s="80">
        <f t="shared" si="24"/>
        <v>0</v>
      </c>
      <c r="I71" s="179">
        <v>0</v>
      </c>
      <c r="J71" s="80">
        <f t="shared" si="25"/>
        <v>0</v>
      </c>
      <c r="K71" s="179">
        <v>0</v>
      </c>
      <c r="L71" s="80">
        <f t="shared" si="26"/>
        <v>0</v>
      </c>
      <c r="M71" s="179">
        <v>0</v>
      </c>
      <c r="N71" s="80">
        <f t="shared" si="27"/>
        <v>0</v>
      </c>
      <c r="O71" s="179">
        <v>0</v>
      </c>
      <c r="P71" s="80">
        <f t="shared" si="28"/>
        <v>0</v>
      </c>
      <c r="Q71" s="179">
        <v>0</v>
      </c>
      <c r="R71" s="80">
        <f t="shared" si="29"/>
        <v>0</v>
      </c>
      <c r="S71" s="179">
        <v>0</v>
      </c>
      <c r="T71" s="80">
        <f t="shared" si="30"/>
        <v>0</v>
      </c>
      <c r="U71" s="179">
        <v>0</v>
      </c>
      <c r="V71" s="80">
        <f t="shared" si="31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2"/>
        <v>0</v>
      </c>
      <c r="E72" s="179">
        <v>0</v>
      </c>
      <c r="F72" s="80">
        <f t="shared" si="23"/>
        <v>0</v>
      </c>
      <c r="G72" s="179">
        <v>0</v>
      </c>
      <c r="H72" s="80">
        <f t="shared" si="24"/>
        <v>0</v>
      </c>
      <c r="I72" s="179">
        <v>0</v>
      </c>
      <c r="J72" s="80">
        <f t="shared" si="25"/>
        <v>0</v>
      </c>
      <c r="K72" s="179">
        <v>0</v>
      </c>
      <c r="L72" s="80">
        <f t="shared" si="26"/>
        <v>0</v>
      </c>
      <c r="M72" s="179">
        <v>0</v>
      </c>
      <c r="N72" s="80">
        <f t="shared" si="27"/>
        <v>0</v>
      </c>
      <c r="O72" s="179">
        <v>0</v>
      </c>
      <c r="P72" s="80">
        <f t="shared" si="28"/>
        <v>0</v>
      </c>
      <c r="Q72" s="179">
        <v>0</v>
      </c>
      <c r="R72" s="80">
        <f t="shared" si="29"/>
        <v>0</v>
      </c>
      <c r="S72" s="179">
        <v>0</v>
      </c>
      <c r="T72" s="80">
        <f t="shared" si="30"/>
        <v>0</v>
      </c>
      <c r="U72" s="179">
        <v>0</v>
      </c>
      <c r="V72" s="80">
        <f t="shared" si="31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2"/>
        <v>0</v>
      </c>
      <c r="E73" s="179">
        <v>0</v>
      </c>
      <c r="F73" s="80">
        <f t="shared" si="23"/>
        <v>0</v>
      </c>
      <c r="G73" s="179">
        <v>0</v>
      </c>
      <c r="H73" s="80">
        <f t="shared" si="24"/>
        <v>0</v>
      </c>
      <c r="I73" s="179">
        <v>0</v>
      </c>
      <c r="J73" s="80">
        <f t="shared" si="25"/>
        <v>0</v>
      </c>
      <c r="K73" s="179">
        <v>0</v>
      </c>
      <c r="L73" s="80">
        <f t="shared" si="26"/>
        <v>0</v>
      </c>
      <c r="M73" s="179">
        <v>0</v>
      </c>
      <c r="N73" s="80">
        <f t="shared" si="27"/>
        <v>0</v>
      </c>
      <c r="O73" s="179">
        <v>0</v>
      </c>
      <c r="P73" s="80">
        <f t="shared" si="28"/>
        <v>0</v>
      </c>
      <c r="Q73" s="179">
        <v>0</v>
      </c>
      <c r="R73" s="80">
        <f t="shared" si="29"/>
        <v>0</v>
      </c>
      <c r="S73" s="179">
        <v>0</v>
      </c>
      <c r="T73" s="80">
        <f t="shared" si="30"/>
        <v>0</v>
      </c>
      <c r="U73" s="179">
        <v>0</v>
      </c>
      <c r="V73" s="80">
        <f t="shared" si="31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2"/>
        <v>0</v>
      </c>
      <c r="E74" s="179">
        <v>0</v>
      </c>
      <c r="F74" s="80">
        <f t="shared" si="23"/>
        <v>0</v>
      </c>
      <c r="G74" s="179">
        <v>0</v>
      </c>
      <c r="H74" s="80">
        <f t="shared" si="24"/>
        <v>0</v>
      </c>
      <c r="I74" s="179">
        <v>0</v>
      </c>
      <c r="J74" s="80">
        <f t="shared" si="25"/>
        <v>0</v>
      </c>
      <c r="K74" s="179">
        <v>0</v>
      </c>
      <c r="L74" s="80">
        <f t="shared" si="26"/>
        <v>0</v>
      </c>
      <c r="M74" s="179">
        <v>0</v>
      </c>
      <c r="N74" s="80">
        <f t="shared" si="27"/>
        <v>0</v>
      </c>
      <c r="O74" s="179">
        <v>0</v>
      </c>
      <c r="P74" s="80">
        <f t="shared" si="28"/>
        <v>0</v>
      </c>
      <c r="Q74" s="179">
        <v>0</v>
      </c>
      <c r="R74" s="80">
        <f t="shared" si="29"/>
        <v>0</v>
      </c>
      <c r="S74" s="179">
        <v>0</v>
      </c>
      <c r="T74" s="80">
        <f t="shared" si="30"/>
        <v>0</v>
      </c>
      <c r="U74" s="179">
        <v>0</v>
      </c>
      <c r="V74" s="80">
        <f t="shared" si="31"/>
        <v>0</v>
      </c>
      <c r="X74" s="200"/>
    </row>
    <row r="75" spans="1:24" ht="12.75" customHeight="1">
      <c r="A75" s="2" t="s">
        <v>406</v>
      </c>
      <c r="B75" s="35"/>
      <c r="C75" s="179">
        <v>4291.188000000001</v>
      </c>
      <c r="D75" s="80">
        <f t="shared" si="22"/>
        <v>5.000000000000001E-3</v>
      </c>
      <c r="E75" s="179">
        <v>4694.9999999999991</v>
      </c>
      <c r="F75" s="80">
        <f t="shared" si="23"/>
        <v>4.9999999999999992E-3</v>
      </c>
      <c r="G75" s="179">
        <v>5165</v>
      </c>
      <c r="H75" s="80">
        <f t="shared" si="24"/>
        <v>5.0000000000000001E-3</v>
      </c>
      <c r="I75" s="179">
        <v>5268.3</v>
      </c>
      <c r="J75" s="80">
        <f t="shared" si="25"/>
        <v>5.0000000000000001E-3</v>
      </c>
      <c r="K75" s="179">
        <v>5373.6660000000002</v>
      </c>
      <c r="L75" s="80">
        <f t="shared" si="26"/>
        <v>5.0000000000000001E-3</v>
      </c>
      <c r="M75" s="179">
        <v>5481.1393200000002</v>
      </c>
      <c r="N75" s="80">
        <f t="shared" si="27"/>
        <v>5.0000000000000001E-3</v>
      </c>
      <c r="O75" s="179">
        <v>5590.7621064000004</v>
      </c>
      <c r="P75" s="80">
        <f t="shared" si="28"/>
        <v>5.000000000000001E-3</v>
      </c>
      <c r="Q75" s="179">
        <v>5702.5773485279997</v>
      </c>
      <c r="R75" s="80">
        <f t="shared" si="29"/>
        <v>4.9999999999999992E-3</v>
      </c>
      <c r="S75" s="179">
        <v>5816.628895498563</v>
      </c>
      <c r="T75" s="80">
        <f t="shared" si="30"/>
        <v>5.000000000000001E-3</v>
      </c>
      <c r="U75" s="179">
        <v>5932.9614734085326</v>
      </c>
      <c r="V75" s="80">
        <f t="shared" si="31"/>
        <v>5.0000000000000001E-3</v>
      </c>
      <c r="X75" s="200"/>
    </row>
    <row r="76" spans="1:24" ht="12.75" customHeight="1">
      <c r="A76" s="2" t="s">
        <v>407</v>
      </c>
      <c r="B76" s="35"/>
      <c r="C76" s="179">
        <v>343.29504000000009</v>
      </c>
      <c r="D76" s="80">
        <f t="shared" si="22"/>
        <v>4.0000000000000007E-4</v>
      </c>
      <c r="E76" s="179">
        <v>375.59999999999997</v>
      </c>
      <c r="F76" s="80">
        <f t="shared" si="23"/>
        <v>3.9999999999999996E-4</v>
      </c>
      <c r="G76" s="179">
        <v>413.20000000000005</v>
      </c>
      <c r="H76" s="80">
        <f t="shared" si="24"/>
        <v>4.0000000000000002E-4</v>
      </c>
      <c r="I76" s="179">
        <v>421.464</v>
      </c>
      <c r="J76" s="80">
        <f t="shared" si="25"/>
        <v>4.0000000000000002E-4</v>
      </c>
      <c r="K76" s="179">
        <v>429.89328</v>
      </c>
      <c r="L76" s="80">
        <f t="shared" si="26"/>
        <v>4.0000000000000002E-4</v>
      </c>
      <c r="M76" s="179">
        <v>438.49114560000004</v>
      </c>
      <c r="N76" s="80">
        <f t="shared" si="27"/>
        <v>4.0000000000000002E-4</v>
      </c>
      <c r="O76" s="179">
        <v>447.26096851200003</v>
      </c>
      <c r="P76" s="80">
        <f t="shared" si="28"/>
        <v>4.0000000000000007E-4</v>
      </c>
      <c r="Q76" s="179">
        <v>456.20618788223999</v>
      </c>
      <c r="R76" s="80">
        <f t="shared" si="29"/>
        <v>3.9999999999999996E-4</v>
      </c>
      <c r="S76" s="179">
        <v>465.330311639885</v>
      </c>
      <c r="T76" s="80">
        <f t="shared" si="30"/>
        <v>4.0000000000000002E-4</v>
      </c>
      <c r="U76" s="179">
        <v>474.63691787268266</v>
      </c>
      <c r="V76" s="80">
        <f t="shared" si="31"/>
        <v>4.0000000000000007E-4</v>
      </c>
      <c r="X76" s="200"/>
    </row>
    <row r="77" spans="1:24" ht="12.75" customHeight="1">
      <c r="A77" s="2" t="s">
        <v>408</v>
      </c>
      <c r="B77" s="35"/>
      <c r="C77" s="179">
        <v>1115.7088800000001</v>
      </c>
      <c r="D77" s="80">
        <f t="shared" si="22"/>
        <v>1.2999999999999999E-3</v>
      </c>
      <c r="E77" s="179">
        <v>1220.6999999999998</v>
      </c>
      <c r="F77" s="80">
        <f t="shared" si="23"/>
        <v>1.2999999999999997E-3</v>
      </c>
      <c r="G77" s="179">
        <v>1342.8999999999999</v>
      </c>
      <c r="H77" s="80">
        <f t="shared" si="24"/>
        <v>1.2999999999999999E-3</v>
      </c>
      <c r="I77" s="179">
        <v>1369.7579999999998</v>
      </c>
      <c r="J77" s="80">
        <f t="shared" si="25"/>
        <v>1.2999999999999997E-3</v>
      </c>
      <c r="K77" s="179">
        <v>1397.1531599999998</v>
      </c>
      <c r="L77" s="80">
        <f t="shared" si="26"/>
        <v>1.2999999999999999E-3</v>
      </c>
      <c r="M77" s="179">
        <v>1425.0962231999999</v>
      </c>
      <c r="N77" s="80">
        <f t="shared" si="27"/>
        <v>1.2999999999999999E-3</v>
      </c>
      <c r="O77" s="179">
        <v>1453.598147664</v>
      </c>
      <c r="P77" s="80">
        <f t="shared" si="28"/>
        <v>1.3000000000000002E-3</v>
      </c>
      <c r="Q77" s="179">
        <v>1482.67011061728</v>
      </c>
      <c r="R77" s="80">
        <f t="shared" si="29"/>
        <v>1.2999999999999999E-3</v>
      </c>
      <c r="S77" s="179">
        <v>1512.3235128296262</v>
      </c>
      <c r="T77" s="80">
        <f t="shared" si="30"/>
        <v>1.3000000000000002E-3</v>
      </c>
      <c r="U77" s="179">
        <v>1542.5699830862184</v>
      </c>
      <c r="V77" s="80">
        <f t="shared" si="31"/>
        <v>1.2999999999999999E-3</v>
      </c>
      <c r="X77" s="200"/>
    </row>
    <row r="78" spans="1:24" ht="12.75" customHeight="1">
      <c r="A78" s="2" t="s">
        <v>409</v>
      </c>
      <c r="B78" s="35"/>
      <c r="C78" s="179">
        <v>18881.227200000001</v>
      </c>
      <c r="D78" s="80">
        <f t="shared" si="22"/>
        <v>2.1999999999999999E-2</v>
      </c>
      <c r="E78" s="179">
        <v>20657.999999999996</v>
      </c>
      <c r="F78" s="80">
        <f t="shared" si="23"/>
        <v>2.1999999999999995E-2</v>
      </c>
      <c r="G78" s="179">
        <v>22726</v>
      </c>
      <c r="H78" s="80">
        <f t="shared" si="24"/>
        <v>2.1999999999999999E-2</v>
      </c>
      <c r="I78" s="179">
        <v>23180.519999999997</v>
      </c>
      <c r="J78" s="80">
        <f t="shared" si="25"/>
        <v>2.1999999999999995E-2</v>
      </c>
      <c r="K78" s="179">
        <v>23644.130399999998</v>
      </c>
      <c r="L78" s="80">
        <f t="shared" si="26"/>
        <v>2.1999999999999999E-2</v>
      </c>
      <c r="M78" s="179">
        <v>24117.013008000002</v>
      </c>
      <c r="N78" s="80">
        <f t="shared" si="27"/>
        <v>2.1999999999999999E-2</v>
      </c>
      <c r="O78" s="179">
        <v>24599.353268159997</v>
      </c>
      <c r="P78" s="80">
        <f t="shared" si="28"/>
        <v>2.1999999999999999E-2</v>
      </c>
      <c r="Q78" s="179">
        <v>25091.340333523196</v>
      </c>
      <c r="R78" s="80">
        <f t="shared" si="29"/>
        <v>2.1999999999999995E-2</v>
      </c>
      <c r="S78" s="179">
        <v>25593.167140193673</v>
      </c>
      <c r="T78" s="80">
        <f t="shared" si="30"/>
        <v>2.1999999999999999E-2</v>
      </c>
      <c r="U78" s="179">
        <v>26105.030482997543</v>
      </c>
      <c r="V78" s="80">
        <f t="shared" si="31"/>
        <v>2.2000000000000002E-2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2"/>
        <v>0</v>
      </c>
      <c r="E79" s="179">
        <v>0</v>
      </c>
      <c r="F79" s="80">
        <f t="shared" si="23"/>
        <v>0</v>
      </c>
      <c r="G79" s="179">
        <v>0</v>
      </c>
      <c r="H79" s="80">
        <f t="shared" si="24"/>
        <v>0</v>
      </c>
      <c r="I79" s="179">
        <v>0</v>
      </c>
      <c r="J79" s="80">
        <f t="shared" si="25"/>
        <v>0</v>
      </c>
      <c r="K79" s="179">
        <v>0</v>
      </c>
      <c r="L79" s="80">
        <f t="shared" si="26"/>
        <v>0</v>
      </c>
      <c r="M79" s="179">
        <v>0</v>
      </c>
      <c r="N79" s="80">
        <f t="shared" si="27"/>
        <v>0</v>
      </c>
      <c r="O79" s="179">
        <v>0</v>
      </c>
      <c r="P79" s="80">
        <f t="shared" si="28"/>
        <v>0</v>
      </c>
      <c r="Q79" s="179">
        <v>0</v>
      </c>
      <c r="R79" s="80">
        <f t="shared" si="29"/>
        <v>0</v>
      </c>
      <c r="S79" s="179">
        <v>0</v>
      </c>
      <c r="T79" s="80">
        <f t="shared" si="30"/>
        <v>0</v>
      </c>
      <c r="U79" s="179">
        <v>0</v>
      </c>
      <c r="V79" s="80">
        <f t="shared" si="31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2"/>
        <v>0</v>
      </c>
      <c r="E80" s="179">
        <v>0</v>
      </c>
      <c r="F80" s="80">
        <f t="shared" si="23"/>
        <v>0</v>
      </c>
      <c r="G80" s="179">
        <v>0</v>
      </c>
      <c r="H80" s="80">
        <f t="shared" si="24"/>
        <v>0</v>
      </c>
      <c r="I80" s="179">
        <v>0</v>
      </c>
      <c r="J80" s="80">
        <f t="shared" si="25"/>
        <v>0</v>
      </c>
      <c r="K80" s="179">
        <v>0</v>
      </c>
      <c r="L80" s="80">
        <f t="shared" si="26"/>
        <v>0</v>
      </c>
      <c r="M80" s="179">
        <v>0</v>
      </c>
      <c r="N80" s="80">
        <f t="shared" si="27"/>
        <v>0</v>
      </c>
      <c r="O80" s="179">
        <v>0</v>
      </c>
      <c r="P80" s="80">
        <f t="shared" si="28"/>
        <v>0</v>
      </c>
      <c r="Q80" s="179">
        <v>0</v>
      </c>
      <c r="R80" s="80">
        <f t="shared" si="29"/>
        <v>0</v>
      </c>
      <c r="S80" s="179">
        <v>0</v>
      </c>
      <c r="T80" s="80">
        <f t="shared" si="30"/>
        <v>0</v>
      </c>
      <c r="U80" s="179">
        <v>0</v>
      </c>
      <c r="V80" s="80">
        <f t="shared" si="31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2"/>
        <v>0</v>
      </c>
      <c r="E81" s="179">
        <v>0</v>
      </c>
      <c r="F81" s="80">
        <f t="shared" si="23"/>
        <v>0</v>
      </c>
      <c r="G81" s="179">
        <v>0</v>
      </c>
      <c r="H81" s="80">
        <f t="shared" si="24"/>
        <v>0</v>
      </c>
      <c r="I81" s="179">
        <v>0</v>
      </c>
      <c r="J81" s="80">
        <f t="shared" si="25"/>
        <v>0</v>
      </c>
      <c r="K81" s="179">
        <v>0</v>
      </c>
      <c r="L81" s="80">
        <f t="shared" si="26"/>
        <v>0</v>
      </c>
      <c r="M81" s="179">
        <v>0</v>
      </c>
      <c r="N81" s="80">
        <f t="shared" si="27"/>
        <v>0</v>
      </c>
      <c r="O81" s="179">
        <v>0</v>
      </c>
      <c r="P81" s="80">
        <f t="shared" si="28"/>
        <v>0</v>
      </c>
      <c r="Q81" s="179">
        <v>0</v>
      </c>
      <c r="R81" s="80">
        <f t="shared" si="29"/>
        <v>0</v>
      </c>
      <c r="S81" s="179">
        <v>0</v>
      </c>
      <c r="T81" s="80">
        <f t="shared" si="30"/>
        <v>0</v>
      </c>
      <c r="U81" s="179">
        <v>0</v>
      </c>
      <c r="V81" s="80">
        <f t="shared" si="31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2"/>
        <v>0</v>
      </c>
      <c r="E82" s="179">
        <v>0</v>
      </c>
      <c r="F82" s="80">
        <f t="shared" si="23"/>
        <v>0</v>
      </c>
      <c r="G82" s="179">
        <v>0</v>
      </c>
      <c r="H82" s="80">
        <f t="shared" si="24"/>
        <v>0</v>
      </c>
      <c r="I82" s="179">
        <v>0</v>
      </c>
      <c r="J82" s="80">
        <f t="shared" si="25"/>
        <v>0</v>
      </c>
      <c r="K82" s="179">
        <v>0</v>
      </c>
      <c r="L82" s="80">
        <f t="shared" si="26"/>
        <v>0</v>
      </c>
      <c r="M82" s="179">
        <v>0</v>
      </c>
      <c r="N82" s="80">
        <f t="shared" si="27"/>
        <v>0</v>
      </c>
      <c r="O82" s="179">
        <v>0</v>
      </c>
      <c r="P82" s="80">
        <f t="shared" si="28"/>
        <v>0</v>
      </c>
      <c r="Q82" s="179">
        <v>0</v>
      </c>
      <c r="R82" s="80">
        <f t="shared" si="29"/>
        <v>0</v>
      </c>
      <c r="S82" s="179">
        <v>0</v>
      </c>
      <c r="T82" s="80">
        <f t="shared" si="30"/>
        <v>0</v>
      </c>
      <c r="U82" s="179">
        <v>0</v>
      </c>
      <c r="V82" s="80">
        <f t="shared" si="31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2"/>
        <v>0</v>
      </c>
      <c r="E83" s="179">
        <v>0</v>
      </c>
      <c r="F83" s="80">
        <f t="shared" si="23"/>
        <v>0</v>
      </c>
      <c r="G83" s="179">
        <v>0</v>
      </c>
      <c r="H83" s="80">
        <f t="shared" si="24"/>
        <v>0</v>
      </c>
      <c r="I83" s="179">
        <v>0</v>
      </c>
      <c r="J83" s="80">
        <f t="shared" si="25"/>
        <v>0</v>
      </c>
      <c r="K83" s="179">
        <v>0</v>
      </c>
      <c r="L83" s="80">
        <f t="shared" si="26"/>
        <v>0</v>
      </c>
      <c r="M83" s="179">
        <v>0</v>
      </c>
      <c r="N83" s="80">
        <f t="shared" si="27"/>
        <v>0</v>
      </c>
      <c r="O83" s="179">
        <v>0</v>
      </c>
      <c r="P83" s="80">
        <f t="shared" si="28"/>
        <v>0</v>
      </c>
      <c r="Q83" s="179">
        <v>0</v>
      </c>
      <c r="R83" s="80">
        <f t="shared" si="29"/>
        <v>0</v>
      </c>
      <c r="S83" s="179">
        <v>0</v>
      </c>
      <c r="T83" s="80">
        <f t="shared" si="30"/>
        <v>0</v>
      </c>
      <c r="U83" s="179">
        <v>0</v>
      </c>
      <c r="V83" s="80">
        <f t="shared" si="31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2"/>
        <v>0</v>
      </c>
      <c r="E84" s="179">
        <v>0</v>
      </c>
      <c r="F84" s="80">
        <f t="shared" si="23"/>
        <v>0</v>
      </c>
      <c r="G84" s="179">
        <v>0</v>
      </c>
      <c r="H84" s="80">
        <f t="shared" si="24"/>
        <v>0</v>
      </c>
      <c r="I84" s="179">
        <v>0</v>
      </c>
      <c r="J84" s="80">
        <f t="shared" si="25"/>
        <v>0</v>
      </c>
      <c r="K84" s="179">
        <v>0</v>
      </c>
      <c r="L84" s="80">
        <f t="shared" si="26"/>
        <v>0</v>
      </c>
      <c r="M84" s="179">
        <v>0</v>
      </c>
      <c r="N84" s="80">
        <f t="shared" si="27"/>
        <v>0</v>
      </c>
      <c r="O84" s="179">
        <v>0</v>
      </c>
      <c r="P84" s="80">
        <f t="shared" si="28"/>
        <v>0</v>
      </c>
      <c r="Q84" s="179">
        <v>0</v>
      </c>
      <c r="R84" s="80">
        <f t="shared" si="29"/>
        <v>0</v>
      </c>
      <c r="S84" s="179">
        <v>0</v>
      </c>
      <c r="T84" s="80">
        <f t="shared" si="30"/>
        <v>0</v>
      </c>
      <c r="U84" s="179">
        <v>0</v>
      </c>
      <c r="V84" s="80">
        <f t="shared" si="31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2"/>
        <v>0</v>
      </c>
      <c r="E85" s="179">
        <v>0</v>
      </c>
      <c r="F85" s="80">
        <f t="shared" si="23"/>
        <v>0</v>
      </c>
      <c r="G85" s="179">
        <v>0</v>
      </c>
      <c r="H85" s="80">
        <f t="shared" si="24"/>
        <v>0</v>
      </c>
      <c r="I85" s="179">
        <v>0</v>
      </c>
      <c r="J85" s="80">
        <f t="shared" si="25"/>
        <v>0</v>
      </c>
      <c r="K85" s="179">
        <v>0</v>
      </c>
      <c r="L85" s="80">
        <f t="shared" si="26"/>
        <v>0</v>
      </c>
      <c r="M85" s="179">
        <v>0</v>
      </c>
      <c r="N85" s="80">
        <f t="shared" si="27"/>
        <v>0</v>
      </c>
      <c r="O85" s="179">
        <v>0</v>
      </c>
      <c r="P85" s="80">
        <f t="shared" si="28"/>
        <v>0</v>
      </c>
      <c r="Q85" s="179">
        <v>0</v>
      </c>
      <c r="R85" s="80">
        <f t="shared" si="29"/>
        <v>0</v>
      </c>
      <c r="S85" s="179">
        <v>0</v>
      </c>
      <c r="T85" s="80">
        <f t="shared" si="30"/>
        <v>0</v>
      </c>
      <c r="U85" s="179">
        <v>0</v>
      </c>
      <c r="V85" s="80">
        <f t="shared" si="31"/>
        <v>0</v>
      </c>
      <c r="X85" s="200"/>
    </row>
    <row r="86" spans="1:24" ht="12.75" customHeight="1">
      <c r="A86" s="2" t="s">
        <v>417</v>
      </c>
      <c r="B86" s="35"/>
      <c r="C86" s="179">
        <v>3432.9504000000006</v>
      </c>
      <c r="D86" s="80">
        <f t="shared" si="22"/>
        <v>4.0000000000000001E-3</v>
      </c>
      <c r="E86" s="179">
        <v>3756</v>
      </c>
      <c r="F86" s="80">
        <f t="shared" si="23"/>
        <v>4.0000000000000001E-3</v>
      </c>
      <c r="G86" s="179">
        <v>4132.0000000000009</v>
      </c>
      <c r="H86" s="80">
        <f t="shared" si="24"/>
        <v>4.000000000000001E-3</v>
      </c>
      <c r="I86" s="179">
        <v>4214.6400000000003</v>
      </c>
      <c r="J86" s="80">
        <f t="shared" si="25"/>
        <v>4.0000000000000001E-3</v>
      </c>
      <c r="K86" s="179">
        <v>4298.9328000000005</v>
      </c>
      <c r="L86" s="80">
        <f t="shared" si="26"/>
        <v>4.000000000000001E-3</v>
      </c>
      <c r="M86" s="179">
        <v>4384.9114560000007</v>
      </c>
      <c r="N86" s="80">
        <f t="shared" si="27"/>
        <v>4.0000000000000001E-3</v>
      </c>
      <c r="O86" s="179">
        <v>4472.60968512</v>
      </c>
      <c r="P86" s="80">
        <f t="shared" si="28"/>
        <v>4.0000000000000001E-3</v>
      </c>
      <c r="Q86" s="179">
        <v>4562.0618788224001</v>
      </c>
      <c r="R86" s="80">
        <f t="shared" si="29"/>
        <v>4.0000000000000001E-3</v>
      </c>
      <c r="S86" s="179">
        <v>4653.3031163988499</v>
      </c>
      <c r="T86" s="80">
        <f t="shared" si="30"/>
        <v>4.0000000000000001E-3</v>
      </c>
      <c r="U86" s="179">
        <v>4746.3691787268262</v>
      </c>
      <c r="V86" s="80">
        <f t="shared" si="31"/>
        <v>4.0000000000000001E-3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2"/>
        <v>0</v>
      </c>
      <c r="E87" s="179">
        <v>0</v>
      </c>
      <c r="F87" s="80">
        <f t="shared" si="23"/>
        <v>0</v>
      </c>
      <c r="G87" s="179">
        <v>0</v>
      </c>
      <c r="H87" s="80">
        <f t="shared" si="24"/>
        <v>0</v>
      </c>
      <c r="I87" s="179">
        <v>0</v>
      </c>
      <c r="J87" s="80">
        <f t="shared" si="25"/>
        <v>0</v>
      </c>
      <c r="K87" s="179">
        <v>0</v>
      </c>
      <c r="L87" s="80">
        <f t="shared" si="26"/>
        <v>0</v>
      </c>
      <c r="M87" s="179">
        <v>0</v>
      </c>
      <c r="N87" s="80">
        <f t="shared" si="27"/>
        <v>0</v>
      </c>
      <c r="O87" s="179">
        <v>0</v>
      </c>
      <c r="P87" s="80">
        <f t="shared" si="28"/>
        <v>0</v>
      </c>
      <c r="Q87" s="179">
        <v>0</v>
      </c>
      <c r="R87" s="80">
        <f t="shared" si="29"/>
        <v>0</v>
      </c>
      <c r="S87" s="179">
        <v>0</v>
      </c>
      <c r="T87" s="80">
        <f t="shared" si="30"/>
        <v>0</v>
      </c>
      <c r="U87" s="179">
        <v>0</v>
      </c>
      <c r="V87" s="80">
        <f t="shared" si="31"/>
        <v>0</v>
      </c>
      <c r="X87" s="200"/>
    </row>
    <row r="88" spans="1:24" ht="12.75" customHeight="1">
      <c r="A88" s="2" t="s">
        <v>419</v>
      </c>
      <c r="B88" s="35"/>
      <c r="C88" s="179">
        <v>4377.0117600000012</v>
      </c>
      <c r="D88" s="80">
        <f t="shared" si="22"/>
        <v>5.1000000000000012E-3</v>
      </c>
      <c r="E88" s="179">
        <v>4788.8999999999996</v>
      </c>
      <c r="F88" s="80">
        <f t="shared" si="23"/>
        <v>5.0999999999999995E-3</v>
      </c>
      <c r="G88" s="179">
        <v>5268.3000000000011</v>
      </c>
      <c r="H88" s="80">
        <f t="shared" si="24"/>
        <v>5.1000000000000012E-3</v>
      </c>
      <c r="I88" s="179">
        <v>5373.6660000000002</v>
      </c>
      <c r="J88" s="80">
        <f t="shared" si="25"/>
        <v>5.1000000000000004E-3</v>
      </c>
      <c r="K88" s="179">
        <v>5481.1393200000002</v>
      </c>
      <c r="L88" s="80">
        <f t="shared" si="26"/>
        <v>5.1000000000000004E-3</v>
      </c>
      <c r="M88" s="179">
        <v>5590.7621064000014</v>
      </c>
      <c r="N88" s="80">
        <f t="shared" si="27"/>
        <v>5.1000000000000012E-3</v>
      </c>
      <c r="O88" s="179">
        <v>5702.5773485280006</v>
      </c>
      <c r="P88" s="80">
        <f t="shared" si="28"/>
        <v>5.1000000000000012E-3</v>
      </c>
      <c r="Q88" s="179">
        <v>5816.6288954985603</v>
      </c>
      <c r="R88" s="80">
        <f t="shared" si="29"/>
        <v>5.1000000000000004E-3</v>
      </c>
      <c r="S88" s="179">
        <v>5932.9614734085344</v>
      </c>
      <c r="T88" s="80">
        <f t="shared" si="30"/>
        <v>5.1000000000000012E-3</v>
      </c>
      <c r="U88" s="179">
        <v>6051.6207028767039</v>
      </c>
      <c r="V88" s="80">
        <f t="shared" si="31"/>
        <v>5.1000000000000012E-3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2"/>
        <v>0</v>
      </c>
      <c r="E89" s="179">
        <v>0</v>
      </c>
      <c r="F89" s="80">
        <f t="shared" si="23"/>
        <v>0</v>
      </c>
      <c r="G89" s="179">
        <v>0</v>
      </c>
      <c r="H89" s="80">
        <f t="shared" si="24"/>
        <v>0</v>
      </c>
      <c r="I89" s="179">
        <v>0</v>
      </c>
      <c r="J89" s="80">
        <f t="shared" si="25"/>
        <v>0</v>
      </c>
      <c r="K89" s="179">
        <v>0</v>
      </c>
      <c r="L89" s="80">
        <f t="shared" si="26"/>
        <v>0</v>
      </c>
      <c r="M89" s="179">
        <v>0</v>
      </c>
      <c r="N89" s="80">
        <f t="shared" si="27"/>
        <v>0</v>
      </c>
      <c r="O89" s="179">
        <v>0</v>
      </c>
      <c r="P89" s="80">
        <f t="shared" si="28"/>
        <v>0</v>
      </c>
      <c r="Q89" s="179">
        <v>0</v>
      </c>
      <c r="R89" s="80">
        <f t="shared" si="29"/>
        <v>0</v>
      </c>
      <c r="S89" s="179">
        <v>0</v>
      </c>
      <c r="T89" s="80">
        <f t="shared" si="30"/>
        <v>0</v>
      </c>
      <c r="U89" s="179">
        <v>0</v>
      </c>
      <c r="V89" s="80">
        <f t="shared" si="31"/>
        <v>0</v>
      </c>
      <c r="X89" s="200"/>
    </row>
    <row r="90" spans="1:24" ht="12.75" customHeight="1">
      <c r="A90" s="2" t="s">
        <v>421</v>
      </c>
      <c r="B90" s="35"/>
      <c r="C90" s="179">
        <v>171.64752000000004</v>
      </c>
      <c r="D90" s="80">
        <f t="shared" si="22"/>
        <v>2.0000000000000004E-4</v>
      </c>
      <c r="E90" s="179">
        <v>187.79999999999998</v>
      </c>
      <c r="F90" s="80">
        <f t="shared" si="23"/>
        <v>1.9999999999999998E-4</v>
      </c>
      <c r="G90" s="179">
        <v>206.60000000000002</v>
      </c>
      <c r="H90" s="80">
        <f t="shared" si="24"/>
        <v>2.0000000000000001E-4</v>
      </c>
      <c r="I90" s="179">
        <v>210.732</v>
      </c>
      <c r="J90" s="80">
        <f t="shared" si="25"/>
        <v>2.0000000000000001E-4</v>
      </c>
      <c r="K90" s="179">
        <v>214.94664</v>
      </c>
      <c r="L90" s="80">
        <f t="shared" si="26"/>
        <v>2.0000000000000001E-4</v>
      </c>
      <c r="M90" s="179">
        <v>219.24557280000002</v>
      </c>
      <c r="N90" s="80">
        <f t="shared" si="27"/>
        <v>2.0000000000000001E-4</v>
      </c>
      <c r="O90" s="179">
        <v>223.63048425600002</v>
      </c>
      <c r="P90" s="80">
        <f t="shared" si="28"/>
        <v>2.0000000000000004E-4</v>
      </c>
      <c r="Q90" s="179">
        <v>228.10309394111999</v>
      </c>
      <c r="R90" s="80">
        <f t="shared" si="29"/>
        <v>1.9999999999999998E-4</v>
      </c>
      <c r="S90" s="179">
        <v>232.6651558199425</v>
      </c>
      <c r="T90" s="80">
        <f t="shared" si="30"/>
        <v>2.0000000000000001E-4</v>
      </c>
      <c r="U90" s="179">
        <v>237.31845893634133</v>
      </c>
      <c r="V90" s="80">
        <f t="shared" si="31"/>
        <v>2.0000000000000004E-4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22"/>
        <v>0</v>
      </c>
      <c r="E91" s="179">
        <v>0</v>
      </c>
      <c r="F91" s="80">
        <f t="shared" si="23"/>
        <v>0</v>
      </c>
      <c r="G91" s="179">
        <v>0</v>
      </c>
      <c r="H91" s="80">
        <f t="shared" si="24"/>
        <v>0</v>
      </c>
      <c r="I91" s="179">
        <v>0</v>
      </c>
      <c r="J91" s="80">
        <f t="shared" si="25"/>
        <v>0</v>
      </c>
      <c r="K91" s="179">
        <v>0</v>
      </c>
      <c r="L91" s="80">
        <f t="shared" si="26"/>
        <v>0</v>
      </c>
      <c r="M91" s="179">
        <v>0</v>
      </c>
      <c r="N91" s="80">
        <f t="shared" si="27"/>
        <v>0</v>
      </c>
      <c r="O91" s="179">
        <v>0</v>
      </c>
      <c r="P91" s="80">
        <f t="shared" si="28"/>
        <v>0</v>
      </c>
      <c r="Q91" s="179">
        <v>0</v>
      </c>
      <c r="R91" s="80">
        <f t="shared" si="29"/>
        <v>0</v>
      </c>
      <c r="S91" s="179">
        <v>0</v>
      </c>
      <c r="T91" s="80">
        <f t="shared" si="30"/>
        <v>0</v>
      </c>
      <c r="U91" s="179">
        <v>0</v>
      </c>
      <c r="V91" s="80">
        <f t="shared" si="31"/>
        <v>0</v>
      </c>
      <c r="X91" s="200"/>
    </row>
    <row r="92" spans="1:24" ht="12.75" customHeight="1">
      <c r="A92" s="2" t="s">
        <v>423</v>
      </c>
      <c r="B92" s="35"/>
      <c r="C92" s="179">
        <v>4462.8355200000005</v>
      </c>
      <c r="D92" s="80">
        <f t="shared" si="22"/>
        <v>5.1999999999999998E-3</v>
      </c>
      <c r="E92" s="179">
        <v>4882.7999999999993</v>
      </c>
      <c r="F92" s="80">
        <f t="shared" si="23"/>
        <v>5.1999999999999989E-3</v>
      </c>
      <c r="G92" s="179">
        <v>5371.5999999999995</v>
      </c>
      <c r="H92" s="80">
        <f t="shared" si="24"/>
        <v>5.1999999999999998E-3</v>
      </c>
      <c r="I92" s="179">
        <v>5479.0319999999992</v>
      </c>
      <c r="J92" s="80">
        <f t="shared" si="25"/>
        <v>5.1999999999999989E-3</v>
      </c>
      <c r="K92" s="179">
        <v>5588.6126399999994</v>
      </c>
      <c r="L92" s="80">
        <f t="shared" si="26"/>
        <v>5.1999999999999998E-3</v>
      </c>
      <c r="M92" s="179">
        <v>5700.3848927999998</v>
      </c>
      <c r="N92" s="80">
        <f t="shared" si="27"/>
        <v>5.1999999999999998E-3</v>
      </c>
      <c r="O92" s="179">
        <v>5814.3925906559998</v>
      </c>
      <c r="P92" s="80">
        <f t="shared" si="28"/>
        <v>5.2000000000000006E-3</v>
      </c>
      <c r="Q92" s="179">
        <v>5930.68044246912</v>
      </c>
      <c r="R92" s="80">
        <f t="shared" si="29"/>
        <v>5.1999999999999998E-3</v>
      </c>
      <c r="S92" s="179">
        <v>6049.2940513185049</v>
      </c>
      <c r="T92" s="80">
        <f t="shared" si="30"/>
        <v>5.2000000000000006E-3</v>
      </c>
      <c r="U92" s="179">
        <v>6170.2799323448735</v>
      </c>
      <c r="V92" s="80">
        <f t="shared" si="31"/>
        <v>5.1999999999999998E-3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2"/>
        <v>0</v>
      </c>
      <c r="E93" s="179">
        <v>0</v>
      </c>
      <c r="F93" s="80">
        <f t="shared" si="23"/>
        <v>0</v>
      </c>
      <c r="G93" s="179">
        <v>0</v>
      </c>
      <c r="H93" s="80">
        <f t="shared" si="24"/>
        <v>0</v>
      </c>
      <c r="I93" s="179">
        <v>0</v>
      </c>
      <c r="J93" s="80">
        <f t="shared" si="25"/>
        <v>0</v>
      </c>
      <c r="K93" s="179">
        <v>0</v>
      </c>
      <c r="L93" s="80">
        <f t="shared" si="26"/>
        <v>0</v>
      </c>
      <c r="M93" s="179">
        <v>0</v>
      </c>
      <c r="N93" s="80">
        <f t="shared" si="27"/>
        <v>0</v>
      </c>
      <c r="O93" s="179">
        <v>0</v>
      </c>
      <c r="P93" s="80">
        <f t="shared" si="28"/>
        <v>0</v>
      </c>
      <c r="Q93" s="179">
        <v>0</v>
      </c>
      <c r="R93" s="80">
        <f t="shared" si="29"/>
        <v>0</v>
      </c>
      <c r="S93" s="179">
        <v>0</v>
      </c>
      <c r="T93" s="80">
        <f t="shared" si="30"/>
        <v>0</v>
      </c>
      <c r="U93" s="179">
        <v>0</v>
      </c>
      <c r="V93" s="80">
        <f t="shared" si="31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2"/>
        <v>0</v>
      </c>
      <c r="E94" s="179">
        <v>0</v>
      </c>
      <c r="F94" s="80">
        <f t="shared" si="23"/>
        <v>0</v>
      </c>
      <c r="G94" s="179">
        <v>0</v>
      </c>
      <c r="H94" s="80">
        <f t="shared" si="24"/>
        <v>0</v>
      </c>
      <c r="I94" s="179">
        <v>0</v>
      </c>
      <c r="J94" s="80">
        <f t="shared" si="25"/>
        <v>0</v>
      </c>
      <c r="K94" s="179">
        <v>0</v>
      </c>
      <c r="L94" s="80">
        <f t="shared" si="26"/>
        <v>0</v>
      </c>
      <c r="M94" s="179">
        <v>0</v>
      </c>
      <c r="N94" s="80">
        <f t="shared" si="27"/>
        <v>0</v>
      </c>
      <c r="O94" s="179">
        <v>0</v>
      </c>
      <c r="P94" s="80">
        <f t="shared" si="28"/>
        <v>0</v>
      </c>
      <c r="Q94" s="179">
        <v>0</v>
      </c>
      <c r="R94" s="80">
        <f t="shared" si="29"/>
        <v>0</v>
      </c>
      <c r="S94" s="179">
        <v>0</v>
      </c>
      <c r="T94" s="80">
        <f t="shared" si="30"/>
        <v>0</v>
      </c>
      <c r="U94" s="179">
        <v>0</v>
      </c>
      <c r="V94" s="80">
        <f t="shared" si="31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2"/>
        <v>0</v>
      </c>
      <c r="E95" s="179">
        <v>0</v>
      </c>
      <c r="F95" s="80">
        <f t="shared" si="23"/>
        <v>0</v>
      </c>
      <c r="G95" s="179">
        <v>0</v>
      </c>
      <c r="H95" s="80">
        <f t="shared" si="24"/>
        <v>0</v>
      </c>
      <c r="I95" s="179">
        <v>0</v>
      </c>
      <c r="J95" s="80">
        <f t="shared" si="25"/>
        <v>0</v>
      </c>
      <c r="K95" s="179">
        <v>0</v>
      </c>
      <c r="L95" s="80">
        <f t="shared" si="26"/>
        <v>0</v>
      </c>
      <c r="M95" s="179">
        <v>0</v>
      </c>
      <c r="N95" s="80">
        <f t="shared" si="27"/>
        <v>0</v>
      </c>
      <c r="O95" s="179">
        <v>0</v>
      </c>
      <c r="P95" s="80">
        <f t="shared" si="28"/>
        <v>0</v>
      </c>
      <c r="Q95" s="179">
        <v>0</v>
      </c>
      <c r="R95" s="80">
        <f t="shared" si="29"/>
        <v>0</v>
      </c>
      <c r="S95" s="179">
        <v>0</v>
      </c>
      <c r="T95" s="80">
        <f t="shared" si="30"/>
        <v>0</v>
      </c>
      <c r="U95" s="179">
        <v>0</v>
      </c>
      <c r="V95" s="80">
        <f t="shared" si="31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2"/>
        <v>0</v>
      </c>
      <c r="E96" s="179">
        <v>0</v>
      </c>
      <c r="F96" s="80">
        <f t="shared" si="23"/>
        <v>0</v>
      </c>
      <c r="G96" s="179">
        <v>0</v>
      </c>
      <c r="H96" s="80">
        <f t="shared" si="24"/>
        <v>0</v>
      </c>
      <c r="I96" s="179">
        <v>0</v>
      </c>
      <c r="J96" s="80">
        <f t="shared" si="25"/>
        <v>0</v>
      </c>
      <c r="K96" s="179">
        <v>0</v>
      </c>
      <c r="L96" s="80">
        <f t="shared" si="26"/>
        <v>0</v>
      </c>
      <c r="M96" s="179">
        <v>0</v>
      </c>
      <c r="N96" s="80">
        <f t="shared" si="27"/>
        <v>0</v>
      </c>
      <c r="O96" s="179">
        <v>0</v>
      </c>
      <c r="P96" s="80">
        <f t="shared" si="28"/>
        <v>0</v>
      </c>
      <c r="Q96" s="179">
        <v>0</v>
      </c>
      <c r="R96" s="80">
        <f t="shared" si="29"/>
        <v>0</v>
      </c>
      <c r="S96" s="179">
        <v>0</v>
      </c>
      <c r="T96" s="80">
        <f t="shared" si="30"/>
        <v>0</v>
      </c>
      <c r="U96" s="179">
        <v>0</v>
      </c>
      <c r="V96" s="80">
        <f t="shared" si="31"/>
        <v>0</v>
      </c>
      <c r="X96" s="200"/>
    </row>
    <row r="97" spans="1:24" ht="12.75" customHeight="1">
      <c r="A97" s="2" t="s">
        <v>428</v>
      </c>
      <c r="B97" s="35"/>
      <c r="C97" s="179">
        <v>11698.8326</v>
      </c>
      <c r="D97" s="80">
        <f t="shared" si="22"/>
        <v>1.3631228228639714E-2</v>
      </c>
      <c r="E97" s="179">
        <v>13009.101851200001</v>
      </c>
      <c r="F97" s="80">
        <f t="shared" si="23"/>
        <v>1.3854208574227903E-2</v>
      </c>
      <c r="G97" s="179">
        <v>13464.420415991999</v>
      </c>
      <c r="H97" s="80">
        <f t="shared" si="24"/>
        <v>1.3034288882857695E-2</v>
      </c>
      <c r="I97" s="179">
        <v>13895.281869303742</v>
      </c>
      <c r="J97" s="80">
        <f t="shared" si="25"/>
        <v>1.3187633457950139E-2</v>
      </c>
      <c r="K97" s="179">
        <v>14242.663916036336</v>
      </c>
      <c r="L97" s="80">
        <f t="shared" si="26"/>
        <v>1.3252278719998914E-2</v>
      </c>
      <c r="M97" s="179">
        <v>14598.730513937246</v>
      </c>
      <c r="N97" s="80">
        <f t="shared" si="27"/>
        <v>1.3317240870587143E-2</v>
      </c>
      <c r="O97" s="179">
        <v>14963.698776785674</v>
      </c>
      <c r="P97" s="80">
        <f t="shared" si="28"/>
        <v>1.3382521463090021E-2</v>
      </c>
      <c r="Q97" s="179">
        <v>15337.791246205314</v>
      </c>
      <c r="R97" s="80">
        <f t="shared" si="29"/>
        <v>1.3448122058497321E-2</v>
      </c>
      <c r="S97" s="179">
        <v>15721.236027360448</v>
      </c>
      <c r="T97" s="80">
        <f t="shared" si="30"/>
        <v>1.3514044225450737E-2</v>
      </c>
      <c r="U97" s="179">
        <v>16114.266928044457</v>
      </c>
      <c r="V97" s="80">
        <f t="shared" si="31"/>
        <v>1.3580289540281378E-2</v>
      </c>
      <c r="X97" s="200"/>
    </row>
    <row r="98" spans="1:24" ht="12.75" customHeight="1">
      <c r="A98" s="117" t="s">
        <v>431</v>
      </c>
      <c r="B98" s="35"/>
      <c r="C98" s="179">
        <v>1029.8851200000001</v>
      </c>
      <c r="D98" s="80">
        <f t="shared" si="22"/>
        <v>1.2000000000000001E-3</v>
      </c>
      <c r="E98" s="179">
        <v>1126.7999999999997</v>
      </c>
      <c r="F98" s="80">
        <f t="shared" si="23"/>
        <v>1.1999999999999997E-3</v>
      </c>
      <c r="G98" s="179">
        <v>1239.5999999999999</v>
      </c>
      <c r="H98" s="80">
        <f t="shared" si="24"/>
        <v>1.1999999999999999E-3</v>
      </c>
      <c r="I98" s="179">
        <v>1264.3919999999998</v>
      </c>
      <c r="J98" s="80">
        <f t="shared" si="25"/>
        <v>1.1999999999999999E-3</v>
      </c>
      <c r="K98" s="179">
        <v>1289.6798399999998</v>
      </c>
      <c r="L98" s="80">
        <f t="shared" si="26"/>
        <v>1.1999999999999999E-3</v>
      </c>
      <c r="M98" s="179">
        <v>1315.4734367999999</v>
      </c>
      <c r="N98" s="80">
        <f t="shared" si="27"/>
        <v>1.1999999999999999E-3</v>
      </c>
      <c r="O98" s="179">
        <v>1341.7829055359998</v>
      </c>
      <c r="P98" s="80">
        <f t="shared" si="28"/>
        <v>1.1999999999999999E-3</v>
      </c>
      <c r="Q98" s="179">
        <v>1368.6185636467196</v>
      </c>
      <c r="R98" s="80">
        <f t="shared" si="29"/>
        <v>1.1999999999999997E-3</v>
      </c>
      <c r="S98" s="179">
        <v>1395.9909349196548</v>
      </c>
      <c r="T98" s="80">
        <f t="shared" si="30"/>
        <v>1.1999999999999999E-3</v>
      </c>
      <c r="U98" s="179">
        <v>1423.9107536180477</v>
      </c>
      <c r="V98" s="80">
        <f t="shared" si="31"/>
        <v>1.1999999999999999E-3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2"/>
        <v>0</v>
      </c>
      <c r="E99" s="179">
        <v>0</v>
      </c>
      <c r="F99" s="80">
        <f t="shared" si="23"/>
        <v>0</v>
      </c>
      <c r="G99" s="179">
        <v>0</v>
      </c>
      <c r="H99" s="80">
        <f t="shared" si="24"/>
        <v>0</v>
      </c>
      <c r="I99" s="179">
        <v>0</v>
      </c>
      <c r="J99" s="80">
        <f t="shared" si="25"/>
        <v>0</v>
      </c>
      <c r="K99" s="179">
        <v>0</v>
      </c>
      <c r="L99" s="80">
        <f t="shared" si="26"/>
        <v>0</v>
      </c>
      <c r="M99" s="179">
        <v>0</v>
      </c>
      <c r="N99" s="80">
        <f t="shared" si="27"/>
        <v>0</v>
      </c>
      <c r="O99" s="179">
        <v>0</v>
      </c>
      <c r="P99" s="80">
        <f t="shared" si="28"/>
        <v>0</v>
      </c>
      <c r="Q99" s="179">
        <v>0</v>
      </c>
      <c r="R99" s="80">
        <f t="shared" si="29"/>
        <v>0</v>
      </c>
      <c r="S99" s="179">
        <v>0</v>
      </c>
      <c r="T99" s="80">
        <f t="shared" si="30"/>
        <v>0</v>
      </c>
      <c r="U99" s="179">
        <v>0</v>
      </c>
      <c r="V99" s="80">
        <f t="shared" si="31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2"/>
        <v>0</v>
      </c>
      <c r="E100" s="179">
        <v>0</v>
      </c>
      <c r="F100" s="80">
        <f t="shared" si="23"/>
        <v>0</v>
      </c>
      <c r="G100" s="179">
        <v>0</v>
      </c>
      <c r="H100" s="80">
        <f t="shared" si="24"/>
        <v>0</v>
      </c>
      <c r="I100" s="179">
        <v>0</v>
      </c>
      <c r="J100" s="80">
        <f t="shared" si="25"/>
        <v>0</v>
      </c>
      <c r="K100" s="179">
        <v>0</v>
      </c>
      <c r="L100" s="80">
        <f t="shared" si="26"/>
        <v>0</v>
      </c>
      <c r="M100" s="179">
        <v>0</v>
      </c>
      <c r="N100" s="80">
        <f t="shared" si="27"/>
        <v>0</v>
      </c>
      <c r="O100" s="179">
        <v>0</v>
      </c>
      <c r="P100" s="80">
        <f t="shared" si="28"/>
        <v>0</v>
      </c>
      <c r="Q100" s="179">
        <v>0</v>
      </c>
      <c r="R100" s="80">
        <f t="shared" si="29"/>
        <v>0</v>
      </c>
      <c r="S100" s="179">
        <v>0</v>
      </c>
      <c r="T100" s="80">
        <f t="shared" si="30"/>
        <v>0</v>
      </c>
      <c r="U100" s="179">
        <v>0</v>
      </c>
      <c r="V100" s="80">
        <f t="shared" si="31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2"/>
        <v>0</v>
      </c>
      <c r="E101" s="179"/>
      <c r="F101" s="80">
        <f t="shared" si="23"/>
        <v>0</v>
      </c>
      <c r="G101" s="179"/>
      <c r="H101" s="80">
        <f t="shared" si="24"/>
        <v>0</v>
      </c>
      <c r="I101" s="179">
        <v>0</v>
      </c>
      <c r="J101" s="80">
        <f t="shared" si="25"/>
        <v>0</v>
      </c>
      <c r="K101" s="179">
        <v>0</v>
      </c>
      <c r="L101" s="80">
        <f t="shared" si="26"/>
        <v>0</v>
      </c>
      <c r="M101" s="179">
        <v>0</v>
      </c>
      <c r="N101" s="80">
        <f t="shared" si="27"/>
        <v>0</v>
      </c>
      <c r="O101" s="179">
        <v>0</v>
      </c>
      <c r="P101" s="80">
        <f t="shared" si="28"/>
        <v>0</v>
      </c>
      <c r="Q101" s="179">
        <v>0</v>
      </c>
      <c r="R101" s="80">
        <f t="shared" si="29"/>
        <v>0</v>
      </c>
      <c r="S101" s="179">
        <v>0</v>
      </c>
      <c r="T101" s="80">
        <f t="shared" si="30"/>
        <v>0</v>
      </c>
      <c r="U101" s="179">
        <v>0</v>
      </c>
      <c r="V101" s="80">
        <f t="shared" si="31"/>
        <v>0</v>
      </c>
      <c r="X101" s="200"/>
    </row>
    <row r="102" spans="1:24" ht="12.75" customHeight="1">
      <c r="A102" s="117" t="s">
        <v>433</v>
      </c>
      <c r="B102" s="35"/>
      <c r="C102" s="179">
        <v>8582.376000000002</v>
      </c>
      <c r="D102" s="80">
        <f t="shared" si="22"/>
        <v>1.0000000000000002E-2</v>
      </c>
      <c r="E102" s="179">
        <v>9389.9999999999982</v>
      </c>
      <c r="F102" s="80">
        <f t="shared" si="23"/>
        <v>9.9999999999999985E-3</v>
      </c>
      <c r="G102" s="179">
        <v>10330</v>
      </c>
      <c r="H102" s="80">
        <f t="shared" si="24"/>
        <v>0.01</v>
      </c>
      <c r="I102" s="179">
        <v>10536.6</v>
      </c>
      <c r="J102" s="80">
        <f t="shared" si="25"/>
        <v>0.01</v>
      </c>
      <c r="K102" s="179">
        <v>10747.332</v>
      </c>
      <c r="L102" s="80">
        <f t="shared" si="26"/>
        <v>0.01</v>
      </c>
      <c r="M102" s="179">
        <v>10962.27864</v>
      </c>
      <c r="N102" s="80">
        <f t="shared" si="27"/>
        <v>0.01</v>
      </c>
      <c r="O102" s="179">
        <v>11181.524212800001</v>
      </c>
      <c r="P102" s="80">
        <f t="shared" si="28"/>
        <v>1.0000000000000002E-2</v>
      </c>
      <c r="Q102" s="179">
        <v>11405.154697055999</v>
      </c>
      <c r="R102" s="80">
        <f t="shared" si="29"/>
        <v>9.9999999999999985E-3</v>
      </c>
      <c r="S102" s="179">
        <v>11633.257790997126</v>
      </c>
      <c r="T102" s="80">
        <f t="shared" si="30"/>
        <v>1.0000000000000002E-2</v>
      </c>
      <c r="U102" s="179">
        <v>11865.922946817065</v>
      </c>
      <c r="V102" s="80">
        <f t="shared" si="31"/>
        <v>0.01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2"/>
        <v>0</v>
      </c>
      <c r="E103" s="179">
        <v>0</v>
      </c>
      <c r="F103" s="80">
        <f t="shared" si="23"/>
        <v>0</v>
      </c>
      <c r="G103" s="179">
        <v>0</v>
      </c>
      <c r="H103" s="80">
        <f t="shared" si="24"/>
        <v>0</v>
      </c>
      <c r="I103" s="179">
        <v>0</v>
      </c>
      <c r="J103" s="80">
        <f t="shared" si="25"/>
        <v>0</v>
      </c>
      <c r="K103" s="179">
        <v>0</v>
      </c>
      <c r="L103" s="80">
        <f t="shared" si="26"/>
        <v>0</v>
      </c>
      <c r="M103" s="179">
        <v>0</v>
      </c>
      <c r="N103" s="80">
        <f t="shared" si="27"/>
        <v>0</v>
      </c>
      <c r="O103" s="179">
        <v>0</v>
      </c>
      <c r="P103" s="80">
        <f t="shared" si="28"/>
        <v>0</v>
      </c>
      <c r="Q103" s="179">
        <v>0</v>
      </c>
      <c r="R103" s="80">
        <f t="shared" si="29"/>
        <v>0</v>
      </c>
      <c r="S103" s="179">
        <v>0</v>
      </c>
      <c r="T103" s="80">
        <f t="shared" si="30"/>
        <v>0</v>
      </c>
      <c r="U103" s="179">
        <v>0</v>
      </c>
      <c r="V103" s="80">
        <f t="shared" si="31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2"/>
        <v>0</v>
      </c>
      <c r="E104" s="179">
        <v>0</v>
      </c>
      <c r="F104" s="80">
        <f t="shared" si="23"/>
        <v>0</v>
      </c>
      <c r="G104" s="179">
        <v>0</v>
      </c>
      <c r="H104" s="80">
        <f t="shared" si="24"/>
        <v>0</v>
      </c>
      <c r="I104" s="179">
        <v>0</v>
      </c>
      <c r="J104" s="80">
        <f t="shared" si="25"/>
        <v>0</v>
      </c>
      <c r="K104" s="179">
        <v>0</v>
      </c>
      <c r="L104" s="80">
        <f t="shared" si="26"/>
        <v>0</v>
      </c>
      <c r="M104" s="179">
        <v>0</v>
      </c>
      <c r="N104" s="80">
        <f t="shared" si="27"/>
        <v>0</v>
      </c>
      <c r="O104" s="179">
        <v>0</v>
      </c>
      <c r="P104" s="80">
        <f t="shared" si="28"/>
        <v>0</v>
      </c>
      <c r="Q104" s="179">
        <v>0</v>
      </c>
      <c r="R104" s="80">
        <f t="shared" si="29"/>
        <v>0</v>
      </c>
      <c r="S104" s="179">
        <v>0</v>
      </c>
      <c r="T104" s="80">
        <f t="shared" si="30"/>
        <v>0</v>
      </c>
      <c r="U104" s="179">
        <v>0</v>
      </c>
      <c r="V104" s="80">
        <f t="shared" si="31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178396.41192787528</v>
      </c>
      <c r="D105" s="83">
        <f t="shared" ref="D105" si="32">IFERROR(C105/C$28,0)</f>
        <v>0.20786366377781079</v>
      </c>
      <c r="E105" s="82">
        <f>SUM(E52:E104)</f>
        <v>189792.11575734505</v>
      </c>
      <c r="F105" s="83">
        <f t="shared" ref="F105" si="33">IFERROR(E105/E$28,0)</f>
        <v>0.2021215290280565</v>
      </c>
      <c r="G105" s="82">
        <f>SUM(G52:G104)</f>
        <v>209127.57983559713</v>
      </c>
      <c r="H105" s="83">
        <f t="shared" ref="H105" si="34">IFERROR(G105/G$28,0)</f>
        <v>0.20244683430357902</v>
      </c>
      <c r="I105" s="82">
        <f>SUM(I52:I104)</f>
        <v>213389.63988301152</v>
      </c>
      <c r="J105" s="83">
        <f t="shared" ref="J105" si="35">IFERROR(I105/I$28,0)</f>
        <v>0.20252229360800592</v>
      </c>
      <c r="K105" s="82">
        <f>SUM(K52:K104)</f>
        <v>217617.68666498378</v>
      </c>
      <c r="L105" s="83">
        <f t="shared" ref="L105" si="36">IFERROR(K105/K$28,0)</f>
        <v>0.2024853113916866</v>
      </c>
      <c r="M105" s="82">
        <f>SUM(M52:M104)</f>
        <v>222021.15349549902</v>
      </c>
      <c r="N105" s="83">
        <f t="shared" ref="N105" si="37">IFERROR(M105/M$28,0)</f>
        <v>0.20253193773543693</v>
      </c>
      <c r="O105" s="82">
        <f>SUM(O52:O104)</f>
        <v>226514.64788491363</v>
      </c>
      <c r="P105" s="83">
        <f t="shared" ref="P105" si="38">IFERROR(O105/O$28,0)</f>
        <v>0.20257940113890022</v>
      </c>
      <c r="Q105" s="82">
        <f>SUM(Q52:Q104)</f>
        <v>231099.6776380747</v>
      </c>
      <c r="R105" s="83">
        <f t="shared" ref="R105" si="39">IFERROR(Q105/Q$28,0)</f>
        <v>0.20262739417092535</v>
      </c>
      <c r="S105" s="82">
        <f>SUM(S52:S104)</f>
        <v>235777.78954491825</v>
      </c>
      <c r="T105" s="83">
        <f t="shared" ref="T105" si="40">IFERROR(S105/S$28,0)</f>
        <v>0.2026756337570243</v>
      </c>
      <c r="U105" s="82">
        <f>SUM(U52:U104)</f>
        <v>240942.83777831672</v>
      </c>
      <c r="V105" s="83">
        <f t="shared" si="31"/>
        <v>0.20305444326431232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103220.1864721248</v>
      </c>
      <c r="D107" s="83">
        <f>IFERROR(C107/C$28,0)</f>
        <v>0.12026994211407749</v>
      </c>
      <c r="E107" s="82">
        <f>E28-E33-E46-E105</f>
        <v>112859.15720265493</v>
      </c>
      <c r="F107" s="83">
        <f>IFERROR(E107/E$28,0)</f>
        <v>0.12019079574297649</v>
      </c>
      <c r="G107" s="82">
        <f>G28-G33-G46-G105</f>
        <v>145932.82767800288</v>
      </c>
      <c r="H107" s="83">
        <f>IFERROR(G107/G$28,0)</f>
        <v>0.14127088836205506</v>
      </c>
      <c r="I107" s="82">
        <f>I28-I33-I46-I105</f>
        <v>144553.83667102369</v>
      </c>
      <c r="J107" s="83">
        <f>IFERROR(I107/I$28,0)</f>
        <v>0.1371921081478121</v>
      </c>
      <c r="K107" s="82">
        <f>K28-K33-K46-K105</f>
        <v>145670.85960290229</v>
      </c>
      <c r="L107" s="83">
        <f>IFERROR(K107/K$28,0)</f>
        <v>0.13554141586293444</v>
      </c>
      <c r="M107" s="82">
        <f>M28-M33-M46-M105</f>
        <v>146674.01888508422</v>
      </c>
      <c r="N107" s="83">
        <f>IFERROR(M107/M$28,0)</f>
        <v>0.13379884210376558</v>
      </c>
      <c r="O107" s="82">
        <f>O28-O33-O46-O105</f>
        <v>147648.80451030415</v>
      </c>
      <c r="P107" s="83">
        <f>IFERROR(O107/O$28,0)</f>
        <v>0.13204711781716114</v>
      </c>
      <c r="Q107" s="82">
        <f>Q28-Q33-Q46-Q105</f>
        <v>148593.7797862461</v>
      </c>
      <c r="R107" s="83">
        <f>IFERROR(Q107/Q$28,0)</f>
        <v>0.13028650968197952</v>
      </c>
      <c r="S107" s="82">
        <f>S28-S33-S46-S105</f>
        <v>149507.44140861774</v>
      </c>
      <c r="T107" s="83">
        <f>IFERROR(S107/S$28,0)</f>
        <v>0.12851725982064993</v>
      </c>
      <c r="U107" s="82">
        <f>U28-U33-U46-U105</f>
        <v>149995.94978453653</v>
      </c>
      <c r="V107" s="83">
        <f>IFERROR(U107/U$28,0)</f>
        <v>0.12640900371325239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1">IFERROR(C111/C$28,0)</f>
        <v>0</v>
      </c>
      <c r="E111" s="79">
        <f>E59</f>
        <v>0</v>
      </c>
      <c r="F111" s="80">
        <f t="shared" ref="F111:F116" si="42">IFERROR(E111/E$28,0)</f>
        <v>0</v>
      </c>
      <c r="G111" s="79">
        <f>G59</f>
        <v>0</v>
      </c>
      <c r="H111" s="80">
        <f t="shared" ref="H111:H116" si="43">IFERROR(G111/G$28,0)</f>
        <v>0</v>
      </c>
      <c r="I111" s="79">
        <f>I59</f>
        <v>0</v>
      </c>
      <c r="J111" s="80">
        <f t="shared" ref="J111:J116" si="44">IFERROR(I111/I$28,0)</f>
        <v>0</v>
      </c>
      <c r="K111" s="79">
        <f>K59</f>
        <v>0</v>
      </c>
      <c r="L111" s="80">
        <f t="shared" ref="L111:L116" si="45">IFERROR(K111/K$28,0)</f>
        <v>0</v>
      </c>
      <c r="M111" s="79">
        <f>M59</f>
        <v>0</v>
      </c>
      <c r="N111" s="80">
        <f t="shared" ref="N111:N116" si="46">IFERROR(M111/M$28,0)</f>
        <v>0</v>
      </c>
      <c r="O111" s="79">
        <f>O59</f>
        <v>0</v>
      </c>
      <c r="P111" s="80">
        <f t="shared" ref="P111:P116" si="47">IFERROR(O111/O$28,0)</f>
        <v>0</v>
      </c>
      <c r="Q111" s="79">
        <f>Q59</f>
        <v>0</v>
      </c>
      <c r="R111" s="80">
        <f t="shared" ref="R111:R116" si="48">IFERROR(Q111/Q$28,0)</f>
        <v>0</v>
      </c>
      <c r="S111" s="79">
        <f>S59</f>
        <v>0</v>
      </c>
      <c r="T111" s="80">
        <f t="shared" ref="T111:T116" si="49">IFERROR(S111/S$28,0)</f>
        <v>0</v>
      </c>
      <c r="U111" s="79">
        <f>U59</f>
        <v>0</v>
      </c>
      <c r="V111" s="80">
        <f t="shared" ref="V111:V116" si="50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1"/>
        <v>0</v>
      </c>
      <c r="E112" s="79">
        <f>E62</f>
        <v>0</v>
      </c>
      <c r="F112" s="80">
        <f t="shared" si="42"/>
        <v>0</v>
      </c>
      <c r="G112" s="79">
        <f>G62</f>
        <v>0</v>
      </c>
      <c r="H112" s="80">
        <f t="shared" si="43"/>
        <v>0</v>
      </c>
      <c r="I112" s="79">
        <f>I62</f>
        <v>0</v>
      </c>
      <c r="J112" s="80">
        <f t="shared" si="44"/>
        <v>0</v>
      </c>
      <c r="K112" s="79">
        <f>K62</f>
        <v>0</v>
      </c>
      <c r="L112" s="80">
        <f t="shared" si="45"/>
        <v>0</v>
      </c>
      <c r="M112" s="79">
        <f>M62</f>
        <v>0</v>
      </c>
      <c r="N112" s="80">
        <f t="shared" si="46"/>
        <v>0</v>
      </c>
      <c r="O112" s="79">
        <f>O62</f>
        <v>0</v>
      </c>
      <c r="P112" s="80">
        <f t="shared" si="47"/>
        <v>0</v>
      </c>
      <c r="Q112" s="79">
        <f>Q62</f>
        <v>0</v>
      </c>
      <c r="R112" s="80">
        <f t="shared" si="48"/>
        <v>0</v>
      </c>
      <c r="S112" s="79">
        <f>S62</f>
        <v>0</v>
      </c>
      <c r="T112" s="80">
        <f t="shared" si="49"/>
        <v>0</v>
      </c>
      <c r="U112" s="79">
        <f>U62</f>
        <v>0</v>
      </c>
      <c r="V112" s="80">
        <f t="shared" si="50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1"/>
        <v>0</v>
      </c>
      <c r="E113" s="111">
        <v>0</v>
      </c>
      <c r="F113" s="80">
        <f t="shared" si="42"/>
        <v>0</v>
      </c>
      <c r="G113" s="111">
        <v>0</v>
      </c>
      <c r="H113" s="80">
        <f t="shared" si="43"/>
        <v>0</v>
      </c>
      <c r="I113" s="111">
        <v>0</v>
      </c>
      <c r="J113" s="80">
        <f t="shared" si="44"/>
        <v>0</v>
      </c>
      <c r="K113" s="111">
        <v>0</v>
      </c>
      <c r="L113" s="80">
        <f t="shared" si="45"/>
        <v>0</v>
      </c>
      <c r="M113" s="111">
        <v>0</v>
      </c>
      <c r="N113" s="80">
        <f t="shared" si="46"/>
        <v>0</v>
      </c>
      <c r="O113" s="111">
        <v>0</v>
      </c>
      <c r="P113" s="80">
        <f t="shared" si="47"/>
        <v>0</v>
      </c>
      <c r="Q113" s="111">
        <v>0</v>
      </c>
      <c r="R113" s="80">
        <f t="shared" si="48"/>
        <v>0</v>
      </c>
      <c r="S113" s="111">
        <v>0</v>
      </c>
      <c r="T113" s="80">
        <f t="shared" si="49"/>
        <v>0</v>
      </c>
      <c r="U113" s="111">
        <v>0</v>
      </c>
      <c r="V113" s="80">
        <f t="shared" si="50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1"/>
        <v>0</v>
      </c>
      <c r="E114" s="111">
        <v>0</v>
      </c>
      <c r="F114" s="80">
        <f t="shared" si="42"/>
        <v>0</v>
      </c>
      <c r="G114" s="111">
        <v>0</v>
      </c>
      <c r="H114" s="80">
        <f t="shared" si="43"/>
        <v>0</v>
      </c>
      <c r="I114" s="111">
        <v>0</v>
      </c>
      <c r="J114" s="80">
        <f t="shared" si="44"/>
        <v>0</v>
      </c>
      <c r="K114" s="111">
        <v>0</v>
      </c>
      <c r="L114" s="80">
        <f t="shared" si="45"/>
        <v>0</v>
      </c>
      <c r="M114" s="111">
        <v>0</v>
      </c>
      <c r="N114" s="80">
        <f t="shared" si="46"/>
        <v>0</v>
      </c>
      <c r="O114" s="111">
        <v>0</v>
      </c>
      <c r="P114" s="80">
        <f t="shared" si="47"/>
        <v>0</v>
      </c>
      <c r="Q114" s="111">
        <v>0</v>
      </c>
      <c r="R114" s="80">
        <f t="shared" si="48"/>
        <v>0</v>
      </c>
      <c r="S114" s="111">
        <v>0</v>
      </c>
      <c r="T114" s="80">
        <f t="shared" si="49"/>
        <v>0</v>
      </c>
      <c r="U114" s="111">
        <v>0</v>
      </c>
      <c r="V114" s="80">
        <f t="shared" si="50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1"/>
        <v>0</v>
      </c>
      <c r="E115" s="112">
        <v>0</v>
      </c>
      <c r="F115" s="80">
        <f t="shared" si="42"/>
        <v>0</v>
      </c>
      <c r="G115" s="112">
        <v>0</v>
      </c>
      <c r="H115" s="80">
        <f t="shared" si="43"/>
        <v>0</v>
      </c>
      <c r="I115" s="112">
        <v>0</v>
      </c>
      <c r="J115" s="80">
        <f t="shared" si="44"/>
        <v>0</v>
      </c>
      <c r="K115" s="112">
        <v>0</v>
      </c>
      <c r="L115" s="80">
        <f t="shared" si="45"/>
        <v>0</v>
      </c>
      <c r="M115" s="112">
        <v>0</v>
      </c>
      <c r="N115" s="80">
        <f t="shared" si="46"/>
        <v>0</v>
      </c>
      <c r="O115" s="112">
        <v>0</v>
      </c>
      <c r="P115" s="80">
        <f t="shared" si="47"/>
        <v>0</v>
      </c>
      <c r="Q115" s="112">
        <v>0</v>
      </c>
      <c r="R115" s="80">
        <f t="shared" si="48"/>
        <v>0</v>
      </c>
      <c r="S115" s="112">
        <v>0</v>
      </c>
      <c r="T115" s="80">
        <f t="shared" si="49"/>
        <v>0</v>
      </c>
      <c r="U115" s="112">
        <v>0</v>
      </c>
      <c r="V115" s="80">
        <f t="shared" si="50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1"/>
        <v>0</v>
      </c>
      <c r="E116" s="85">
        <f>SUM(E111:E115)</f>
        <v>0</v>
      </c>
      <c r="F116" s="83">
        <f t="shared" si="42"/>
        <v>0</v>
      </c>
      <c r="G116" s="85">
        <f>SUM(G111:G115)</f>
        <v>0</v>
      </c>
      <c r="H116" s="83">
        <f t="shared" si="43"/>
        <v>0</v>
      </c>
      <c r="I116" s="85">
        <f>SUM(I111:I115)</f>
        <v>0</v>
      </c>
      <c r="J116" s="83">
        <f t="shared" si="44"/>
        <v>0</v>
      </c>
      <c r="K116" s="85">
        <f>SUM(K111:K115)</f>
        <v>0</v>
      </c>
      <c r="L116" s="83">
        <f t="shared" si="45"/>
        <v>0</v>
      </c>
      <c r="M116" s="85">
        <f>SUM(M111:M115)</f>
        <v>0</v>
      </c>
      <c r="N116" s="83">
        <f t="shared" si="46"/>
        <v>0</v>
      </c>
      <c r="O116" s="85">
        <f>SUM(O111:O115)</f>
        <v>0</v>
      </c>
      <c r="P116" s="83">
        <f t="shared" si="47"/>
        <v>0</v>
      </c>
      <c r="Q116" s="85">
        <f>SUM(Q111:Q115)</f>
        <v>0</v>
      </c>
      <c r="R116" s="83">
        <f t="shared" si="48"/>
        <v>0</v>
      </c>
      <c r="S116" s="85">
        <f>SUM(S111:S115)</f>
        <v>0</v>
      </c>
      <c r="T116" s="83">
        <f t="shared" si="49"/>
        <v>0</v>
      </c>
      <c r="U116" s="85">
        <f>SUM(U111:U115)</f>
        <v>0</v>
      </c>
      <c r="V116" s="83">
        <f t="shared" si="50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7" tint="0.59999389629810485"/>
  </sheetPr>
  <dimension ref="A1:X119"/>
  <sheetViews>
    <sheetView topLeftCell="A45" zoomScale="70" zoomScaleNormal="70" workbookViewId="0" xr3:uid="{EE242A16-C6B8-5192-B120-522BC795EE76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39.710937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51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Dunkin Donuts (Parking Garage 5)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228</v>
      </c>
      <c r="E8" s="109">
        <f>+C8</f>
        <v>228</v>
      </c>
      <c r="G8" s="109">
        <f>+E8</f>
        <v>228</v>
      </c>
      <c r="I8" s="109">
        <f>+G8</f>
        <v>228</v>
      </c>
      <c r="K8" s="109">
        <f>+I8</f>
        <v>228</v>
      </c>
      <c r="M8" s="109">
        <f>+K8</f>
        <v>228</v>
      </c>
      <c r="O8" s="109">
        <f>+M8</f>
        <v>228</v>
      </c>
      <c r="Q8" s="109">
        <f>+O8</f>
        <v>228</v>
      </c>
      <c r="S8" s="109">
        <f>+Q8</f>
        <v>228</v>
      </c>
      <c r="U8" s="109">
        <f>+S8</f>
        <v>228</v>
      </c>
    </row>
    <row r="10" spans="1:22" ht="12.75" customHeight="1">
      <c r="A10" s="2" t="s">
        <v>449</v>
      </c>
      <c r="C10" s="209">
        <f>+C14/C8/C12</f>
        <v>279.10685805422651</v>
      </c>
      <c r="D10" s="186"/>
      <c r="E10" s="209">
        <f>+E14/E8/E12</f>
        <v>302.86455167942955</v>
      </c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450</v>
      </c>
      <c r="C12" s="110">
        <v>4.29</v>
      </c>
      <c r="E12" s="110">
        <v>4.33</v>
      </c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451</v>
      </c>
      <c r="C14" s="121">
        <v>273000</v>
      </c>
      <c r="E14" s="121">
        <v>299000</v>
      </c>
      <c r="G14" s="121">
        <f>G12*G10*G8</f>
        <v>0</v>
      </c>
      <c r="I14" s="121">
        <f>I12*I10*I8</f>
        <v>0</v>
      </c>
      <c r="K14" s="121">
        <f>K12*K10*K8</f>
        <v>0</v>
      </c>
      <c r="M14" s="121">
        <f>M12*M10*M8</f>
        <v>0</v>
      </c>
      <c r="O14" s="121">
        <f>O12*O10*O8</f>
        <v>0</v>
      </c>
      <c r="Q14" s="121">
        <f>Q12*Q10*Q8</f>
        <v>0</v>
      </c>
      <c r="S14" s="121">
        <f>S12*S10*S8</f>
        <v>0</v>
      </c>
      <c r="U14" s="121">
        <f>U12*U10*U8</f>
        <v>0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+C14-C20-C21</f>
        <v>235653.6</v>
      </c>
      <c r="D19" s="80">
        <f>IFERROR(C19/C$28,0)</f>
        <v>0.86319999999999997</v>
      </c>
      <c r="E19" s="208">
        <f>+E14-E20-E21</f>
        <v>135835.69999999998</v>
      </c>
      <c r="F19" s="80">
        <f>IFERROR(E19/E$28,0)</f>
        <v>0.45429999999999993</v>
      </c>
      <c r="G19" s="208">
        <f>+G14-G20</f>
        <v>0</v>
      </c>
      <c r="H19" s="80">
        <f>IFERROR(G19/G$28,0)</f>
        <v>0</v>
      </c>
      <c r="I19" s="208">
        <f>+I14-I20</f>
        <v>0</v>
      </c>
      <c r="J19" s="80">
        <f>IFERROR(I19/I$28,0)</f>
        <v>0</v>
      </c>
      <c r="K19" s="208">
        <f>+K14-K20</f>
        <v>0</v>
      </c>
      <c r="L19" s="80">
        <f>IFERROR(K19/K$28,0)</f>
        <v>0</v>
      </c>
      <c r="M19" s="208">
        <f>+M14-M20</f>
        <v>0</v>
      </c>
      <c r="N19" s="80">
        <f>IFERROR(M19/M$28,0)</f>
        <v>0</v>
      </c>
      <c r="O19" s="208">
        <f>+O14-O20</f>
        <v>0</v>
      </c>
      <c r="P19" s="80">
        <f>IFERROR(O19/O$28,0)</f>
        <v>0</v>
      </c>
      <c r="Q19" s="208">
        <f>+Q14-Q20</f>
        <v>0</v>
      </c>
      <c r="R19" s="80">
        <f>IFERROR(Q19/Q$28,0)</f>
        <v>0</v>
      </c>
      <c r="S19" s="208">
        <f>+S14-S20</f>
        <v>0</v>
      </c>
      <c r="T19" s="80">
        <f>IFERROR(S19/S$28,0)</f>
        <v>0</v>
      </c>
      <c r="U19" s="208">
        <f>+U14-U20</f>
        <v>0</v>
      </c>
      <c r="V19" s="80">
        <f>IFERROR(U19/U$28,0)</f>
        <v>0</v>
      </c>
    </row>
    <row r="20" spans="1:24" ht="12.75" customHeight="1">
      <c r="A20" s="2" t="s">
        <v>357</v>
      </c>
      <c r="B20" s="35"/>
      <c r="C20" s="111">
        <f>+C14*12.38%</f>
        <v>33797.4</v>
      </c>
      <c r="D20" s="80">
        <f>IFERROR(C20/C$28,0)</f>
        <v>0.12380000000000001</v>
      </c>
      <c r="E20" s="111">
        <f>+E14*53.27%</f>
        <v>159277.30000000002</v>
      </c>
      <c r="F20" s="80">
        <f>IFERROR(E20/E$28,0)</f>
        <v>0.53270000000000006</v>
      </c>
      <c r="G20" s="111"/>
      <c r="H20" s="80">
        <f>IFERROR(G20/G$28,0)</f>
        <v>0</v>
      </c>
      <c r="I20" s="111">
        <f t="shared" ref="I20:U21" si="0">G20*1.02</f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191" t="s">
        <v>358</v>
      </c>
      <c r="B21" s="203"/>
      <c r="C21" s="111">
        <f>+C14*0.013</f>
        <v>3549</v>
      </c>
      <c r="D21" s="80">
        <f>IFERROR(C21/C$28,0)</f>
        <v>1.2999999999999999E-2</v>
      </c>
      <c r="E21" s="111">
        <f>+E14*0.013</f>
        <v>3887</v>
      </c>
      <c r="F21" s="80">
        <f>IFERROR(E21/E$28,0)</f>
        <v>1.2999999999999999E-2</v>
      </c>
      <c r="G21" s="111"/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364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365</v>
      </c>
      <c r="B28" s="53"/>
      <c r="C28" s="82">
        <f>SUM(C19:C27)</f>
        <v>273000</v>
      </c>
      <c r="D28" s="83">
        <f t="shared" si="1"/>
        <v>1</v>
      </c>
      <c r="E28" s="82">
        <f>SUM(E19:E27)</f>
        <v>299000</v>
      </c>
      <c r="F28" s="83">
        <f t="shared" si="2"/>
        <v>1</v>
      </c>
      <c r="G28" s="82">
        <f>SUM(G19:G27)</f>
        <v>0</v>
      </c>
      <c r="H28" s="83">
        <f t="shared" si="3"/>
        <v>0</v>
      </c>
      <c r="I28" s="82">
        <f>SUM(I19:I27)</f>
        <v>0</v>
      </c>
      <c r="J28" s="83">
        <f t="shared" si="4"/>
        <v>0</v>
      </c>
      <c r="K28" s="82">
        <f>SUM(K19:K27)</f>
        <v>0</v>
      </c>
      <c r="L28" s="83">
        <f t="shared" si="5"/>
        <v>0</v>
      </c>
      <c r="M28" s="82">
        <f>SUM(M19:M27)</f>
        <v>0</v>
      </c>
      <c r="N28" s="83">
        <f t="shared" si="6"/>
        <v>0</v>
      </c>
      <c r="O28" s="82">
        <f>SUM(O19:O27)</f>
        <v>0</v>
      </c>
      <c r="P28" s="83">
        <f t="shared" si="7"/>
        <v>0</v>
      </c>
      <c r="Q28" s="82">
        <f>SUM(Q19:Q27)</f>
        <v>0</v>
      </c>
      <c r="R28" s="83">
        <f t="shared" si="8"/>
        <v>0</v>
      </c>
      <c r="S28" s="82">
        <f>SUM(S19:S27)</f>
        <v>0</v>
      </c>
      <c r="T28" s="83">
        <f t="shared" si="9"/>
        <v>0</v>
      </c>
      <c r="U28" s="82">
        <f>SUM(U19:U27)</f>
        <v>0</v>
      </c>
      <c r="V28" s="83">
        <f t="shared" si="10"/>
        <v>0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0.32900000000000001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89817</v>
      </c>
      <c r="D31" s="80">
        <f>IFERROR(C31/C$28,0)</f>
        <v>0.32900000000000001</v>
      </c>
      <c r="E31" s="179">
        <f>$C$30*E14</f>
        <v>98371</v>
      </c>
      <c r="F31" s="80">
        <f>IFERROR(E31/E$28,0)</f>
        <v>0.32900000000000001</v>
      </c>
      <c r="G31" s="179">
        <f>$C$30*G14</f>
        <v>0</v>
      </c>
      <c r="H31" s="80">
        <f>IFERROR(G31/G$28,0)</f>
        <v>0</v>
      </c>
      <c r="I31" s="179">
        <f>$C$30*I14</f>
        <v>0</v>
      </c>
      <c r="J31" s="80">
        <f>IFERROR(I31/I$28,0)</f>
        <v>0</v>
      </c>
      <c r="K31" s="179">
        <f>$C$30*K14</f>
        <v>0</v>
      </c>
      <c r="L31" s="80">
        <f>IFERROR(K31/K$28,0)</f>
        <v>0</v>
      </c>
      <c r="M31" s="179">
        <f>$C$30*M14</f>
        <v>0</v>
      </c>
      <c r="N31" s="80">
        <f>IFERROR(M31/M$28,0)</f>
        <v>0</v>
      </c>
      <c r="O31" s="179">
        <f>$C$30*O14</f>
        <v>0</v>
      </c>
      <c r="P31" s="80">
        <f>IFERROR(O31/O$28,0)</f>
        <v>0</v>
      </c>
      <c r="Q31" s="179">
        <f>$C$30*Q14</f>
        <v>0</v>
      </c>
      <c r="R31" s="80">
        <f>IFERROR(Q31/Q$28,0)</f>
        <v>0</v>
      </c>
      <c r="S31" s="179">
        <f>$C$30*S14</f>
        <v>0</v>
      </c>
      <c r="T31" s="80">
        <f>IFERROR(S31/S$28,0)</f>
        <v>0</v>
      </c>
      <c r="U31" s="179">
        <f>$C$30*U14</f>
        <v>0</v>
      </c>
      <c r="V31" s="80">
        <f>IFERROR(U31/U$28,0)</f>
        <v>0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89817</v>
      </c>
      <c r="D33" s="83">
        <f>IFERROR(C33/C$28,0)</f>
        <v>0.32900000000000001</v>
      </c>
      <c r="E33" s="82">
        <f>SUM(E31:E32)</f>
        <v>98371</v>
      </c>
      <c r="F33" s="83">
        <f>IFERROR(E33/E$28,0)</f>
        <v>0.32900000000000001</v>
      </c>
      <c r="G33" s="82">
        <f>SUM(G31:G32)</f>
        <v>0</v>
      </c>
      <c r="H33" s="83">
        <f>IFERROR(G33/G$28,0)</f>
        <v>0</v>
      </c>
      <c r="I33" s="82">
        <f>SUM(I31:I32)</f>
        <v>0</v>
      </c>
      <c r="J33" s="83">
        <f>IFERROR(I33/I$28,0)</f>
        <v>0</v>
      </c>
      <c r="K33" s="82">
        <f>SUM(K31:K32)</f>
        <v>0</v>
      </c>
      <c r="L33" s="83">
        <f>IFERROR(K33/K$28,0)</f>
        <v>0</v>
      </c>
      <c r="M33" s="82">
        <f>SUM(M31:M32)</f>
        <v>0</v>
      </c>
      <c r="N33" s="83">
        <f>IFERROR(M33/M$28,0)</f>
        <v>0</v>
      </c>
      <c r="O33" s="82">
        <f>SUM(O31:O32)</f>
        <v>0</v>
      </c>
      <c r="P33" s="83">
        <f>IFERROR(O33/O$28,0)</f>
        <v>0</v>
      </c>
      <c r="Q33" s="82">
        <f>SUM(Q31:Q32)</f>
        <v>0</v>
      </c>
      <c r="R33" s="83">
        <f>IFERROR(Q33/Q$28,0)</f>
        <v>0</v>
      </c>
      <c r="S33" s="82">
        <f>SUM(S31:S32)</f>
        <v>0</v>
      </c>
      <c r="T33" s="83">
        <f>IFERROR(S33/S$28,0)</f>
        <v>0</v>
      </c>
      <c r="U33" s="82">
        <f>SUM(U31:U32)</f>
        <v>0</v>
      </c>
      <c r="V33" s="83">
        <f>IFERROR(U33/U$28,0)</f>
        <v>0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/>
      <c r="D36" s="80">
        <f t="shared" ref="D36:D46" si="11">IFERROR(C36/C$28,0)</f>
        <v>0</v>
      </c>
      <c r="E36" s="179"/>
      <c r="F36" s="80">
        <f t="shared" ref="F36:F46" si="12">IFERROR(E36/E$28,0)</f>
        <v>0</v>
      </c>
      <c r="G36" s="179"/>
      <c r="H36" s="80">
        <f t="shared" ref="H36:H46" si="13">IFERROR(G36/G$28,0)</f>
        <v>0</v>
      </c>
      <c r="I36" s="179"/>
      <c r="J36" s="80">
        <f t="shared" ref="J36:J46" si="14">IFERROR(I36/I$28,0)</f>
        <v>0</v>
      </c>
      <c r="K36" s="179"/>
      <c r="L36" s="80">
        <f t="shared" ref="L36:L46" si="15">IFERROR(K36/K$28,0)</f>
        <v>0</v>
      </c>
      <c r="M36" s="179"/>
      <c r="N36" s="80">
        <f t="shared" ref="N36:N46" si="16">IFERROR(M36/M$28,0)</f>
        <v>0</v>
      </c>
      <c r="O36" s="179"/>
      <c r="P36" s="80">
        <f t="shared" ref="P36:P46" si="17">IFERROR(O36/O$28,0)</f>
        <v>0</v>
      </c>
      <c r="Q36" s="179"/>
      <c r="R36" s="80">
        <f t="shared" ref="R36:R46" si="18">IFERROR(Q36/Q$28,0)</f>
        <v>0</v>
      </c>
      <c r="S36" s="179"/>
      <c r="T36" s="80">
        <f t="shared" ref="T36:T46" si="19">IFERROR(S36/S$28,0)</f>
        <v>0</v>
      </c>
      <c r="U36" s="179"/>
      <c r="V36" s="80">
        <f t="shared" ref="V36:V46" si="20">IFERROR(U36/U$28,0)</f>
        <v>0</v>
      </c>
    </row>
    <row r="37" spans="1:22" ht="12.75" customHeight="1">
      <c r="A37" s="2" t="s">
        <v>372</v>
      </c>
      <c r="B37" s="35"/>
      <c r="C37" s="179">
        <v>64244</v>
      </c>
      <c r="D37" s="80">
        <f t="shared" si="11"/>
        <v>0.23532600732600734</v>
      </c>
      <c r="E37" s="179">
        <f>+C37*1.112</f>
        <v>71439.328000000009</v>
      </c>
      <c r="F37" s="80">
        <f t="shared" si="12"/>
        <v>0.23892751839464885</v>
      </c>
      <c r="G37" s="179"/>
      <c r="H37" s="80">
        <f t="shared" si="13"/>
        <v>0</v>
      </c>
      <c r="I37" s="179">
        <f>+G37*1.032</f>
        <v>0</v>
      </c>
      <c r="J37" s="80">
        <f t="shared" si="14"/>
        <v>0</v>
      </c>
      <c r="K37" s="179">
        <f>+I37*1.025</f>
        <v>0</v>
      </c>
      <c r="L37" s="80">
        <f t="shared" si="15"/>
        <v>0</v>
      </c>
      <c r="M37" s="179">
        <f>+K37*1.025</f>
        <v>0</v>
      </c>
      <c r="N37" s="80">
        <f t="shared" si="16"/>
        <v>0</v>
      </c>
      <c r="O37" s="179">
        <f>+M37*1.025</f>
        <v>0</v>
      </c>
      <c r="P37" s="80">
        <f t="shared" si="17"/>
        <v>0</v>
      </c>
      <c r="Q37" s="179">
        <f>+O37*1.025</f>
        <v>0</v>
      </c>
      <c r="R37" s="80">
        <f t="shared" si="18"/>
        <v>0</v>
      </c>
      <c r="S37" s="179">
        <f>+Q37*1.025</f>
        <v>0</v>
      </c>
      <c r="T37" s="80">
        <f t="shared" si="19"/>
        <v>0</v>
      </c>
      <c r="U37" s="179">
        <f>+S37*1.025</f>
        <v>0</v>
      </c>
      <c r="V37" s="80">
        <f t="shared" si="20"/>
        <v>0</v>
      </c>
    </row>
    <row r="38" spans="1:22" ht="12.75" customHeight="1">
      <c r="A38" s="2" t="s">
        <v>373</v>
      </c>
      <c r="B38" s="35"/>
      <c r="C38" s="179">
        <v>11583</v>
      </c>
      <c r="D38" s="80">
        <f t="shared" si="11"/>
        <v>4.2428571428571427E-2</v>
      </c>
      <c r="E38" s="179">
        <f t="shared" ref="E38:E39" si="21">+C38*1.112</f>
        <v>12880.296</v>
      </c>
      <c r="F38" s="80">
        <f t="shared" si="12"/>
        <v>4.3077913043478265E-2</v>
      </c>
      <c r="G38" s="179"/>
      <c r="H38" s="80">
        <f t="shared" si="13"/>
        <v>0</v>
      </c>
      <c r="I38" s="179">
        <f>+G38*1.032</f>
        <v>0</v>
      </c>
      <c r="J38" s="80">
        <f t="shared" si="14"/>
        <v>0</v>
      </c>
      <c r="K38" s="179">
        <f>+I38*1.025</f>
        <v>0</v>
      </c>
      <c r="L38" s="80">
        <f t="shared" si="15"/>
        <v>0</v>
      </c>
      <c r="M38" s="179">
        <f>+K38*1.025</f>
        <v>0</v>
      </c>
      <c r="N38" s="80">
        <f t="shared" si="16"/>
        <v>0</v>
      </c>
      <c r="O38" s="179">
        <f>+M38*1.025</f>
        <v>0</v>
      </c>
      <c r="P38" s="80">
        <f t="shared" si="17"/>
        <v>0</v>
      </c>
      <c r="Q38" s="179">
        <f>+O38*1.025</f>
        <v>0</v>
      </c>
      <c r="R38" s="80">
        <f t="shared" si="18"/>
        <v>0</v>
      </c>
      <c r="S38" s="179">
        <f>+Q38*1.025</f>
        <v>0</v>
      </c>
      <c r="T38" s="80">
        <f t="shared" si="19"/>
        <v>0</v>
      </c>
      <c r="U38" s="179">
        <f>+S38*1.025</f>
        <v>0</v>
      </c>
      <c r="V38" s="80">
        <f t="shared" si="20"/>
        <v>0</v>
      </c>
    </row>
    <row r="39" spans="1:22" ht="12.75" customHeight="1">
      <c r="A39" s="2" t="s">
        <v>374</v>
      </c>
      <c r="B39" s="35"/>
      <c r="C39" s="179">
        <v>6864</v>
      </c>
      <c r="D39" s="80">
        <f t="shared" si="11"/>
        <v>2.5142857142857144E-2</v>
      </c>
      <c r="E39" s="179">
        <f t="shared" si="21"/>
        <v>7632.7680000000009</v>
      </c>
      <c r="F39" s="80">
        <f t="shared" si="12"/>
        <v>2.5527652173913045E-2</v>
      </c>
      <c r="G39" s="179"/>
      <c r="H39" s="80">
        <f t="shared" si="13"/>
        <v>0</v>
      </c>
      <c r="I39" s="179">
        <f>+G39*1.032</f>
        <v>0</v>
      </c>
      <c r="J39" s="80">
        <f t="shared" si="14"/>
        <v>0</v>
      </c>
      <c r="K39" s="179">
        <f>+I39*1.025</f>
        <v>0</v>
      </c>
      <c r="L39" s="80">
        <f t="shared" si="15"/>
        <v>0</v>
      </c>
      <c r="M39" s="179">
        <f>+K39*1.025</f>
        <v>0</v>
      </c>
      <c r="N39" s="80">
        <f t="shared" si="16"/>
        <v>0</v>
      </c>
      <c r="O39" s="179">
        <f>+M39*1.025</f>
        <v>0</v>
      </c>
      <c r="P39" s="80">
        <f t="shared" si="17"/>
        <v>0</v>
      </c>
      <c r="Q39" s="179">
        <f>+O39*1.025</f>
        <v>0</v>
      </c>
      <c r="R39" s="80">
        <f t="shared" si="18"/>
        <v>0</v>
      </c>
      <c r="S39" s="179">
        <f>+Q39*1.025</f>
        <v>0</v>
      </c>
      <c r="T39" s="80">
        <f t="shared" si="19"/>
        <v>0</v>
      </c>
      <c r="U39" s="179">
        <f>+S39*1.025</f>
        <v>0</v>
      </c>
      <c r="V39" s="80">
        <f t="shared" si="20"/>
        <v>0</v>
      </c>
    </row>
    <row r="40" spans="1:22" ht="12.75" customHeight="1">
      <c r="A40" s="2" t="s">
        <v>375</v>
      </c>
      <c r="B40" s="35"/>
      <c r="C40" s="179">
        <f>C36*0.124</f>
        <v>0</v>
      </c>
      <c r="D40" s="80">
        <f t="shared" si="11"/>
        <v>0</v>
      </c>
      <c r="E40" s="201">
        <f>E36*0.124</f>
        <v>0</v>
      </c>
      <c r="F40" s="80">
        <f t="shared" si="12"/>
        <v>0</v>
      </c>
      <c r="G40" s="113"/>
      <c r="H40" s="80">
        <f t="shared" si="13"/>
        <v>0</v>
      </c>
      <c r="I40" s="113">
        <f>I36*0.124</f>
        <v>0</v>
      </c>
      <c r="J40" s="80">
        <f t="shared" si="14"/>
        <v>0</v>
      </c>
      <c r="K40" s="113">
        <f>K36*0.124</f>
        <v>0</v>
      </c>
      <c r="L40" s="80">
        <f t="shared" si="15"/>
        <v>0</v>
      </c>
      <c r="M40" s="113">
        <f>M36*0.124</f>
        <v>0</v>
      </c>
      <c r="N40" s="80">
        <f t="shared" si="16"/>
        <v>0</v>
      </c>
      <c r="O40" s="113">
        <f>O36*0.124</f>
        <v>0</v>
      </c>
      <c r="P40" s="80">
        <f t="shared" si="17"/>
        <v>0</v>
      </c>
      <c r="Q40" s="113">
        <f>Q36*0.124</f>
        <v>0</v>
      </c>
      <c r="R40" s="80">
        <f t="shared" si="18"/>
        <v>0</v>
      </c>
      <c r="S40" s="113">
        <f>S36*0.124</f>
        <v>0</v>
      </c>
      <c r="T40" s="80">
        <f t="shared" si="19"/>
        <v>0</v>
      </c>
      <c r="U40" s="113">
        <f>U36*0.124</f>
        <v>0</v>
      </c>
      <c r="V40" s="80">
        <f t="shared" si="20"/>
        <v>0</v>
      </c>
    </row>
    <row r="41" spans="1:22" ht="12.75" customHeight="1">
      <c r="A41" s="2" t="s">
        <v>376</v>
      </c>
      <c r="B41" s="35"/>
      <c r="C41" s="179">
        <f>C37*0.124</f>
        <v>7966.2560000000003</v>
      </c>
      <c r="D41" s="80">
        <f t="shared" si="11"/>
        <v>2.9180424908424908E-2</v>
      </c>
      <c r="E41" s="179">
        <f>E37*0.124</f>
        <v>8858.4766720000007</v>
      </c>
      <c r="F41" s="80">
        <f t="shared" si="12"/>
        <v>2.9627012280936456E-2</v>
      </c>
      <c r="G41" s="113"/>
      <c r="H41" s="80">
        <f t="shared" si="13"/>
        <v>0</v>
      </c>
      <c r="I41" s="113">
        <f>I37*0.124</f>
        <v>0</v>
      </c>
      <c r="J41" s="80">
        <f t="shared" si="14"/>
        <v>0</v>
      </c>
      <c r="K41" s="113">
        <f>K37*0.124</f>
        <v>0</v>
      </c>
      <c r="L41" s="80">
        <f t="shared" si="15"/>
        <v>0</v>
      </c>
      <c r="M41" s="113">
        <f>M37*0.124</f>
        <v>0</v>
      </c>
      <c r="N41" s="80">
        <f t="shared" si="16"/>
        <v>0</v>
      </c>
      <c r="O41" s="113">
        <f>O37*0.124</f>
        <v>0</v>
      </c>
      <c r="P41" s="80">
        <f t="shared" si="17"/>
        <v>0</v>
      </c>
      <c r="Q41" s="113">
        <f>Q37*0.124</f>
        <v>0</v>
      </c>
      <c r="R41" s="80">
        <f t="shared" si="18"/>
        <v>0</v>
      </c>
      <c r="S41" s="113">
        <f>S37*0.124</f>
        <v>0</v>
      </c>
      <c r="T41" s="80">
        <f t="shared" si="19"/>
        <v>0</v>
      </c>
      <c r="U41" s="113">
        <f>U37*0.124</f>
        <v>0</v>
      </c>
      <c r="V41" s="80">
        <f t="shared" si="20"/>
        <v>0</v>
      </c>
    </row>
    <row r="42" spans="1:22" ht="12.75" customHeight="1">
      <c r="A42" s="2" t="s">
        <v>377</v>
      </c>
      <c r="B42" s="35"/>
      <c r="C42" s="179"/>
      <c r="D42" s="80">
        <f t="shared" si="11"/>
        <v>0</v>
      </c>
      <c r="E42" s="179"/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79"/>
      <c r="D43" s="80">
        <f t="shared" si="11"/>
        <v>0</v>
      </c>
      <c r="E43" s="179"/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79"/>
      <c r="D44" s="80">
        <f t="shared" si="11"/>
        <v>0</v>
      </c>
      <c r="E44" s="179"/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82">
        <f>SUM(C36:C39)*0.094</f>
        <v>7772.9539999999997</v>
      </c>
      <c r="D45" s="80">
        <f t="shared" si="11"/>
        <v>2.8472358974358972E-2</v>
      </c>
      <c r="E45" s="182">
        <f>SUM(E36:E39)*0.094</f>
        <v>8643.5248480000009</v>
      </c>
      <c r="F45" s="80">
        <f t="shared" si="12"/>
        <v>2.8908109859531777E-2</v>
      </c>
      <c r="G45" s="114"/>
      <c r="H45" s="80">
        <f t="shared" si="13"/>
        <v>0</v>
      </c>
      <c r="I45" s="114">
        <f>SUM(I36:I39)*0.094</f>
        <v>0</v>
      </c>
      <c r="J45" s="80">
        <f t="shared" si="14"/>
        <v>0</v>
      </c>
      <c r="K45" s="114">
        <f>SUM(K36:K39)*0.094</f>
        <v>0</v>
      </c>
      <c r="L45" s="80">
        <f t="shared" si="15"/>
        <v>0</v>
      </c>
      <c r="M45" s="114">
        <f>SUM(M36:M39)*0.094</f>
        <v>0</v>
      </c>
      <c r="N45" s="80">
        <f t="shared" si="16"/>
        <v>0</v>
      </c>
      <c r="O45" s="114">
        <f>SUM(O36:O39)*0.094</f>
        <v>0</v>
      </c>
      <c r="P45" s="80">
        <f t="shared" si="17"/>
        <v>0</v>
      </c>
      <c r="Q45" s="114">
        <f>SUM(Q36:Q39)*0.094</f>
        <v>0</v>
      </c>
      <c r="R45" s="80">
        <f t="shared" si="18"/>
        <v>0</v>
      </c>
      <c r="S45" s="114">
        <f>SUM(S36:S39)*0.094</f>
        <v>0</v>
      </c>
      <c r="T45" s="80">
        <f t="shared" si="19"/>
        <v>0</v>
      </c>
      <c r="U45" s="114">
        <f>SUM(U36:U39)*0.094</f>
        <v>0</v>
      </c>
      <c r="V45" s="80">
        <f t="shared" si="20"/>
        <v>0</v>
      </c>
    </row>
    <row r="46" spans="1:22" ht="12.75" customHeight="1">
      <c r="A46" s="1" t="s">
        <v>381</v>
      </c>
      <c r="B46" s="53"/>
      <c r="C46" s="82">
        <f>SUM(C36:C45)</f>
        <v>98430.209999999992</v>
      </c>
      <c r="D46" s="83">
        <f t="shared" si="11"/>
        <v>0.36055021978021973</v>
      </c>
      <c r="E46" s="82">
        <f>SUM(E36:E45)</f>
        <v>109454.39352000001</v>
      </c>
      <c r="F46" s="83">
        <f t="shared" si="12"/>
        <v>0.36606820575250842</v>
      </c>
      <c r="G46" s="82">
        <f>SUM(G36:G45)</f>
        <v>0</v>
      </c>
      <c r="H46" s="83">
        <f t="shared" si="13"/>
        <v>0</v>
      </c>
      <c r="I46" s="82">
        <f>SUM(I36:I45)</f>
        <v>0</v>
      </c>
      <c r="J46" s="83">
        <f t="shared" si="14"/>
        <v>0</v>
      </c>
      <c r="K46" s="82">
        <f>SUM(K36:K45)</f>
        <v>0</v>
      </c>
      <c r="L46" s="83">
        <f t="shared" si="15"/>
        <v>0</v>
      </c>
      <c r="M46" s="82">
        <f>SUM(M36:M45)</f>
        <v>0</v>
      </c>
      <c r="N46" s="83">
        <f t="shared" si="16"/>
        <v>0</v>
      </c>
      <c r="O46" s="82">
        <f>SUM(O36:O45)</f>
        <v>0</v>
      </c>
      <c r="P46" s="83">
        <f t="shared" si="17"/>
        <v>0</v>
      </c>
      <c r="Q46" s="82">
        <f>SUM(Q36:Q45)</f>
        <v>0</v>
      </c>
      <c r="R46" s="83">
        <f t="shared" si="18"/>
        <v>0</v>
      </c>
      <c r="S46" s="82">
        <f>SUM(S36:S45)</f>
        <v>0</v>
      </c>
      <c r="T46" s="83">
        <f t="shared" si="19"/>
        <v>0</v>
      </c>
      <c r="U46" s="82">
        <f>SUM(U36:U45)</f>
        <v>0</v>
      </c>
      <c r="V46" s="83">
        <f t="shared" si="20"/>
        <v>0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2">IFERROR(C52/C$28,0)</f>
        <v>0</v>
      </c>
      <c r="E52" s="179">
        <v>0</v>
      </c>
      <c r="F52" s="80">
        <f t="shared" ref="F52:F104" si="23">IFERROR(E52/E$28,0)</f>
        <v>0</v>
      </c>
      <c r="G52" s="179">
        <v>0</v>
      </c>
      <c r="H52" s="80">
        <f t="shared" ref="H52:H104" si="24">IFERROR(G52/G$28,0)</f>
        <v>0</v>
      </c>
      <c r="I52" s="179">
        <v>0</v>
      </c>
      <c r="J52" s="80">
        <f t="shared" ref="J52:J104" si="25">IFERROR(I52/I$28,0)</f>
        <v>0</v>
      </c>
      <c r="K52" s="179">
        <v>0</v>
      </c>
      <c r="L52" s="80">
        <f t="shared" ref="L52:L104" si="26">IFERROR(K52/K$28,0)</f>
        <v>0</v>
      </c>
      <c r="M52" s="179">
        <v>0</v>
      </c>
      <c r="N52" s="80">
        <f t="shared" ref="N52:N104" si="27">IFERROR(M52/M$28,0)</f>
        <v>0</v>
      </c>
      <c r="O52" s="179">
        <v>0</v>
      </c>
      <c r="P52" s="80">
        <f t="shared" ref="P52:P104" si="28">IFERROR(O52/O$28,0)</f>
        <v>0</v>
      </c>
      <c r="Q52" s="179">
        <v>0</v>
      </c>
      <c r="R52" s="80">
        <f t="shared" ref="R52:R104" si="29">IFERROR(Q52/Q$28,0)</f>
        <v>0</v>
      </c>
      <c r="S52" s="179">
        <v>0</v>
      </c>
      <c r="T52" s="80">
        <f t="shared" ref="T52:T104" si="30">IFERROR(S52/S$28,0)</f>
        <v>0</v>
      </c>
      <c r="U52" s="179">
        <v>0</v>
      </c>
      <c r="V52" s="80">
        <f t="shared" ref="V52:V105" si="31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2"/>
        <v>0</v>
      </c>
      <c r="E53" s="179">
        <v>0</v>
      </c>
      <c r="F53" s="80">
        <f t="shared" si="23"/>
        <v>0</v>
      </c>
      <c r="G53" s="179">
        <v>0</v>
      </c>
      <c r="H53" s="80">
        <f t="shared" si="24"/>
        <v>0</v>
      </c>
      <c r="I53" s="179">
        <v>0</v>
      </c>
      <c r="J53" s="80">
        <f t="shared" si="25"/>
        <v>0</v>
      </c>
      <c r="K53" s="179">
        <v>0</v>
      </c>
      <c r="L53" s="80">
        <f t="shared" si="26"/>
        <v>0</v>
      </c>
      <c r="M53" s="179">
        <v>0</v>
      </c>
      <c r="N53" s="80">
        <f t="shared" si="27"/>
        <v>0</v>
      </c>
      <c r="O53" s="179">
        <v>0</v>
      </c>
      <c r="P53" s="80">
        <f t="shared" si="28"/>
        <v>0</v>
      </c>
      <c r="Q53" s="179">
        <v>0</v>
      </c>
      <c r="R53" s="80">
        <f t="shared" si="29"/>
        <v>0</v>
      </c>
      <c r="S53" s="179">
        <v>0</v>
      </c>
      <c r="T53" s="80">
        <f t="shared" si="30"/>
        <v>0</v>
      </c>
      <c r="U53" s="179">
        <v>0</v>
      </c>
      <c r="V53" s="80">
        <f t="shared" si="31"/>
        <v>0</v>
      </c>
      <c r="X53" s="200"/>
    </row>
    <row r="54" spans="1:24" ht="12.75" customHeight="1">
      <c r="A54" s="2" t="s">
        <v>385</v>
      </c>
      <c r="B54" s="35"/>
      <c r="C54" s="179">
        <v>191.1</v>
      </c>
      <c r="D54" s="80">
        <f t="shared" si="22"/>
        <v>6.9999999999999999E-4</v>
      </c>
      <c r="E54" s="179">
        <v>209.3</v>
      </c>
      <c r="F54" s="80">
        <f t="shared" si="23"/>
        <v>6.9999999999999999E-4</v>
      </c>
      <c r="G54" s="179">
        <v>0</v>
      </c>
      <c r="H54" s="80">
        <f t="shared" si="24"/>
        <v>0</v>
      </c>
      <c r="I54" s="179">
        <v>0</v>
      </c>
      <c r="J54" s="80">
        <f t="shared" si="25"/>
        <v>0</v>
      </c>
      <c r="K54" s="179">
        <v>0</v>
      </c>
      <c r="L54" s="80">
        <f t="shared" si="26"/>
        <v>0</v>
      </c>
      <c r="M54" s="179">
        <v>0</v>
      </c>
      <c r="N54" s="80">
        <f t="shared" si="27"/>
        <v>0</v>
      </c>
      <c r="O54" s="179">
        <v>0</v>
      </c>
      <c r="P54" s="80">
        <f t="shared" si="28"/>
        <v>0</v>
      </c>
      <c r="Q54" s="179">
        <v>0</v>
      </c>
      <c r="R54" s="80">
        <f t="shared" si="29"/>
        <v>0</v>
      </c>
      <c r="S54" s="179">
        <v>0</v>
      </c>
      <c r="T54" s="80">
        <f t="shared" si="30"/>
        <v>0</v>
      </c>
      <c r="U54" s="179">
        <v>0</v>
      </c>
      <c r="V54" s="80">
        <f t="shared" si="31"/>
        <v>0</v>
      </c>
      <c r="X54" s="200"/>
    </row>
    <row r="55" spans="1:24" ht="12.75" customHeight="1">
      <c r="A55" s="2" t="s">
        <v>386</v>
      </c>
      <c r="B55" s="35"/>
      <c r="C55" s="179">
        <v>21840</v>
      </c>
      <c r="D55" s="80">
        <f t="shared" si="22"/>
        <v>0.08</v>
      </c>
      <c r="E55" s="179">
        <v>23920</v>
      </c>
      <c r="F55" s="80">
        <f t="shared" si="23"/>
        <v>0.08</v>
      </c>
      <c r="G55" s="179">
        <v>0</v>
      </c>
      <c r="H55" s="80">
        <f t="shared" si="24"/>
        <v>0</v>
      </c>
      <c r="I55" s="179">
        <v>0</v>
      </c>
      <c r="J55" s="80">
        <f t="shared" si="25"/>
        <v>0</v>
      </c>
      <c r="K55" s="179">
        <v>0</v>
      </c>
      <c r="L55" s="80">
        <f t="shared" si="26"/>
        <v>0</v>
      </c>
      <c r="M55" s="179">
        <v>0</v>
      </c>
      <c r="N55" s="80">
        <f t="shared" si="27"/>
        <v>0</v>
      </c>
      <c r="O55" s="179">
        <v>0</v>
      </c>
      <c r="P55" s="80">
        <f t="shared" si="28"/>
        <v>0</v>
      </c>
      <c r="Q55" s="179">
        <v>0</v>
      </c>
      <c r="R55" s="80">
        <f t="shared" si="29"/>
        <v>0</v>
      </c>
      <c r="S55" s="179">
        <v>0</v>
      </c>
      <c r="T55" s="80">
        <f t="shared" si="30"/>
        <v>0</v>
      </c>
      <c r="U55" s="179">
        <v>0</v>
      </c>
      <c r="V55" s="80">
        <f t="shared" si="31"/>
        <v>0</v>
      </c>
      <c r="X55" s="200"/>
    </row>
    <row r="56" spans="1:24" ht="12.75" customHeight="1">
      <c r="A56" s="2" t="s">
        <v>387</v>
      </c>
      <c r="B56" s="35"/>
      <c r="C56" s="179">
        <v>139.23000000000002</v>
      </c>
      <c r="D56" s="80">
        <f t="shared" si="22"/>
        <v>5.1000000000000004E-4</v>
      </c>
      <c r="E56" s="179">
        <v>152.49000000000004</v>
      </c>
      <c r="F56" s="80">
        <f t="shared" si="23"/>
        <v>5.1000000000000015E-4</v>
      </c>
      <c r="G56" s="179">
        <v>0</v>
      </c>
      <c r="H56" s="80">
        <f t="shared" si="24"/>
        <v>0</v>
      </c>
      <c r="I56" s="179">
        <v>0</v>
      </c>
      <c r="J56" s="80">
        <f t="shared" si="25"/>
        <v>0</v>
      </c>
      <c r="K56" s="179">
        <v>0</v>
      </c>
      <c r="L56" s="80">
        <f t="shared" si="26"/>
        <v>0</v>
      </c>
      <c r="M56" s="179">
        <v>0</v>
      </c>
      <c r="N56" s="80">
        <f t="shared" si="27"/>
        <v>0</v>
      </c>
      <c r="O56" s="179">
        <v>0</v>
      </c>
      <c r="P56" s="80">
        <f t="shared" si="28"/>
        <v>0</v>
      </c>
      <c r="Q56" s="179">
        <v>0</v>
      </c>
      <c r="R56" s="80">
        <f t="shared" si="29"/>
        <v>0</v>
      </c>
      <c r="S56" s="179">
        <v>0</v>
      </c>
      <c r="T56" s="80">
        <f t="shared" si="30"/>
        <v>0</v>
      </c>
      <c r="U56" s="179">
        <v>0</v>
      </c>
      <c r="V56" s="80">
        <f t="shared" si="31"/>
        <v>0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2"/>
        <v>0</v>
      </c>
      <c r="E57" s="179">
        <v>0</v>
      </c>
      <c r="F57" s="80">
        <f t="shared" si="23"/>
        <v>0</v>
      </c>
      <c r="G57" s="179">
        <v>0</v>
      </c>
      <c r="H57" s="80">
        <f t="shared" si="24"/>
        <v>0</v>
      </c>
      <c r="I57" s="179">
        <v>0</v>
      </c>
      <c r="J57" s="80">
        <f t="shared" si="25"/>
        <v>0</v>
      </c>
      <c r="K57" s="179">
        <v>0</v>
      </c>
      <c r="L57" s="80">
        <f t="shared" si="26"/>
        <v>0</v>
      </c>
      <c r="M57" s="179">
        <v>0</v>
      </c>
      <c r="N57" s="80">
        <f t="shared" si="27"/>
        <v>0</v>
      </c>
      <c r="O57" s="179">
        <v>0</v>
      </c>
      <c r="P57" s="80">
        <f t="shared" si="28"/>
        <v>0</v>
      </c>
      <c r="Q57" s="179">
        <v>0</v>
      </c>
      <c r="R57" s="80">
        <f t="shared" si="29"/>
        <v>0</v>
      </c>
      <c r="S57" s="179">
        <v>0</v>
      </c>
      <c r="T57" s="80">
        <f t="shared" si="30"/>
        <v>0</v>
      </c>
      <c r="U57" s="179">
        <v>0</v>
      </c>
      <c r="V57" s="80">
        <f t="shared" si="31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2"/>
        <v>0</v>
      </c>
      <c r="E58" s="179">
        <v>0</v>
      </c>
      <c r="F58" s="80">
        <f t="shared" si="23"/>
        <v>0</v>
      </c>
      <c r="G58" s="179">
        <v>0</v>
      </c>
      <c r="H58" s="80">
        <f t="shared" si="24"/>
        <v>0</v>
      </c>
      <c r="I58" s="179">
        <v>0</v>
      </c>
      <c r="J58" s="80">
        <f t="shared" si="25"/>
        <v>0</v>
      </c>
      <c r="K58" s="179">
        <v>0</v>
      </c>
      <c r="L58" s="80">
        <f t="shared" si="26"/>
        <v>0</v>
      </c>
      <c r="M58" s="179">
        <v>0</v>
      </c>
      <c r="N58" s="80">
        <f t="shared" si="27"/>
        <v>0</v>
      </c>
      <c r="O58" s="179">
        <v>0</v>
      </c>
      <c r="P58" s="80">
        <f t="shared" si="28"/>
        <v>0</v>
      </c>
      <c r="Q58" s="179">
        <v>0</v>
      </c>
      <c r="R58" s="80">
        <f t="shared" si="29"/>
        <v>0</v>
      </c>
      <c r="S58" s="179">
        <v>0</v>
      </c>
      <c r="T58" s="80">
        <f t="shared" si="30"/>
        <v>0</v>
      </c>
      <c r="U58" s="179">
        <v>0</v>
      </c>
      <c r="V58" s="80">
        <f t="shared" si="31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2"/>
        <v>0</v>
      </c>
      <c r="E59" s="179">
        <v>0</v>
      </c>
      <c r="F59" s="80">
        <f t="shared" si="23"/>
        <v>0</v>
      </c>
      <c r="G59" s="179">
        <v>0</v>
      </c>
      <c r="H59" s="80">
        <f t="shared" si="24"/>
        <v>0</v>
      </c>
      <c r="I59" s="179">
        <v>0</v>
      </c>
      <c r="J59" s="80">
        <f t="shared" si="25"/>
        <v>0</v>
      </c>
      <c r="K59" s="179">
        <v>0</v>
      </c>
      <c r="L59" s="80">
        <f t="shared" si="26"/>
        <v>0</v>
      </c>
      <c r="M59" s="179">
        <v>0</v>
      </c>
      <c r="N59" s="80">
        <f t="shared" si="27"/>
        <v>0</v>
      </c>
      <c r="O59" s="179">
        <v>0</v>
      </c>
      <c r="P59" s="80">
        <f t="shared" si="28"/>
        <v>0</v>
      </c>
      <c r="Q59" s="179">
        <v>0</v>
      </c>
      <c r="R59" s="80">
        <f t="shared" si="29"/>
        <v>0</v>
      </c>
      <c r="S59" s="179">
        <v>0</v>
      </c>
      <c r="T59" s="80">
        <f t="shared" si="30"/>
        <v>0</v>
      </c>
      <c r="U59" s="179">
        <v>0</v>
      </c>
      <c r="V59" s="80">
        <f t="shared" si="31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2"/>
        <v>0</v>
      </c>
      <c r="E60" s="179">
        <v>0</v>
      </c>
      <c r="F60" s="80">
        <f t="shared" si="23"/>
        <v>0</v>
      </c>
      <c r="G60" s="179">
        <v>0</v>
      </c>
      <c r="H60" s="80">
        <f t="shared" si="24"/>
        <v>0</v>
      </c>
      <c r="I60" s="179">
        <v>0</v>
      </c>
      <c r="J60" s="80">
        <f t="shared" si="25"/>
        <v>0</v>
      </c>
      <c r="K60" s="179">
        <v>0</v>
      </c>
      <c r="L60" s="80">
        <f t="shared" si="26"/>
        <v>0</v>
      </c>
      <c r="M60" s="179">
        <v>0</v>
      </c>
      <c r="N60" s="80">
        <f t="shared" si="27"/>
        <v>0</v>
      </c>
      <c r="O60" s="179">
        <v>0</v>
      </c>
      <c r="P60" s="80">
        <f t="shared" si="28"/>
        <v>0</v>
      </c>
      <c r="Q60" s="179">
        <v>0</v>
      </c>
      <c r="R60" s="80">
        <f t="shared" si="29"/>
        <v>0</v>
      </c>
      <c r="S60" s="179">
        <v>0</v>
      </c>
      <c r="T60" s="80">
        <f t="shared" si="30"/>
        <v>0</v>
      </c>
      <c r="U60" s="179">
        <v>0</v>
      </c>
      <c r="V60" s="80">
        <f t="shared" si="31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2"/>
        <v>0</v>
      </c>
      <c r="E61" s="179">
        <v>0</v>
      </c>
      <c r="F61" s="80">
        <f t="shared" si="23"/>
        <v>0</v>
      </c>
      <c r="G61" s="179">
        <v>0</v>
      </c>
      <c r="H61" s="80">
        <f t="shared" si="24"/>
        <v>0</v>
      </c>
      <c r="I61" s="179">
        <v>0</v>
      </c>
      <c r="J61" s="80">
        <f t="shared" si="25"/>
        <v>0</v>
      </c>
      <c r="K61" s="179">
        <v>0</v>
      </c>
      <c r="L61" s="80">
        <f t="shared" si="26"/>
        <v>0</v>
      </c>
      <c r="M61" s="179">
        <v>0</v>
      </c>
      <c r="N61" s="80">
        <f t="shared" si="27"/>
        <v>0</v>
      </c>
      <c r="O61" s="179">
        <v>0</v>
      </c>
      <c r="P61" s="80">
        <f t="shared" si="28"/>
        <v>0</v>
      </c>
      <c r="Q61" s="179">
        <v>0</v>
      </c>
      <c r="R61" s="80">
        <f t="shared" si="29"/>
        <v>0</v>
      </c>
      <c r="S61" s="179">
        <v>0</v>
      </c>
      <c r="T61" s="80">
        <f t="shared" si="30"/>
        <v>0</v>
      </c>
      <c r="U61" s="179">
        <v>0</v>
      </c>
      <c r="V61" s="80">
        <f t="shared" si="31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2"/>
        <v>0</v>
      </c>
      <c r="E62" s="179">
        <v>0</v>
      </c>
      <c r="F62" s="80">
        <f t="shared" si="23"/>
        <v>0</v>
      </c>
      <c r="G62" s="179">
        <v>0</v>
      </c>
      <c r="H62" s="80">
        <f t="shared" si="24"/>
        <v>0</v>
      </c>
      <c r="I62" s="179">
        <v>0</v>
      </c>
      <c r="J62" s="80">
        <f t="shared" si="25"/>
        <v>0</v>
      </c>
      <c r="K62" s="179">
        <v>0</v>
      </c>
      <c r="L62" s="80">
        <f t="shared" si="26"/>
        <v>0</v>
      </c>
      <c r="M62" s="179">
        <v>0</v>
      </c>
      <c r="N62" s="80">
        <f t="shared" si="27"/>
        <v>0</v>
      </c>
      <c r="O62" s="179">
        <v>0</v>
      </c>
      <c r="P62" s="80">
        <f t="shared" si="28"/>
        <v>0</v>
      </c>
      <c r="Q62" s="179">
        <v>0</v>
      </c>
      <c r="R62" s="80">
        <f t="shared" si="29"/>
        <v>0</v>
      </c>
      <c r="S62" s="179">
        <v>0</v>
      </c>
      <c r="T62" s="80">
        <f t="shared" si="30"/>
        <v>0</v>
      </c>
      <c r="U62" s="179">
        <v>0</v>
      </c>
      <c r="V62" s="80">
        <f t="shared" si="31"/>
        <v>0</v>
      </c>
      <c r="X62" s="200"/>
    </row>
    <row r="63" spans="1:24" ht="12.75" customHeight="1">
      <c r="A63" s="2" t="s">
        <v>394</v>
      </c>
      <c r="B63" s="35"/>
      <c r="C63" s="179">
        <v>3746.2249049237234</v>
      </c>
      <c r="D63" s="80">
        <f t="shared" si="22"/>
        <v>1.3722435549171148E-2</v>
      </c>
      <c r="E63" s="179">
        <v>2319.4388156947607</v>
      </c>
      <c r="F63" s="80">
        <f t="shared" si="23"/>
        <v>7.7573204538286308E-3</v>
      </c>
      <c r="G63" s="179">
        <v>0</v>
      </c>
      <c r="H63" s="80">
        <f t="shared" si="24"/>
        <v>0</v>
      </c>
      <c r="I63" s="179">
        <v>0</v>
      </c>
      <c r="J63" s="80">
        <f t="shared" si="25"/>
        <v>0</v>
      </c>
      <c r="K63" s="179">
        <v>0</v>
      </c>
      <c r="L63" s="80">
        <f t="shared" si="26"/>
        <v>0</v>
      </c>
      <c r="M63" s="179">
        <v>0</v>
      </c>
      <c r="N63" s="80">
        <f t="shared" si="27"/>
        <v>0</v>
      </c>
      <c r="O63" s="179">
        <v>0</v>
      </c>
      <c r="P63" s="80">
        <f t="shared" si="28"/>
        <v>0</v>
      </c>
      <c r="Q63" s="179">
        <v>0</v>
      </c>
      <c r="R63" s="80">
        <f t="shared" si="29"/>
        <v>0</v>
      </c>
      <c r="S63" s="179">
        <v>0</v>
      </c>
      <c r="T63" s="80">
        <f t="shared" si="30"/>
        <v>0</v>
      </c>
      <c r="U63" s="179">
        <v>0</v>
      </c>
      <c r="V63" s="80">
        <f t="shared" si="31"/>
        <v>0</v>
      </c>
      <c r="X63" s="200"/>
    </row>
    <row r="64" spans="1:24" ht="12.75" customHeight="1">
      <c r="A64" s="2" t="s">
        <v>395</v>
      </c>
      <c r="B64" s="35"/>
      <c r="C64" s="179">
        <v>1310.3999999999999</v>
      </c>
      <c r="D64" s="80">
        <f t="shared" si="22"/>
        <v>4.7999999999999996E-3</v>
      </c>
      <c r="E64" s="179">
        <v>1435.1999999999998</v>
      </c>
      <c r="F64" s="80">
        <f t="shared" si="23"/>
        <v>4.7999999999999996E-3</v>
      </c>
      <c r="G64" s="179">
        <v>0</v>
      </c>
      <c r="H64" s="80">
        <f t="shared" si="24"/>
        <v>0</v>
      </c>
      <c r="I64" s="179">
        <v>0</v>
      </c>
      <c r="J64" s="80">
        <f t="shared" si="25"/>
        <v>0</v>
      </c>
      <c r="K64" s="179">
        <v>0</v>
      </c>
      <c r="L64" s="80">
        <f t="shared" si="26"/>
        <v>0</v>
      </c>
      <c r="M64" s="179">
        <v>0</v>
      </c>
      <c r="N64" s="80">
        <f t="shared" si="27"/>
        <v>0</v>
      </c>
      <c r="O64" s="179">
        <v>0</v>
      </c>
      <c r="P64" s="80">
        <f t="shared" si="28"/>
        <v>0</v>
      </c>
      <c r="Q64" s="179">
        <v>0</v>
      </c>
      <c r="R64" s="80">
        <f t="shared" si="29"/>
        <v>0</v>
      </c>
      <c r="S64" s="179">
        <v>0</v>
      </c>
      <c r="T64" s="80">
        <f t="shared" si="30"/>
        <v>0</v>
      </c>
      <c r="U64" s="179">
        <v>0</v>
      </c>
      <c r="V64" s="80">
        <f t="shared" si="31"/>
        <v>0</v>
      </c>
      <c r="X64" s="200"/>
    </row>
    <row r="65" spans="1:24" ht="12.75" customHeight="1">
      <c r="A65" s="2" t="s">
        <v>396</v>
      </c>
      <c r="B65" s="35"/>
      <c r="C65" s="179">
        <v>136.5</v>
      </c>
      <c r="D65" s="80">
        <f t="shared" si="22"/>
        <v>5.0000000000000001E-4</v>
      </c>
      <c r="E65" s="179">
        <v>149.5</v>
      </c>
      <c r="F65" s="80">
        <f t="shared" si="23"/>
        <v>5.0000000000000001E-4</v>
      </c>
      <c r="G65" s="179">
        <v>0</v>
      </c>
      <c r="H65" s="80">
        <f t="shared" si="24"/>
        <v>0</v>
      </c>
      <c r="I65" s="179">
        <v>0</v>
      </c>
      <c r="J65" s="80">
        <f t="shared" si="25"/>
        <v>0</v>
      </c>
      <c r="K65" s="179">
        <v>0</v>
      </c>
      <c r="L65" s="80">
        <f t="shared" si="26"/>
        <v>0</v>
      </c>
      <c r="M65" s="179">
        <v>0</v>
      </c>
      <c r="N65" s="80">
        <f t="shared" si="27"/>
        <v>0</v>
      </c>
      <c r="O65" s="179">
        <v>0</v>
      </c>
      <c r="P65" s="80">
        <f t="shared" si="28"/>
        <v>0</v>
      </c>
      <c r="Q65" s="179">
        <v>0</v>
      </c>
      <c r="R65" s="80">
        <f t="shared" si="29"/>
        <v>0</v>
      </c>
      <c r="S65" s="179">
        <v>0</v>
      </c>
      <c r="T65" s="80">
        <f t="shared" si="30"/>
        <v>0</v>
      </c>
      <c r="U65" s="179">
        <v>0</v>
      </c>
      <c r="V65" s="80">
        <f t="shared" si="31"/>
        <v>0</v>
      </c>
      <c r="X65" s="200"/>
    </row>
    <row r="66" spans="1:24" ht="12.75" customHeight="1">
      <c r="A66" s="2" t="s">
        <v>397</v>
      </c>
      <c r="B66" s="35"/>
      <c r="C66" s="179">
        <v>764.4</v>
      </c>
      <c r="D66" s="80">
        <f t="shared" si="22"/>
        <v>2.8E-3</v>
      </c>
      <c r="E66" s="179">
        <v>837.2</v>
      </c>
      <c r="F66" s="80">
        <f t="shared" si="23"/>
        <v>2.8E-3</v>
      </c>
      <c r="G66" s="179">
        <v>0</v>
      </c>
      <c r="H66" s="80">
        <f t="shared" si="24"/>
        <v>0</v>
      </c>
      <c r="I66" s="179">
        <v>0</v>
      </c>
      <c r="J66" s="80">
        <f t="shared" si="25"/>
        <v>0</v>
      </c>
      <c r="K66" s="179">
        <v>0</v>
      </c>
      <c r="L66" s="80">
        <f t="shared" si="26"/>
        <v>0</v>
      </c>
      <c r="M66" s="179">
        <v>0</v>
      </c>
      <c r="N66" s="80">
        <f t="shared" si="27"/>
        <v>0</v>
      </c>
      <c r="O66" s="179">
        <v>0</v>
      </c>
      <c r="P66" s="80">
        <f t="shared" si="28"/>
        <v>0</v>
      </c>
      <c r="Q66" s="179">
        <v>0</v>
      </c>
      <c r="R66" s="80">
        <f t="shared" si="29"/>
        <v>0</v>
      </c>
      <c r="S66" s="179">
        <v>0</v>
      </c>
      <c r="T66" s="80">
        <f t="shared" si="30"/>
        <v>0</v>
      </c>
      <c r="U66" s="179">
        <v>0</v>
      </c>
      <c r="V66" s="80">
        <f t="shared" si="31"/>
        <v>0</v>
      </c>
      <c r="X66" s="200"/>
    </row>
    <row r="67" spans="1:24" ht="12.75" customHeight="1">
      <c r="A67" s="2" t="s">
        <v>398</v>
      </c>
      <c r="B67" s="35"/>
      <c r="C67" s="179">
        <v>4095</v>
      </c>
      <c r="D67" s="80">
        <f t="shared" si="22"/>
        <v>1.4999999999999999E-2</v>
      </c>
      <c r="E67" s="179">
        <v>4485</v>
      </c>
      <c r="F67" s="80">
        <f t="shared" si="23"/>
        <v>1.4999999999999999E-2</v>
      </c>
      <c r="G67" s="179">
        <v>0</v>
      </c>
      <c r="H67" s="80">
        <f t="shared" si="24"/>
        <v>0</v>
      </c>
      <c r="I67" s="179">
        <v>0</v>
      </c>
      <c r="J67" s="80">
        <f t="shared" si="25"/>
        <v>0</v>
      </c>
      <c r="K67" s="179">
        <v>0</v>
      </c>
      <c r="L67" s="80">
        <f t="shared" si="26"/>
        <v>0</v>
      </c>
      <c r="M67" s="179">
        <v>0</v>
      </c>
      <c r="N67" s="80">
        <f t="shared" si="27"/>
        <v>0</v>
      </c>
      <c r="O67" s="179">
        <v>0</v>
      </c>
      <c r="P67" s="80">
        <f t="shared" si="28"/>
        <v>0</v>
      </c>
      <c r="Q67" s="179">
        <v>0</v>
      </c>
      <c r="R67" s="80">
        <f t="shared" si="29"/>
        <v>0</v>
      </c>
      <c r="S67" s="179">
        <v>0</v>
      </c>
      <c r="T67" s="80">
        <f t="shared" si="30"/>
        <v>0</v>
      </c>
      <c r="U67" s="179">
        <v>0</v>
      </c>
      <c r="V67" s="80">
        <f t="shared" si="31"/>
        <v>0</v>
      </c>
      <c r="X67" s="200"/>
    </row>
    <row r="68" spans="1:24" ht="12.75" customHeight="1">
      <c r="A68" s="2" t="s">
        <v>399</v>
      </c>
      <c r="B68" s="35"/>
      <c r="C68" s="179">
        <v>464.1</v>
      </c>
      <c r="D68" s="80">
        <f t="shared" si="22"/>
        <v>1.7000000000000001E-3</v>
      </c>
      <c r="E68" s="179">
        <v>508.3</v>
      </c>
      <c r="F68" s="80">
        <f t="shared" si="23"/>
        <v>1.7000000000000001E-3</v>
      </c>
      <c r="G68" s="179">
        <v>0</v>
      </c>
      <c r="H68" s="80">
        <f t="shared" si="24"/>
        <v>0</v>
      </c>
      <c r="I68" s="179">
        <v>0</v>
      </c>
      <c r="J68" s="80">
        <f t="shared" si="25"/>
        <v>0</v>
      </c>
      <c r="K68" s="179">
        <v>0</v>
      </c>
      <c r="L68" s="80">
        <f t="shared" si="26"/>
        <v>0</v>
      </c>
      <c r="M68" s="179">
        <v>0</v>
      </c>
      <c r="N68" s="80">
        <f t="shared" si="27"/>
        <v>0</v>
      </c>
      <c r="O68" s="179">
        <v>0</v>
      </c>
      <c r="P68" s="80">
        <f t="shared" si="28"/>
        <v>0</v>
      </c>
      <c r="Q68" s="179">
        <v>0</v>
      </c>
      <c r="R68" s="80">
        <f t="shared" si="29"/>
        <v>0</v>
      </c>
      <c r="S68" s="179">
        <v>0</v>
      </c>
      <c r="T68" s="80">
        <f t="shared" si="30"/>
        <v>0</v>
      </c>
      <c r="U68" s="179">
        <v>0</v>
      </c>
      <c r="V68" s="80">
        <f t="shared" si="31"/>
        <v>0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2"/>
        <v>0</v>
      </c>
      <c r="E69" s="179">
        <v>0</v>
      </c>
      <c r="F69" s="80">
        <f t="shared" si="23"/>
        <v>0</v>
      </c>
      <c r="G69" s="179">
        <v>0</v>
      </c>
      <c r="H69" s="80">
        <f t="shared" si="24"/>
        <v>0</v>
      </c>
      <c r="I69" s="179">
        <v>0</v>
      </c>
      <c r="J69" s="80">
        <f t="shared" si="25"/>
        <v>0</v>
      </c>
      <c r="K69" s="179">
        <v>0</v>
      </c>
      <c r="L69" s="80">
        <f t="shared" si="26"/>
        <v>0</v>
      </c>
      <c r="M69" s="179">
        <v>0</v>
      </c>
      <c r="N69" s="80">
        <f t="shared" si="27"/>
        <v>0</v>
      </c>
      <c r="O69" s="179">
        <v>0</v>
      </c>
      <c r="P69" s="80">
        <f t="shared" si="28"/>
        <v>0</v>
      </c>
      <c r="Q69" s="179">
        <v>0</v>
      </c>
      <c r="R69" s="80">
        <f t="shared" si="29"/>
        <v>0</v>
      </c>
      <c r="S69" s="179">
        <v>0</v>
      </c>
      <c r="T69" s="80">
        <f t="shared" si="30"/>
        <v>0</v>
      </c>
      <c r="U69" s="179">
        <v>0</v>
      </c>
      <c r="V69" s="80">
        <f t="shared" si="31"/>
        <v>0</v>
      </c>
      <c r="X69" s="200"/>
    </row>
    <row r="70" spans="1:24" ht="12.75" customHeight="1">
      <c r="A70" s="2" t="s">
        <v>401</v>
      </c>
      <c r="B70" s="35"/>
      <c r="C70" s="179">
        <v>27.300000000000004</v>
      </c>
      <c r="D70" s="80">
        <f t="shared" si="22"/>
        <v>1.0000000000000002E-4</v>
      </c>
      <c r="E70" s="179">
        <v>29.900000000000002</v>
      </c>
      <c r="F70" s="80">
        <f t="shared" si="23"/>
        <v>1E-4</v>
      </c>
      <c r="G70" s="179">
        <v>0</v>
      </c>
      <c r="H70" s="80">
        <f t="shared" si="24"/>
        <v>0</v>
      </c>
      <c r="I70" s="179">
        <v>0</v>
      </c>
      <c r="J70" s="80">
        <f t="shared" si="25"/>
        <v>0</v>
      </c>
      <c r="K70" s="179">
        <v>0</v>
      </c>
      <c r="L70" s="80">
        <f t="shared" si="26"/>
        <v>0</v>
      </c>
      <c r="M70" s="179">
        <v>0</v>
      </c>
      <c r="N70" s="80">
        <f t="shared" si="27"/>
        <v>0</v>
      </c>
      <c r="O70" s="179">
        <v>0</v>
      </c>
      <c r="P70" s="80">
        <f t="shared" si="28"/>
        <v>0</v>
      </c>
      <c r="Q70" s="179">
        <v>0</v>
      </c>
      <c r="R70" s="80">
        <f t="shared" si="29"/>
        <v>0</v>
      </c>
      <c r="S70" s="179">
        <v>0</v>
      </c>
      <c r="T70" s="80">
        <f t="shared" si="30"/>
        <v>0</v>
      </c>
      <c r="U70" s="179">
        <v>0</v>
      </c>
      <c r="V70" s="80">
        <f t="shared" si="31"/>
        <v>0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2"/>
        <v>0</v>
      </c>
      <c r="E71" s="179">
        <v>0</v>
      </c>
      <c r="F71" s="80">
        <f t="shared" si="23"/>
        <v>0</v>
      </c>
      <c r="G71" s="179">
        <v>0</v>
      </c>
      <c r="H71" s="80">
        <f t="shared" si="24"/>
        <v>0</v>
      </c>
      <c r="I71" s="179">
        <v>0</v>
      </c>
      <c r="J71" s="80">
        <f t="shared" si="25"/>
        <v>0</v>
      </c>
      <c r="K71" s="179">
        <v>0</v>
      </c>
      <c r="L71" s="80">
        <f t="shared" si="26"/>
        <v>0</v>
      </c>
      <c r="M71" s="179">
        <v>0</v>
      </c>
      <c r="N71" s="80">
        <f t="shared" si="27"/>
        <v>0</v>
      </c>
      <c r="O71" s="179">
        <v>0</v>
      </c>
      <c r="P71" s="80">
        <f t="shared" si="28"/>
        <v>0</v>
      </c>
      <c r="Q71" s="179">
        <v>0</v>
      </c>
      <c r="R71" s="80">
        <f t="shared" si="29"/>
        <v>0</v>
      </c>
      <c r="S71" s="179">
        <v>0</v>
      </c>
      <c r="T71" s="80">
        <f t="shared" si="30"/>
        <v>0</v>
      </c>
      <c r="U71" s="179">
        <v>0</v>
      </c>
      <c r="V71" s="80">
        <f t="shared" si="31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2"/>
        <v>0</v>
      </c>
      <c r="E72" s="179">
        <v>0</v>
      </c>
      <c r="F72" s="80">
        <f t="shared" si="23"/>
        <v>0</v>
      </c>
      <c r="G72" s="179">
        <v>0</v>
      </c>
      <c r="H72" s="80">
        <f t="shared" si="24"/>
        <v>0</v>
      </c>
      <c r="I72" s="179">
        <v>0</v>
      </c>
      <c r="J72" s="80">
        <f t="shared" si="25"/>
        <v>0</v>
      </c>
      <c r="K72" s="179">
        <v>0</v>
      </c>
      <c r="L72" s="80">
        <f t="shared" si="26"/>
        <v>0</v>
      </c>
      <c r="M72" s="179">
        <v>0</v>
      </c>
      <c r="N72" s="80">
        <f t="shared" si="27"/>
        <v>0</v>
      </c>
      <c r="O72" s="179">
        <v>0</v>
      </c>
      <c r="P72" s="80">
        <f t="shared" si="28"/>
        <v>0</v>
      </c>
      <c r="Q72" s="179">
        <v>0</v>
      </c>
      <c r="R72" s="80">
        <f t="shared" si="29"/>
        <v>0</v>
      </c>
      <c r="S72" s="179">
        <v>0</v>
      </c>
      <c r="T72" s="80">
        <f t="shared" si="30"/>
        <v>0</v>
      </c>
      <c r="U72" s="179">
        <v>0</v>
      </c>
      <c r="V72" s="80">
        <f t="shared" si="31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2"/>
        <v>0</v>
      </c>
      <c r="E73" s="179">
        <v>0</v>
      </c>
      <c r="F73" s="80">
        <f t="shared" si="23"/>
        <v>0</v>
      </c>
      <c r="G73" s="179">
        <v>0</v>
      </c>
      <c r="H73" s="80">
        <f t="shared" si="24"/>
        <v>0</v>
      </c>
      <c r="I73" s="179">
        <v>0</v>
      </c>
      <c r="J73" s="80">
        <f t="shared" si="25"/>
        <v>0</v>
      </c>
      <c r="K73" s="179">
        <v>0</v>
      </c>
      <c r="L73" s="80">
        <f t="shared" si="26"/>
        <v>0</v>
      </c>
      <c r="M73" s="179">
        <v>0</v>
      </c>
      <c r="N73" s="80">
        <f t="shared" si="27"/>
        <v>0</v>
      </c>
      <c r="O73" s="179">
        <v>0</v>
      </c>
      <c r="P73" s="80">
        <f t="shared" si="28"/>
        <v>0</v>
      </c>
      <c r="Q73" s="179">
        <v>0</v>
      </c>
      <c r="R73" s="80">
        <f t="shared" si="29"/>
        <v>0</v>
      </c>
      <c r="S73" s="179">
        <v>0</v>
      </c>
      <c r="T73" s="80">
        <f t="shared" si="30"/>
        <v>0</v>
      </c>
      <c r="U73" s="179">
        <v>0</v>
      </c>
      <c r="V73" s="80">
        <f t="shared" si="31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2"/>
        <v>0</v>
      </c>
      <c r="E74" s="179">
        <v>0</v>
      </c>
      <c r="F74" s="80">
        <f t="shared" si="23"/>
        <v>0</v>
      </c>
      <c r="G74" s="179">
        <v>0</v>
      </c>
      <c r="H74" s="80">
        <f t="shared" si="24"/>
        <v>0</v>
      </c>
      <c r="I74" s="179">
        <v>0</v>
      </c>
      <c r="J74" s="80">
        <f t="shared" si="25"/>
        <v>0</v>
      </c>
      <c r="K74" s="179">
        <v>0</v>
      </c>
      <c r="L74" s="80">
        <f t="shared" si="26"/>
        <v>0</v>
      </c>
      <c r="M74" s="179">
        <v>0</v>
      </c>
      <c r="N74" s="80">
        <f t="shared" si="27"/>
        <v>0</v>
      </c>
      <c r="O74" s="179">
        <v>0</v>
      </c>
      <c r="P74" s="80">
        <f t="shared" si="28"/>
        <v>0</v>
      </c>
      <c r="Q74" s="179">
        <v>0</v>
      </c>
      <c r="R74" s="80">
        <f t="shared" si="29"/>
        <v>0</v>
      </c>
      <c r="S74" s="179">
        <v>0</v>
      </c>
      <c r="T74" s="80">
        <f t="shared" si="30"/>
        <v>0</v>
      </c>
      <c r="U74" s="179">
        <v>0</v>
      </c>
      <c r="V74" s="80">
        <f t="shared" si="31"/>
        <v>0</v>
      </c>
      <c r="X74" s="200"/>
    </row>
    <row r="75" spans="1:24" ht="12.75" customHeight="1">
      <c r="A75" s="2" t="s">
        <v>406</v>
      </c>
      <c r="B75" s="35"/>
      <c r="C75" s="179">
        <v>1365</v>
      </c>
      <c r="D75" s="80">
        <f t="shared" si="22"/>
        <v>5.0000000000000001E-3</v>
      </c>
      <c r="E75" s="179">
        <v>1495</v>
      </c>
      <c r="F75" s="80">
        <f t="shared" si="23"/>
        <v>5.0000000000000001E-3</v>
      </c>
      <c r="G75" s="179">
        <v>0</v>
      </c>
      <c r="H75" s="80">
        <f t="shared" si="24"/>
        <v>0</v>
      </c>
      <c r="I75" s="179">
        <v>0</v>
      </c>
      <c r="J75" s="80">
        <f t="shared" si="25"/>
        <v>0</v>
      </c>
      <c r="K75" s="179">
        <v>0</v>
      </c>
      <c r="L75" s="80">
        <f t="shared" si="26"/>
        <v>0</v>
      </c>
      <c r="M75" s="179">
        <v>0</v>
      </c>
      <c r="N75" s="80">
        <f t="shared" si="27"/>
        <v>0</v>
      </c>
      <c r="O75" s="179">
        <v>0</v>
      </c>
      <c r="P75" s="80">
        <f t="shared" si="28"/>
        <v>0</v>
      </c>
      <c r="Q75" s="179">
        <v>0</v>
      </c>
      <c r="R75" s="80">
        <f t="shared" si="29"/>
        <v>0</v>
      </c>
      <c r="S75" s="179">
        <v>0</v>
      </c>
      <c r="T75" s="80">
        <f t="shared" si="30"/>
        <v>0</v>
      </c>
      <c r="U75" s="179">
        <v>0</v>
      </c>
      <c r="V75" s="80">
        <f t="shared" si="31"/>
        <v>0</v>
      </c>
      <c r="X75" s="200"/>
    </row>
    <row r="76" spans="1:24" ht="12.75" customHeight="1">
      <c r="A76" s="2" t="s">
        <v>407</v>
      </c>
      <c r="B76" s="35"/>
      <c r="C76" s="179">
        <v>109.20000000000002</v>
      </c>
      <c r="D76" s="80">
        <f t="shared" si="22"/>
        <v>4.0000000000000007E-4</v>
      </c>
      <c r="E76" s="179">
        <v>119.60000000000001</v>
      </c>
      <c r="F76" s="80">
        <f t="shared" si="23"/>
        <v>4.0000000000000002E-4</v>
      </c>
      <c r="G76" s="179">
        <v>0</v>
      </c>
      <c r="H76" s="80">
        <f t="shared" si="24"/>
        <v>0</v>
      </c>
      <c r="I76" s="179">
        <v>0</v>
      </c>
      <c r="J76" s="80">
        <f t="shared" si="25"/>
        <v>0</v>
      </c>
      <c r="K76" s="179">
        <v>0</v>
      </c>
      <c r="L76" s="80">
        <f t="shared" si="26"/>
        <v>0</v>
      </c>
      <c r="M76" s="179">
        <v>0</v>
      </c>
      <c r="N76" s="80">
        <f t="shared" si="27"/>
        <v>0</v>
      </c>
      <c r="O76" s="179">
        <v>0</v>
      </c>
      <c r="P76" s="80">
        <f t="shared" si="28"/>
        <v>0</v>
      </c>
      <c r="Q76" s="179">
        <v>0</v>
      </c>
      <c r="R76" s="80">
        <f t="shared" si="29"/>
        <v>0</v>
      </c>
      <c r="S76" s="179">
        <v>0</v>
      </c>
      <c r="T76" s="80">
        <f t="shared" si="30"/>
        <v>0</v>
      </c>
      <c r="U76" s="179">
        <v>0</v>
      </c>
      <c r="V76" s="80">
        <f t="shared" si="31"/>
        <v>0</v>
      </c>
      <c r="X76" s="200"/>
    </row>
    <row r="77" spans="1:24" ht="12.75" customHeight="1">
      <c r="A77" s="2" t="s">
        <v>408</v>
      </c>
      <c r="B77" s="35"/>
      <c r="C77" s="179">
        <v>354.9</v>
      </c>
      <c r="D77" s="80">
        <f t="shared" si="22"/>
        <v>1.2999999999999999E-3</v>
      </c>
      <c r="E77" s="179">
        <v>388.7</v>
      </c>
      <c r="F77" s="80">
        <f t="shared" si="23"/>
        <v>1.2999999999999999E-3</v>
      </c>
      <c r="G77" s="179">
        <v>0</v>
      </c>
      <c r="H77" s="80">
        <f t="shared" si="24"/>
        <v>0</v>
      </c>
      <c r="I77" s="179">
        <v>0</v>
      </c>
      <c r="J77" s="80">
        <f t="shared" si="25"/>
        <v>0</v>
      </c>
      <c r="K77" s="179">
        <v>0</v>
      </c>
      <c r="L77" s="80">
        <f t="shared" si="26"/>
        <v>0</v>
      </c>
      <c r="M77" s="179">
        <v>0</v>
      </c>
      <c r="N77" s="80">
        <f t="shared" si="27"/>
        <v>0</v>
      </c>
      <c r="O77" s="179">
        <v>0</v>
      </c>
      <c r="P77" s="80">
        <f t="shared" si="28"/>
        <v>0</v>
      </c>
      <c r="Q77" s="179">
        <v>0</v>
      </c>
      <c r="R77" s="80">
        <f t="shared" si="29"/>
        <v>0</v>
      </c>
      <c r="S77" s="179">
        <v>0</v>
      </c>
      <c r="T77" s="80">
        <f t="shared" si="30"/>
        <v>0</v>
      </c>
      <c r="U77" s="179">
        <v>0</v>
      </c>
      <c r="V77" s="80">
        <f t="shared" si="31"/>
        <v>0</v>
      </c>
      <c r="X77" s="200"/>
    </row>
    <row r="78" spans="1:24" ht="12.75" customHeight="1">
      <c r="A78" s="2" t="s">
        <v>409</v>
      </c>
      <c r="B78" s="35"/>
      <c r="C78" s="179">
        <v>6006</v>
      </c>
      <c r="D78" s="80">
        <f t="shared" si="22"/>
        <v>2.1999999999999999E-2</v>
      </c>
      <c r="E78" s="179">
        <v>6578</v>
      </c>
      <c r="F78" s="80">
        <f t="shared" si="23"/>
        <v>2.1999999999999999E-2</v>
      </c>
      <c r="G78" s="179">
        <v>0</v>
      </c>
      <c r="H78" s="80">
        <f t="shared" si="24"/>
        <v>0</v>
      </c>
      <c r="I78" s="179">
        <v>0</v>
      </c>
      <c r="J78" s="80">
        <f t="shared" si="25"/>
        <v>0</v>
      </c>
      <c r="K78" s="179">
        <v>0</v>
      </c>
      <c r="L78" s="80">
        <f t="shared" si="26"/>
        <v>0</v>
      </c>
      <c r="M78" s="179">
        <v>0</v>
      </c>
      <c r="N78" s="80">
        <f t="shared" si="27"/>
        <v>0</v>
      </c>
      <c r="O78" s="179">
        <v>0</v>
      </c>
      <c r="P78" s="80">
        <f t="shared" si="28"/>
        <v>0</v>
      </c>
      <c r="Q78" s="179">
        <v>0</v>
      </c>
      <c r="R78" s="80">
        <f t="shared" si="29"/>
        <v>0</v>
      </c>
      <c r="S78" s="179">
        <v>0</v>
      </c>
      <c r="T78" s="80">
        <f t="shared" si="30"/>
        <v>0</v>
      </c>
      <c r="U78" s="179">
        <v>0</v>
      </c>
      <c r="V78" s="80">
        <f t="shared" si="31"/>
        <v>0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2"/>
        <v>0</v>
      </c>
      <c r="E79" s="179">
        <v>0</v>
      </c>
      <c r="F79" s="80">
        <f t="shared" si="23"/>
        <v>0</v>
      </c>
      <c r="G79" s="179">
        <v>0</v>
      </c>
      <c r="H79" s="80">
        <f t="shared" si="24"/>
        <v>0</v>
      </c>
      <c r="I79" s="179">
        <v>0</v>
      </c>
      <c r="J79" s="80">
        <f t="shared" si="25"/>
        <v>0</v>
      </c>
      <c r="K79" s="179">
        <v>0</v>
      </c>
      <c r="L79" s="80">
        <f t="shared" si="26"/>
        <v>0</v>
      </c>
      <c r="M79" s="179">
        <v>0</v>
      </c>
      <c r="N79" s="80">
        <f t="shared" si="27"/>
        <v>0</v>
      </c>
      <c r="O79" s="179">
        <v>0</v>
      </c>
      <c r="P79" s="80">
        <f t="shared" si="28"/>
        <v>0</v>
      </c>
      <c r="Q79" s="179">
        <v>0</v>
      </c>
      <c r="R79" s="80">
        <f t="shared" si="29"/>
        <v>0</v>
      </c>
      <c r="S79" s="179">
        <v>0</v>
      </c>
      <c r="T79" s="80">
        <f t="shared" si="30"/>
        <v>0</v>
      </c>
      <c r="U79" s="179">
        <v>0</v>
      </c>
      <c r="V79" s="80">
        <f t="shared" si="31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2"/>
        <v>0</v>
      </c>
      <c r="E80" s="179">
        <v>0</v>
      </c>
      <c r="F80" s="80">
        <f t="shared" si="23"/>
        <v>0</v>
      </c>
      <c r="G80" s="179">
        <v>0</v>
      </c>
      <c r="H80" s="80">
        <f t="shared" si="24"/>
        <v>0</v>
      </c>
      <c r="I80" s="179">
        <v>0</v>
      </c>
      <c r="J80" s="80">
        <f t="shared" si="25"/>
        <v>0</v>
      </c>
      <c r="K80" s="179">
        <v>0</v>
      </c>
      <c r="L80" s="80">
        <f t="shared" si="26"/>
        <v>0</v>
      </c>
      <c r="M80" s="179">
        <v>0</v>
      </c>
      <c r="N80" s="80">
        <f t="shared" si="27"/>
        <v>0</v>
      </c>
      <c r="O80" s="179">
        <v>0</v>
      </c>
      <c r="P80" s="80">
        <f t="shared" si="28"/>
        <v>0</v>
      </c>
      <c r="Q80" s="179">
        <v>0</v>
      </c>
      <c r="R80" s="80">
        <f t="shared" si="29"/>
        <v>0</v>
      </c>
      <c r="S80" s="179">
        <v>0</v>
      </c>
      <c r="T80" s="80">
        <f t="shared" si="30"/>
        <v>0</v>
      </c>
      <c r="U80" s="179">
        <v>0</v>
      </c>
      <c r="V80" s="80">
        <f t="shared" si="31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2"/>
        <v>0</v>
      </c>
      <c r="E81" s="179">
        <v>0</v>
      </c>
      <c r="F81" s="80">
        <f t="shared" si="23"/>
        <v>0</v>
      </c>
      <c r="G81" s="179">
        <v>0</v>
      </c>
      <c r="H81" s="80">
        <f t="shared" si="24"/>
        <v>0</v>
      </c>
      <c r="I81" s="179">
        <v>0</v>
      </c>
      <c r="J81" s="80">
        <f t="shared" si="25"/>
        <v>0</v>
      </c>
      <c r="K81" s="179">
        <v>0</v>
      </c>
      <c r="L81" s="80">
        <f t="shared" si="26"/>
        <v>0</v>
      </c>
      <c r="M81" s="179">
        <v>0</v>
      </c>
      <c r="N81" s="80">
        <f t="shared" si="27"/>
        <v>0</v>
      </c>
      <c r="O81" s="179">
        <v>0</v>
      </c>
      <c r="P81" s="80">
        <f t="shared" si="28"/>
        <v>0</v>
      </c>
      <c r="Q81" s="179">
        <v>0</v>
      </c>
      <c r="R81" s="80">
        <f t="shared" si="29"/>
        <v>0</v>
      </c>
      <c r="S81" s="179">
        <v>0</v>
      </c>
      <c r="T81" s="80">
        <f t="shared" si="30"/>
        <v>0</v>
      </c>
      <c r="U81" s="179">
        <v>0</v>
      </c>
      <c r="V81" s="80">
        <f t="shared" si="31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2"/>
        <v>0</v>
      </c>
      <c r="E82" s="179">
        <v>0</v>
      </c>
      <c r="F82" s="80">
        <f t="shared" si="23"/>
        <v>0</v>
      </c>
      <c r="G82" s="179">
        <v>0</v>
      </c>
      <c r="H82" s="80">
        <f t="shared" si="24"/>
        <v>0</v>
      </c>
      <c r="I82" s="179">
        <v>0</v>
      </c>
      <c r="J82" s="80">
        <f t="shared" si="25"/>
        <v>0</v>
      </c>
      <c r="K82" s="179">
        <v>0</v>
      </c>
      <c r="L82" s="80">
        <f t="shared" si="26"/>
        <v>0</v>
      </c>
      <c r="M82" s="179">
        <v>0</v>
      </c>
      <c r="N82" s="80">
        <f t="shared" si="27"/>
        <v>0</v>
      </c>
      <c r="O82" s="179">
        <v>0</v>
      </c>
      <c r="P82" s="80">
        <f t="shared" si="28"/>
        <v>0</v>
      </c>
      <c r="Q82" s="179">
        <v>0</v>
      </c>
      <c r="R82" s="80">
        <f t="shared" si="29"/>
        <v>0</v>
      </c>
      <c r="S82" s="179">
        <v>0</v>
      </c>
      <c r="T82" s="80">
        <f t="shared" si="30"/>
        <v>0</v>
      </c>
      <c r="U82" s="179">
        <v>0</v>
      </c>
      <c r="V82" s="80">
        <f t="shared" si="31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2"/>
        <v>0</v>
      </c>
      <c r="E83" s="179">
        <v>0</v>
      </c>
      <c r="F83" s="80">
        <f t="shared" si="23"/>
        <v>0</v>
      </c>
      <c r="G83" s="179">
        <v>0</v>
      </c>
      <c r="H83" s="80">
        <f t="shared" si="24"/>
        <v>0</v>
      </c>
      <c r="I83" s="179">
        <v>0</v>
      </c>
      <c r="J83" s="80">
        <f t="shared" si="25"/>
        <v>0</v>
      </c>
      <c r="K83" s="179">
        <v>0</v>
      </c>
      <c r="L83" s="80">
        <f t="shared" si="26"/>
        <v>0</v>
      </c>
      <c r="M83" s="179">
        <v>0</v>
      </c>
      <c r="N83" s="80">
        <f t="shared" si="27"/>
        <v>0</v>
      </c>
      <c r="O83" s="179">
        <v>0</v>
      </c>
      <c r="P83" s="80">
        <f t="shared" si="28"/>
        <v>0</v>
      </c>
      <c r="Q83" s="179">
        <v>0</v>
      </c>
      <c r="R83" s="80">
        <f t="shared" si="29"/>
        <v>0</v>
      </c>
      <c r="S83" s="179">
        <v>0</v>
      </c>
      <c r="T83" s="80">
        <f t="shared" si="30"/>
        <v>0</v>
      </c>
      <c r="U83" s="179">
        <v>0</v>
      </c>
      <c r="V83" s="80">
        <f t="shared" si="31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2"/>
        <v>0</v>
      </c>
      <c r="E84" s="179">
        <v>0</v>
      </c>
      <c r="F84" s="80">
        <f t="shared" si="23"/>
        <v>0</v>
      </c>
      <c r="G84" s="179">
        <v>0</v>
      </c>
      <c r="H84" s="80">
        <f t="shared" si="24"/>
        <v>0</v>
      </c>
      <c r="I84" s="179">
        <v>0</v>
      </c>
      <c r="J84" s="80">
        <f t="shared" si="25"/>
        <v>0</v>
      </c>
      <c r="K84" s="179">
        <v>0</v>
      </c>
      <c r="L84" s="80">
        <f t="shared" si="26"/>
        <v>0</v>
      </c>
      <c r="M84" s="179">
        <v>0</v>
      </c>
      <c r="N84" s="80">
        <f t="shared" si="27"/>
        <v>0</v>
      </c>
      <c r="O84" s="179">
        <v>0</v>
      </c>
      <c r="P84" s="80">
        <f t="shared" si="28"/>
        <v>0</v>
      </c>
      <c r="Q84" s="179">
        <v>0</v>
      </c>
      <c r="R84" s="80">
        <f t="shared" si="29"/>
        <v>0</v>
      </c>
      <c r="S84" s="179">
        <v>0</v>
      </c>
      <c r="T84" s="80">
        <f t="shared" si="30"/>
        <v>0</v>
      </c>
      <c r="U84" s="179">
        <v>0</v>
      </c>
      <c r="V84" s="80">
        <f t="shared" si="31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2"/>
        <v>0</v>
      </c>
      <c r="E85" s="179">
        <v>0</v>
      </c>
      <c r="F85" s="80">
        <f t="shared" si="23"/>
        <v>0</v>
      </c>
      <c r="G85" s="179">
        <v>0</v>
      </c>
      <c r="H85" s="80">
        <f t="shared" si="24"/>
        <v>0</v>
      </c>
      <c r="I85" s="179">
        <v>0</v>
      </c>
      <c r="J85" s="80">
        <f t="shared" si="25"/>
        <v>0</v>
      </c>
      <c r="K85" s="179">
        <v>0</v>
      </c>
      <c r="L85" s="80">
        <f t="shared" si="26"/>
        <v>0</v>
      </c>
      <c r="M85" s="179">
        <v>0</v>
      </c>
      <c r="N85" s="80">
        <f t="shared" si="27"/>
        <v>0</v>
      </c>
      <c r="O85" s="179">
        <v>0</v>
      </c>
      <c r="P85" s="80">
        <f t="shared" si="28"/>
        <v>0</v>
      </c>
      <c r="Q85" s="179">
        <v>0</v>
      </c>
      <c r="R85" s="80">
        <f t="shared" si="29"/>
        <v>0</v>
      </c>
      <c r="S85" s="179">
        <v>0</v>
      </c>
      <c r="T85" s="80">
        <f t="shared" si="30"/>
        <v>0</v>
      </c>
      <c r="U85" s="179">
        <v>0</v>
      </c>
      <c r="V85" s="80">
        <f t="shared" si="31"/>
        <v>0</v>
      </c>
      <c r="X85" s="200"/>
    </row>
    <row r="86" spans="1:24" ht="12.75" customHeight="1">
      <c r="A86" s="2" t="s">
        <v>417</v>
      </c>
      <c r="B86" s="35"/>
      <c r="C86" s="179">
        <v>1092</v>
      </c>
      <c r="D86" s="80">
        <f t="shared" si="22"/>
        <v>4.0000000000000001E-3</v>
      </c>
      <c r="E86" s="179">
        <v>1196</v>
      </c>
      <c r="F86" s="80">
        <f t="shared" si="23"/>
        <v>4.0000000000000001E-3</v>
      </c>
      <c r="G86" s="179">
        <v>0</v>
      </c>
      <c r="H86" s="80">
        <f t="shared" si="24"/>
        <v>0</v>
      </c>
      <c r="I86" s="179">
        <v>0</v>
      </c>
      <c r="J86" s="80">
        <f t="shared" si="25"/>
        <v>0</v>
      </c>
      <c r="K86" s="179">
        <v>0</v>
      </c>
      <c r="L86" s="80">
        <f t="shared" si="26"/>
        <v>0</v>
      </c>
      <c r="M86" s="179">
        <v>0</v>
      </c>
      <c r="N86" s="80">
        <f t="shared" si="27"/>
        <v>0</v>
      </c>
      <c r="O86" s="179">
        <v>0</v>
      </c>
      <c r="P86" s="80">
        <f t="shared" si="28"/>
        <v>0</v>
      </c>
      <c r="Q86" s="179">
        <v>0</v>
      </c>
      <c r="R86" s="80">
        <f t="shared" si="29"/>
        <v>0</v>
      </c>
      <c r="S86" s="179">
        <v>0</v>
      </c>
      <c r="T86" s="80">
        <f t="shared" si="30"/>
        <v>0</v>
      </c>
      <c r="U86" s="179">
        <v>0</v>
      </c>
      <c r="V86" s="80">
        <f t="shared" si="31"/>
        <v>0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2"/>
        <v>0</v>
      </c>
      <c r="E87" s="179">
        <v>0</v>
      </c>
      <c r="F87" s="80">
        <f t="shared" si="23"/>
        <v>0</v>
      </c>
      <c r="G87" s="179">
        <v>0</v>
      </c>
      <c r="H87" s="80">
        <f t="shared" si="24"/>
        <v>0</v>
      </c>
      <c r="I87" s="179">
        <v>0</v>
      </c>
      <c r="J87" s="80">
        <f t="shared" si="25"/>
        <v>0</v>
      </c>
      <c r="K87" s="179">
        <v>0</v>
      </c>
      <c r="L87" s="80">
        <f t="shared" si="26"/>
        <v>0</v>
      </c>
      <c r="M87" s="179">
        <v>0</v>
      </c>
      <c r="N87" s="80">
        <f t="shared" si="27"/>
        <v>0</v>
      </c>
      <c r="O87" s="179">
        <v>0</v>
      </c>
      <c r="P87" s="80">
        <f t="shared" si="28"/>
        <v>0</v>
      </c>
      <c r="Q87" s="179">
        <v>0</v>
      </c>
      <c r="R87" s="80">
        <f t="shared" si="29"/>
        <v>0</v>
      </c>
      <c r="S87" s="179">
        <v>0</v>
      </c>
      <c r="T87" s="80">
        <f t="shared" si="30"/>
        <v>0</v>
      </c>
      <c r="U87" s="179">
        <v>0</v>
      </c>
      <c r="V87" s="80">
        <f t="shared" si="31"/>
        <v>0</v>
      </c>
      <c r="X87" s="200"/>
    </row>
    <row r="88" spans="1:24" ht="12.75" customHeight="1">
      <c r="A88" s="2" t="s">
        <v>419</v>
      </c>
      <c r="B88" s="35"/>
      <c r="C88" s="179">
        <v>1392.3000000000002</v>
      </c>
      <c r="D88" s="80">
        <f t="shared" si="22"/>
        <v>5.1000000000000004E-3</v>
      </c>
      <c r="E88" s="179">
        <v>1524.9</v>
      </c>
      <c r="F88" s="80">
        <f t="shared" si="23"/>
        <v>5.1000000000000004E-3</v>
      </c>
      <c r="G88" s="179">
        <v>0</v>
      </c>
      <c r="H88" s="80">
        <f t="shared" si="24"/>
        <v>0</v>
      </c>
      <c r="I88" s="179">
        <v>0</v>
      </c>
      <c r="J88" s="80">
        <f t="shared" si="25"/>
        <v>0</v>
      </c>
      <c r="K88" s="179">
        <v>0</v>
      </c>
      <c r="L88" s="80">
        <f t="shared" si="26"/>
        <v>0</v>
      </c>
      <c r="M88" s="179">
        <v>0</v>
      </c>
      <c r="N88" s="80">
        <f t="shared" si="27"/>
        <v>0</v>
      </c>
      <c r="O88" s="179">
        <v>0</v>
      </c>
      <c r="P88" s="80">
        <f t="shared" si="28"/>
        <v>0</v>
      </c>
      <c r="Q88" s="179">
        <v>0</v>
      </c>
      <c r="R88" s="80">
        <f t="shared" si="29"/>
        <v>0</v>
      </c>
      <c r="S88" s="179">
        <v>0</v>
      </c>
      <c r="T88" s="80">
        <f t="shared" si="30"/>
        <v>0</v>
      </c>
      <c r="U88" s="179">
        <v>0</v>
      </c>
      <c r="V88" s="80">
        <f t="shared" si="31"/>
        <v>0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2"/>
        <v>0</v>
      </c>
      <c r="E89" s="179">
        <v>0</v>
      </c>
      <c r="F89" s="80">
        <f t="shared" si="23"/>
        <v>0</v>
      </c>
      <c r="G89" s="179">
        <v>0</v>
      </c>
      <c r="H89" s="80">
        <f t="shared" si="24"/>
        <v>0</v>
      </c>
      <c r="I89" s="179">
        <v>0</v>
      </c>
      <c r="J89" s="80">
        <f t="shared" si="25"/>
        <v>0</v>
      </c>
      <c r="K89" s="179">
        <v>0</v>
      </c>
      <c r="L89" s="80">
        <f t="shared" si="26"/>
        <v>0</v>
      </c>
      <c r="M89" s="179">
        <v>0</v>
      </c>
      <c r="N89" s="80">
        <f t="shared" si="27"/>
        <v>0</v>
      </c>
      <c r="O89" s="179">
        <v>0</v>
      </c>
      <c r="P89" s="80">
        <f t="shared" si="28"/>
        <v>0</v>
      </c>
      <c r="Q89" s="179">
        <v>0</v>
      </c>
      <c r="R89" s="80">
        <f t="shared" si="29"/>
        <v>0</v>
      </c>
      <c r="S89" s="179">
        <v>0</v>
      </c>
      <c r="T89" s="80">
        <f t="shared" si="30"/>
        <v>0</v>
      </c>
      <c r="U89" s="179">
        <v>0</v>
      </c>
      <c r="V89" s="80">
        <f t="shared" si="31"/>
        <v>0</v>
      </c>
      <c r="X89" s="200"/>
    </row>
    <row r="90" spans="1:24" ht="12.75" customHeight="1">
      <c r="A90" s="2" t="s">
        <v>421</v>
      </c>
      <c r="B90" s="35"/>
      <c r="C90" s="179">
        <v>54.600000000000009</v>
      </c>
      <c r="D90" s="80">
        <f t="shared" si="22"/>
        <v>2.0000000000000004E-4</v>
      </c>
      <c r="E90" s="179">
        <v>59.800000000000004</v>
      </c>
      <c r="F90" s="80">
        <f t="shared" si="23"/>
        <v>2.0000000000000001E-4</v>
      </c>
      <c r="G90" s="179">
        <v>0</v>
      </c>
      <c r="H90" s="80">
        <f t="shared" si="24"/>
        <v>0</v>
      </c>
      <c r="I90" s="179">
        <v>0</v>
      </c>
      <c r="J90" s="80">
        <f t="shared" si="25"/>
        <v>0</v>
      </c>
      <c r="K90" s="179">
        <v>0</v>
      </c>
      <c r="L90" s="80">
        <f t="shared" si="26"/>
        <v>0</v>
      </c>
      <c r="M90" s="179">
        <v>0</v>
      </c>
      <c r="N90" s="80">
        <f t="shared" si="27"/>
        <v>0</v>
      </c>
      <c r="O90" s="179">
        <v>0</v>
      </c>
      <c r="P90" s="80">
        <f t="shared" si="28"/>
        <v>0</v>
      </c>
      <c r="Q90" s="179">
        <v>0</v>
      </c>
      <c r="R90" s="80">
        <f t="shared" si="29"/>
        <v>0</v>
      </c>
      <c r="S90" s="179">
        <v>0</v>
      </c>
      <c r="T90" s="80">
        <f t="shared" si="30"/>
        <v>0</v>
      </c>
      <c r="U90" s="179">
        <v>0</v>
      </c>
      <c r="V90" s="80">
        <f t="shared" si="31"/>
        <v>0</v>
      </c>
      <c r="X90" s="200"/>
    </row>
    <row r="91" spans="1:24" ht="12.75" customHeight="1">
      <c r="A91" s="2" t="s">
        <v>422</v>
      </c>
      <c r="C91" s="179">
        <v>0</v>
      </c>
      <c r="D91" s="80">
        <f t="shared" si="22"/>
        <v>0</v>
      </c>
      <c r="E91" s="179">
        <v>0</v>
      </c>
      <c r="F91" s="80">
        <f t="shared" si="23"/>
        <v>0</v>
      </c>
      <c r="G91" s="179">
        <v>0</v>
      </c>
      <c r="H91" s="80">
        <f t="shared" si="24"/>
        <v>0</v>
      </c>
      <c r="I91" s="179">
        <v>0</v>
      </c>
      <c r="J91" s="80">
        <f t="shared" si="25"/>
        <v>0</v>
      </c>
      <c r="K91" s="179">
        <v>0</v>
      </c>
      <c r="L91" s="80">
        <f t="shared" si="26"/>
        <v>0</v>
      </c>
      <c r="M91" s="179">
        <v>0</v>
      </c>
      <c r="N91" s="80">
        <f t="shared" si="27"/>
        <v>0</v>
      </c>
      <c r="O91" s="179">
        <v>0</v>
      </c>
      <c r="P91" s="80">
        <f t="shared" si="28"/>
        <v>0</v>
      </c>
      <c r="Q91" s="179">
        <v>0</v>
      </c>
      <c r="R91" s="80">
        <f t="shared" si="29"/>
        <v>0</v>
      </c>
      <c r="S91" s="179">
        <v>0</v>
      </c>
      <c r="T91" s="80">
        <f t="shared" si="30"/>
        <v>0</v>
      </c>
      <c r="U91" s="179">
        <v>0</v>
      </c>
      <c r="V91" s="80">
        <f t="shared" si="31"/>
        <v>0</v>
      </c>
      <c r="X91" s="200"/>
    </row>
    <row r="92" spans="1:24" ht="12.75" customHeight="1">
      <c r="A92" s="2" t="s">
        <v>423</v>
      </c>
      <c r="B92" s="35"/>
      <c r="C92" s="179">
        <v>1419.6</v>
      </c>
      <c r="D92" s="80">
        <f t="shared" si="22"/>
        <v>5.1999999999999998E-3</v>
      </c>
      <c r="E92" s="179">
        <v>1554.8</v>
      </c>
      <c r="F92" s="80">
        <f t="shared" si="23"/>
        <v>5.1999999999999998E-3</v>
      </c>
      <c r="G92" s="179">
        <v>0</v>
      </c>
      <c r="H92" s="80">
        <f t="shared" si="24"/>
        <v>0</v>
      </c>
      <c r="I92" s="179">
        <v>0</v>
      </c>
      <c r="J92" s="80">
        <f t="shared" si="25"/>
        <v>0</v>
      </c>
      <c r="K92" s="179">
        <v>0</v>
      </c>
      <c r="L92" s="80">
        <f t="shared" si="26"/>
        <v>0</v>
      </c>
      <c r="M92" s="179">
        <v>0</v>
      </c>
      <c r="N92" s="80">
        <f t="shared" si="27"/>
        <v>0</v>
      </c>
      <c r="O92" s="179">
        <v>0</v>
      </c>
      <c r="P92" s="80">
        <f t="shared" si="28"/>
        <v>0</v>
      </c>
      <c r="Q92" s="179">
        <v>0</v>
      </c>
      <c r="R92" s="80">
        <f t="shared" si="29"/>
        <v>0</v>
      </c>
      <c r="S92" s="179">
        <v>0</v>
      </c>
      <c r="T92" s="80">
        <f t="shared" si="30"/>
        <v>0</v>
      </c>
      <c r="U92" s="179">
        <v>0</v>
      </c>
      <c r="V92" s="80">
        <f t="shared" si="31"/>
        <v>0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2"/>
        <v>0</v>
      </c>
      <c r="E93" s="179">
        <v>0</v>
      </c>
      <c r="F93" s="80">
        <f t="shared" si="23"/>
        <v>0</v>
      </c>
      <c r="G93" s="179">
        <v>0</v>
      </c>
      <c r="H93" s="80">
        <f t="shared" si="24"/>
        <v>0</v>
      </c>
      <c r="I93" s="179">
        <v>0</v>
      </c>
      <c r="J93" s="80">
        <f t="shared" si="25"/>
        <v>0</v>
      </c>
      <c r="K93" s="179">
        <v>0</v>
      </c>
      <c r="L93" s="80">
        <f t="shared" si="26"/>
        <v>0</v>
      </c>
      <c r="M93" s="179">
        <v>0</v>
      </c>
      <c r="N93" s="80">
        <f t="shared" si="27"/>
        <v>0</v>
      </c>
      <c r="O93" s="179">
        <v>0</v>
      </c>
      <c r="P93" s="80">
        <f t="shared" si="28"/>
        <v>0</v>
      </c>
      <c r="Q93" s="179">
        <v>0</v>
      </c>
      <c r="R93" s="80">
        <f t="shared" si="29"/>
        <v>0</v>
      </c>
      <c r="S93" s="179">
        <v>0</v>
      </c>
      <c r="T93" s="80">
        <f t="shared" si="30"/>
        <v>0</v>
      </c>
      <c r="U93" s="179">
        <v>0</v>
      </c>
      <c r="V93" s="80">
        <f t="shared" si="31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2"/>
        <v>0</v>
      </c>
      <c r="E94" s="179">
        <v>0</v>
      </c>
      <c r="F94" s="80">
        <f t="shared" si="23"/>
        <v>0</v>
      </c>
      <c r="G94" s="179">
        <v>0</v>
      </c>
      <c r="H94" s="80">
        <f t="shared" si="24"/>
        <v>0</v>
      </c>
      <c r="I94" s="179">
        <v>0</v>
      </c>
      <c r="J94" s="80">
        <f t="shared" si="25"/>
        <v>0</v>
      </c>
      <c r="K94" s="179">
        <v>0</v>
      </c>
      <c r="L94" s="80">
        <f t="shared" si="26"/>
        <v>0</v>
      </c>
      <c r="M94" s="179">
        <v>0</v>
      </c>
      <c r="N94" s="80">
        <f t="shared" si="27"/>
        <v>0</v>
      </c>
      <c r="O94" s="179">
        <v>0</v>
      </c>
      <c r="P94" s="80">
        <f t="shared" si="28"/>
        <v>0</v>
      </c>
      <c r="Q94" s="179">
        <v>0</v>
      </c>
      <c r="R94" s="80">
        <f t="shared" si="29"/>
        <v>0</v>
      </c>
      <c r="S94" s="179">
        <v>0</v>
      </c>
      <c r="T94" s="80">
        <f t="shared" si="30"/>
        <v>0</v>
      </c>
      <c r="U94" s="179">
        <v>0</v>
      </c>
      <c r="V94" s="80">
        <f t="shared" si="31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2"/>
        <v>0</v>
      </c>
      <c r="E95" s="179">
        <v>0</v>
      </c>
      <c r="F95" s="80">
        <f t="shared" si="23"/>
        <v>0</v>
      </c>
      <c r="G95" s="179">
        <v>0</v>
      </c>
      <c r="H95" s="80">
        <f t="shared" si="24"/>
        <v>0</v>
      </c>
      <c r="I95" s="179">
        <v>0</v>
      </c>
      <c r="J95" s="80">
        <f t="shared" si="25"/>
        <v>0</v>
      </c>
      <c r="K95" s="179">
        <v>0</v>
      </c>
      <c r="L95" s="80">
        <f t="shared" si="26"/>
        <v>0</v>
      </c>
      <c r="M95" s="179">
        <v>0</v>
      </c>
      <c r="N95" s="80">
        <f t="shared" si="27"/>
        <v>0</v>
      </c>
      <c r="O95" s="179">
        <v>0</v>
      </c>
      <c r="P95" s="80">
        <f t="shared" si="28"/>
        <v>0</v>
      </c>
      <c r="Q95" s="179">
        <v>0</v>
      </c>
      <c r="R95" s="80">
        <f t="shared" si="29"/>
        <v>0</v>
      </c>
      <c r="S95" s="179">
        <v>0</v>
      </c>
      <c r="T95" s="80">
        <f t="shared" si="30"/>
        <v>0</v>
      </c>
      <c r="U95" s="179">
        <v>0</v>
      </c>
      <c r="V95" s="80">
        <f t="shared" si="31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2"/>
        <v>0</v>
      </c>
      <c r="E96" s="179">
        <v>0</v>
      </c>
      <c r="F96" s="80">
        <f t="shared" si="23"/>
        <v>0</v>
      </c>
      <c r="G96" s="179">
        <v>0</v>
      </c>
      <c r="H96" s="80">
        <f t="shared" si="24"/>
        <v>0</v>
      </c>
      <c r="I96" s="179">
        <v>0</v>
      </c>
      <c r="J96" s="80">
        <f t="shared" si="25"/>
        <v>0</v>
      </c>
      <c r="K96" s="179">
        <v>0</v>
      </c>
      <c r="L96" s="80">
        <f t="shared" si="26"/>
        <v>0</v>
      </c>
      <c r="M96" s="179">
        <v>0</v>
      </c>
      <c r="N96" s="80">
        <f t="shared" si="27"/>
        <v>0</v>
      </c>
      <c r="O96" s="179">
        <v>0</v>
      </c>
      <c r="P96" s="80">
        <f t="shared" si="28"/>
        <v>0</v>
      </c>
      <c r="Q96" s="179">
        <v>0</v>
      </c>
      <c r="R96" s="80">
        <f t="shared" si="29"/>
        <v>0</v>
      </c>
      <c r="S96" s="179">
        <v>0</v>
      </c>
      <c r="T96" s="80">
        <f t="shared" si="30"/>
        <v>0</v>
      </c>
      <c r="U96" s="179">
        <v>0</v>
      </c>
      <c r="V96" s="80">
        <f t="shared" si="31"/>
        <v>0</v>
      </c>
      <c r="X96" s="200"/>
    </row>
    <row r="97" spans="1:24" ht="12.75" customHeight="1">
      <c r="A97" s="2" t="s">
        <v>428</v>
      </c>
      <c r="B97" s="35"/>
      <c r="C97" s="179">
        <v>3663.2112999999999</v>
      </c>
      <c r="D97" s="80">
        <f t="shared" si="22"/>
        <v>1.341835641025641E-2</v>
      </c>
      <c r="E97" s="179">
        <v>4073.4909656000004</v>
      </c>
      <c r="F97" s="80">
        <f t="shared" si="23"/>
        <v>1.3623715604013379E-2</v>
      </c>
      <c r="G97" s="179">
        <v>0</v>
      </c>
      <c r="H97" s="80">
        <f t="shared" si="24"/>
        <v>0</v>
      </c>
      <c r="I97" s="179">
        <v>0</v>
      </c>
      <c r="J97" s="80">
        <f t="shared" si="25"/>
        <v>0</v>
      </c>
      <c r="K97" s="179">
        <v>0</v>
      </c>
      <c r="L97" s="80">
        <f t="shared" si="26"/>
        <v>0</v>
      </c>
      <c r="M97" s="179">
        <v>0</v>
      </c>
      <c r="N97" s="80">
        <f t="shared" si="27"/>
        <v>0</v>
      </c>
      <c r="O97" s="179">
        <v>0</v>
      </c>
      <c r="P97" s="80">
        <f t="shared" si="28"/>
        <v>0</v>
      </c>
      <c r="Q97" s="179">
        <v>0</v>
      </c>
      <c r="R97" s="80">
        <f t="shared" si="29"/>
        <v>0</v>
      </c>
      <c r="S97" s="179">
        <v>0</v>
      </c>
      <c r="T97" s="80">
        <f t="shared" si="30"/>
        <v>0</v>
      </c>
      <c r="U97" s="179">
        <v>0</v>
      </c>
      <c r="V97" s="80">
        <f t="shared" si="31"/>
        <v>0</v>
      </c>
      <c r="X97" s="200"/>
    </row>
    <row r="98" spans="1:24" ht="12.75" customHeight="1">
      <c r="A98" s="117" t="s">
        <v>431</v>
      </c>
      <c r="B98" s="35"/>
      <c r="C98" s="179">
        <v>327.59999999999997</v>
      </c>
      <c r="D98" s="80">
        <f t="shared" si="22"/>
        <v>1.1999999999999999E-3</v>
      </c>
      <c r="E98" s="179">
        <v>358.79999999999995</v>
      </c>
      <c r="F98" s="80">
        <f t="shared" si="23"/>
        <v>1.1999999999999999E-3</v>
      </c>
      <c r="G98" s="179">
        <v>0</v>
      </c>
      <c r="H98" s="80">
        <f t="shared" si="24"/>
        <v>0</v>
      </c>
      <c r="I98" s="179">
        <v>0</v>
      </c>
      <c r="J98" s="80">
        <f t="shared" si="25"/>
        <v>0</v>
      </c>
      <c r="K98" s="179">
        <v>0</v>
      </c>
      <c r="L98" s="80">
        <f t="shared" si="26"/>
        <v>0</v>
      </c>
      <c r="M98" s="179">
        <v>0</v>
      </c>
      <c r="N98" s="80">
        <f t="shared" si="27"/>
        <v>0</v>
      </c>
      <c r="O98" s="179">
        <v>0</v>
      </c>
      <c r="P98" s="80">
        <f t="shared" si="28"/>
        <v>0</v>
      </c>
      <c r="Q98" s="179">
        <v>0</v>
      </c>
      <c r="R98" s="80">
        <f t="shared" si="29"/>
        <v>0</v>
      </c>
      <c r="S98" s="179">
        <v>0</v>
      </c>
      <c r="T98" s="80">
        <f t="shared" si="30"/>
        <v>0</v>
      </c>
      <c r="U98" s="179">
        <v>0</v>
      </c>
      <c r="V98" s="80">
        <f t="shared" si="31"/>
        <v>0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2"/>
        <v>0</v>
      </c>
      <c r="E99" s="179">
        <v>0</v>
      </c>
      <c r="F99" s="80">
        <f t="shared" si="23"/>
        <v>0</v>
      </c>
      <c r="G99" s="179">
        <v>0</v>
      </c>
      <c r="H99" s="80">
        <f t="shared" si="24"/>
        <v>0</v>
      </c>
      <c r="I99" s="179">
        <v>0</v>
      </c>
      <c r="J99" s="80">
        <f t="shared" si="25"/>
        <v>0</v>
      </c>
      <c r="K99" s="179">
        <v>0</v>
      </c>
      <c r="L99" s="80">
        <f t="shared" si="26"/>
        <v>0</v>
      </c>
      <c r="M99" s="179">
        <v>0</v>
      </c>
      <c r="N99" s="80">
        <f t="shared" si="27"/>
        <v>0</v>
      </c>
      <c r="O99" s="179">
        <v>0</v>
      </c>
      <c r="P99" s="80">
        <f t="shared" si="28"/>
        <v>0</v>
      </c>
      <c r="Q99" s="179">
        <v>0</v>
      </c>
      <c r="R99" s="80">
        <f t="shared" si="29"/>
        <v>0</v>
      </c>
      <c r="S99" s="179">
        <v>0</v>
      </c>
      <c r="T99" s="80">
        <f t="shared" si="30"/>
        <v>0</v>
      </c>
      <c r="U99" s="179">
        <v>0</v>
      </c>
      <c r="V99" s="80">
        <f t="shared" si="31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2"/>
        <v>0</v>
      </c>
      <c r="E100" s="179">
        <v>0</v>
      </c>
      <c r="F100" s="80">
        <f t="shared" si="23"/>
        <v>0</v>
      </c>
      <c r="G100" s="179">
        <v>0</v>
      </c>
      <c r="H100" s="80">
        <f t="shared" si="24"/>
        <v>0</v>
      </c>
      <c r="I100" s="179">
        <v>0</v>
      </c>
      <c r="J100" s="80">
        <f t="shared" si="25"/>
        <v>0</v>
      </c>
      <c r="K100" s="179">
        <v>0</v>
      </c>
      <c r="L100" s="80">
        <f t="shared" si="26"/>
        <v>0</v>
      </c>
      <c r="M100" s="179">
        <v>0</v>
      </c>
      <c r="N100" s="80">
        <f t="shared" si="27"/>
        <v>0</v>
      </c>
      <c r="O100" s="179">
        <v>0</v>
      </c>
      <c r="P100" s="80">
        <f t="shared" si="28"/>
        <v>0</v>
      </c>
      <c r="Q100" s="179">
        <v>0</v>
      </c>
      <c r="R100" s="80">
        <f t="shared" si="29"/>
        <v>0</v>
      </c>
      <c r="S100" s="179">
        <v>0</v>
      </c>
      <c r="T100" s="80">
        <f t="shared" si="30"/>
        <v>0</v>
      </c>
      <c r="U100" s="179">
        <v>0</v>
      </c>
      <c r="V100" s="80">
        <f t="shared" si="31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2"/>
        <v>0</v>
      </c>
      <c r="E101" s="179"/>
      <c r="F101" s="80">
        <f t="shared" si="23"/>
        <v>0</v>
      </c>
      <c r="G101" s="179"/>
      <c r="H101" s="80">
        <f t="shared" si="24"/>
        <v>0</v>
      </c>
      <c r="I101" s="179">
        <v>0</v>
      </c>
      <c r="J101" s="80">
        <f t="shared" si="25"/>
        <v>0</v>
      </c>
      <c r="K101" s="179">
        <v>0</v>
      </c>
      <c r="L101" s="80">
        <f t="shared" si="26"/>
        <v>0</v>
      </c>
      <c r="M101" s="179">
        <v>0</v>
      </c>
      <c r="N101" s="80">
        <f t="shared" si="27"/>
        <v>0</v>
      </c>
      <c r="O101" s="179">
        <v>0</v>
      </c>
      <c r="P101" s="80">
        <f t="shared" si="28"/>
        <v>0</v>
      </c>
      <c r="Q101" s="179">
        <v>0</v>
      </c>
      <c r="R101" s="80">
        <f t="shared" si="29"/>
        <v>0</v>
      </c>
      <c r="S101" s="179">
        <v>0</v>
      </c>
      <c r="T101" s="80">
        <f t="shared" si="30"/>
        <v>0</v>
      </c>
      <c r="U101" s="179">
        <v>0</v>
      </c>
      <c r="V101" s="80">
        <f t="shared" si="31"/>
        <v>0</v>
      </c>
      <c r="X101" s="200"/>
    </row>
    <row r="102" spans="1:24" ht="12.75" customHeight="1">
      <c r="A102" s="117" t="s">
        <v>433</v>
      </c>
      <c r="B102" s="35"/>
      <c r="C102" s="179">
        <v>2730</v>
      </c>
      <c r="D102" s="80">
        <f t="shared" si="22"/>
        <v>0.01</v>
      </c>
      <c r="E102" s="179">
        <v>2990</v>
      </c>
      <c r="F102" s="80">
        <f t="shared" si="23"/>
        <v>0.01</v>
      </c>
      <c r="G102" s="179">
        <v>0</v>
      </c>
      <c r="H102" s="80">
        <f t="shared" si="24"/>
        <v>0</v>
      </c>
      <c r="I102" s="179">
        <v>0</v>
      </c>
      <c r="J102" s="80">
        <f t="shared" si="25"/>
        <v>0</v>
      </c>
      <c r="K102" s="179">
        <v>0</v>
      </c>
      <c r="L102" s="80">
        <f t="shared" si="26"/>
        <v>0</v>
      </c>
      <c r="M102" s="179">
        <v>0</v>
      </c>
      <c r="N102" s="80">
        <f t="shared" si="27"/>
        <v>0</v>
      </c>
      <c r="O102" s="179">
        <v>0</v>
      </c>
      <c r="P102" s="80">
        <f t="shared" si="28"/>
        <v>0</v>
      </c>
      <c r="Q102" s="179">
        <v>0</v>
      </c>
      <c r="R102" s="80">
        <f t="shared" si="29"/>
        <v>0</v>
      </c>
      <c r="S102" s="179">
        <v>0</v>
      </c>
      <c r="T102" s="80">
        <f t="shared" si="30"/>
        <v>0</v>
      </c>
      <c r="U102" s="179">
        <v>0</v>
      </c>
      <c r="V102" s="80">
        <f t="shared" si="31"/>
        <v>0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2"/>
        <v>0</v>
      </c>
      <c r="E103" s="179">
        <v>0</v>
      </c>
      <c r="F103" s="80">
        <f t="shared" si="23"/>
        <v>0</v>
      </c>
      <c r="G103" s="179">
        <v>0</v>
      </c>
      <c r="H103" s="80">
        <f t="shared" si="24"/>
        <v>0</v>
      </c>
      <c r="I103" s="179">
        <v>0</v>
      </c>
      <c r="J103" s="80">
        <f t="shared" si="25"/>
        <v>0</v>
      </c>
      <c r="K103" s="179">
        <v>0</v>
      </c>
      <c r="L103" s="80">
        <f t="shared" si="26"/>
        <v>0</v>
      </c>
      <c r="M103" s="179">
        <v>0</v>
      </c>
      <c r="N103" s="80">
        <f t="shared" si="27"/>
        <v>0</v>
      </c>
      <c r="O103" s="179">
        <v>0</v>
      </c>
      <c r="P103" s="80">
        <f t="shared" si="28"/>
        <v>0</v>
      </c>
      <c r="Q103" s="179">
        <v>0</v>
      </c>
      <c r="R103" s="80">
        <f t="shared" si="29"/>
        <v>0</v>
      </c>
      <c r="S103" s="179">
        <v>0</v>
      </c>
      <c r="T103" s="80">
        <f t="shared" si="30"/>
        <v>0</v>
      </c>
      <c r="U103" s="179">
        <v>0</v>
      </c>
      <c r="V103" s="80">
        <f t="shared" si="31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2"/>
        <v>0</v>
      </c>
      <c r="E104" s="179">
        <v>0</v>
      </c>
      <c r="F104" s="80">
        <f t="shared" si="23"/>
        <v>0</v>
      </c>
      <c r="G104" s="179">
        <v>0</v>
      </c>
      <c r="H104" s="80">
        <f t="shared" si="24"/>
        <v>0</v>
      </c>
      <c r="I104" s="179">
        <v>0</v>
      </c>
      <c r="J104" s="80">
        <f t="shared" si="25"/>
        <v>0</v>
      </c>
      <c r="K104" s="179">
        <v>0</v>
      </c>
      <c r="L104" s="80">
        <f t="shared" si="26"/>
        <v>0</v>
      </c>
      <c r="M104" s="179">
        <v>0</v>
      </c>
      <c r="N104" s="80">
        <f t="shared" si="27"/>
        <v>0</v>
      </c>
      <c r="O104" s="179">
        <v>0</v>
      </c>
      <c r="P104" s="80">
        <f t="shared" si="28"/>
        <v>0</v>
      </c>
      <c r="Q104" s="179">
        <v>0</v>
      </c>
      <c r="R104" s="80">
        <f t="shared" si="29"/>
        <v>0</v>
      </c>
      <c r="S104" s="179">
        <v>0</v>
      </c>
      <c r="T104" s="80">
        <f t="shared" si="30"/>
        <v>0</v>
      </c>
      <c r="U104" s="179">
        <v>0</v>
      </c>
      <c r="V104" s="80">
        <f t="shared" si="31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51228.666204923727</v>
      </c>
      <c r="D105" s="83">
        <f t="shared" ref="D105" si="32">IFERROR(C105/C$28,0)</f>
        <v>0.18765079195942758</v>
      </c>
      <c r="E105" s="82">
        <f>SUM(E52:E104)</f>
        <v>54385.419781294775</v>
      </c>
      <c r="F105" s="83">
        <f t="shared" ref="F105" si="33">IFERROR(E105/E$28,0)</f>
        <v>0.18189103605784207</v>
      </c>
      <c r="G105" s="82">
        <f>SUM(G52:G104)</f>
        <v>0</v>
      </c>
      <c r="H105" s="83">
        <f t="shared" ref="H105" si="34">IFERROR(G105/G$28,0)</f>
        <v>0</v>
      </c>
      <c r="I105" s="82">
        <f>SUM(I52:I104)</f>
        <v>0</v>
      </c>
      <c r="J105" s="83">
        <f t="shared" ref="J105" si="35">IFERROR(I105/I$28,0)</f>
        <v>0</v>
      </c>
      <c r="K105" s="82">
        <f>SUM(K52:K104)</f>
        <v>0</v>
      </c>
      <c r="L105" s="83">
        <f t="shared" ref="L105" si="36">IFERROR(K105/K$28,0)</f>
        <v>0</v>
      </c>
      <c r="M105" s="82">
        <f>SUM(M52:M104)</f>
        <v>0</v>
      </c>
      <c r="N105" s="83">
        <f t="shared" ref="N105" si="37">IFERROR(M105/M$28,0)</f>
        <v>0</v>
      </c>
      <c r="O105" s="82">
        <f>SUM(O52:O104)</f>
        <v>0</v>
      </c>
      <c r="P105" s="83">
        <f t="shared" ref="P105" si="38">IFERROR(O105/O$28,0)</f>
        <v>0</v>
      </c>
      <c r="Q105" s="82">
        <f>SUM(Q52:Q104)</f>
        <v>0</v>
      </c>
      <c r="R105" s="83">
        <f t="shared" ref="R105" si="39">IFERROR(Q105/Q$28,0)</f>
        <v>0</v>
      </c>
      <c r="S105" s="82">
        <f>SUM(S52:S104)</f>
        <v>0</v>
      </c>
      <c r="T105" s="83">
        <f t="shared" ref="T105" si="40">IFERROR(S105/S$28,0)</f>
        <v>0</v>
      </c>
      <c r="U105" s="82">
        <f>SUM(U52:U104)</f>
        <v>0</v>
      </c>
      <c r="V105" s="83">
        <f t="shared" si="31"/>
        <v>0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33524.123795076281</v>
      </c>
      <c r="D107" s="83">
        <f>IFERROR(C107/C$28,0)</f>
        <v>0.12279898826035268</v>
      </c>
      <c r="E107" s="82">
        <f>E28-E33-E46-E105</f>
        <v>36789.186698705213</v>
      </c>
      <c r="F107" s="83">
        <f>IFERROR(E107/E$28,0)</f>
        <v>0.12304075818964955</v>
      </c>
      <c r="G107" s="82">
        <f>G28-G33-G46-G105</f>
        <v>0</v>
      </c>
      <c r="H107" s="83">
        <f>IFERROR(G107/G$28,0)</f>
        <v>0</v>
      </c>
      <c r="I107" s="82">
        <f>I28-I33-I46-I105</f>
        <v>0</v>
      </c>
      <c r="J107" s="83">
        <f>IFERROR(I107/I$28,0)</f>
        <v>0</v>
      </c>
      <c r="K107" s="82">
        <f>K28-K33-K46-K105</f>
        <v>0</v>
      </c>
      <c r="L107" s="83">
        <f>IFERROR(K107/K$28,0)</f>
        <v>0</v>
      </c>
      <c r="M107" s="82">
        <f>M28-M33-M46-M105</f>
        <v>0</v>
      </c>
      <c r="N107" s="83">
        <f>IFERROR(M107/M$28,0)</f>
        <v>0</v>
      </c>
      <c r="O107" s="82">
        <f>O28-O33-O46-O105</f>
        <v>0</v>
      </c>
      <c r="P107" s="83">
        <f>IFERROR(O107/O$28,0)</f>
        <v>0</v>
      </c>
      <c r="Q107" s="82">
        <f>Q28-Q33-Q46-Q105</f>
        <v>0</v>
      </c>
      <c r="R107" s="83">
        <f>IFERROR(Q107/Q$28,0)</f>
        <v>0</v>
      </c>
      <c r="S107" s="82">
        <f>S28-S33-S46-S105</f>
        <v>0</v>
      </c>
      <c r="T107" s="83">
        <f>IFERROR(S107/S$28,0)</f>
        <v>0</v>
      </c>
      <c r="U107" s="82">
        <f>U28-U33-U46-U105</f>
        <v>0</v>
      </c>
      <c r="V107" s="83">
        <f>IFERROR(U107/U$28,0)</f>
        <v>0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1">IFERROR(C111/C$28,0)</f>
        <v>0</v>
      </c>
      <c r="E111" s="79">
        <f>E59</f>
        <v>0</v>
      </c>
      <c r="F111" s="80">
        <f t="shared" ref="F111:F116" si="42">IFERROR(E111/E$28,0)</f>
        <v>0</v>
      </c>
      <c r="G111" s="79">
        <f>G59</f>
        <v>0</v>
      </c>
      <c r="H111" s="80">
        <f t="shared" ref="H111:H116" si="43">IFERROR(G111/G$28,0)</f>
        <v>0</v>
      </c>
      <c r="I111" s="79">
        <f>I59</f>
        <v>0</v>
      </c>
      <c r="J111" s="80">
        <f t="shared" ref="J111:J116" si="44">IFERROR(I111/I$28,0)</f>
        <v>0</v>
      </c>
      <c r="K111" s="79">
        <f>K59</f>
        <v>0</v>
      </c>
      <c r="L111" s="80">
        <f t="shared" ref="L111:L116" si="45">IFERROR(K111/K$28,0)</f>
        <v>0</v>
      </c>
      <c r="M111" s="79">
        <f>M59</f>
        <v>0</v>
      </c>
      <c r="N111" s="80">
        <f t="shared" ref="N111:N116" si="46">IFERROR(M111/M$28,0)</f>
        <v>0</v>
      </c>
      <c r="O111" s="79">
        <f>O59</f>
        <v>0</v>
      </c>
      <c r="P111" s="80">
        <f t="shared" ref="P111:P116" si="47">IFERROR(O111/O$28,0)</f>
        <v>0</v>
      </c>
      <c r="Q111" s="79">
        <f>Q59</f>
        <v>0</v>
      </c>
      <c r="R111" s="80">
        <f t="shared" ref="R111:R116" si="48">IFERROR(Q111/Q$28,0)</f>
        <v>0</v>
      </c>
      <c r="S111" s="79">
        <f>S59</f>
        <v>0</v>
      </c>
      <c r="T111" s="80">
        <f t="shared" ref="T111:T116" si="49">IFERROR(S111/S$28,0)</f>
        <v>0</v>
      </c>
      <c r="U111" s="79">
        <f>U59</f>
        <v>0</v>
      </c>
      <c r="V111" s="80">
        <f t="shared" ref="V111:V116" si="50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1"/>
        <v>0</v>
      </c>
      <c r="E112" s="79">
        <f>E62</f>
        <v>0</v>
      </c>
      <c r="F112" s="80">
        <f t="shared" si="42"/>
        <v>0</v>
      </c>
      <c r="G112" s="79">
        <f>G62</f>
        <v>0</v>
      </c>
      <c r="H112" s="80">
        <f t="shared" si="43"/>
        <v>0</v>
      </c>
      <c r="I112" s="79">
        <f>I62</f>
        <v>0</v>
      </c>
      <c r="J112" s="80">
        <f t="shared" si="44"/>
        <v>0</v>
      </c>
      <c r="K112" s="79">
        <f>K62</f>
        <v>0</v>
      </c>
      <c r="L112" s="80">
        <f t="shared" si="45"/>
        <v>0</v>
      </c>
      <c r="M112" s="79">
        <f>M62</f>
        <v>0</v>
      </c>
      <c r="N112" s="80">
        <f t="shared" si="46"/>
        <v>0</v>
      </c>
      <c r="O112" s="79">
        <f>O62</f>
        <v>0</v>
      </c>
      <c r="P112" s="80">
        <f t="shared" si="47"/>
        <v>0</v>
      </c>
      <c r="Q112" s="79">
        <f>Q62</f>
        <v>0</v>
      </c>
      <c r="R112" s="80">
        <f t="shared" si="48"/>
        <v>0</v>
      </c>
      <c r="S112" s="79">
        <f>S62</f>
        <v>0</v>
      </c>
      <c r="T112" s="80">
        <f t="shared" si="49"/>
        <v>0</v>
      </c>
      <c r="U112" s="79">
        <f>U62</f>
        <v>0</v>
      </c>
      <c r="V112" s="80">
        <f t="shared" si="50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1"/>
        <v>0</v>
      </c>
      <c r="E113" s="111">
        <v>0</v>
      </c>
      <c r="F113" s="80">
        <f t="shared" si="42"/>
        <v>0</v>
      </c>
      <c r="G113" s="111">
        <v>0</v>
      </c>
      <c r="H113" s="80">
        <f t="shared" si="43"/>
        <v>0</v>
      </c>
      <c r="I113" s="111">
        <v>0</v>
      </c>
      <c r="J113" s="80">
        <f t="shared" si="44"/>
        <v>0</v>
      </c>
      <c r="K113" s="111">
        <v>0</v>
      </c>
      <c r="L113" s="80">
        <f t="shared" si="45"/>
        <v>0</v>
      </c>
      <c r="M113" s="111">
        <v>0</v>
      </c>
      <c r="N113" s="80">
        <f t="shared" si="46"/>
        <v>0</v>
      </c>
      <c r="O113" s="111">
        <v>0</v>
      </c>
      <c r="P113" s="80">
        <f t="shared" si="47"/>
        <v>0</v>
      </c>
      <c r="Q113" s="111">
        <v>0</v>
      </c>
      <c r="R113" s="80">
        <f t="shared" si="48"/>
        <v>0</v>
      </c>
      <c r="S113" s="111">
        <v>0</v>
      </c>
      <c r="T113" s="80">
        <f t="shared" si="49"/>
        <v>0</v>
      </c>
      <c r="U113" s="111">
        <v>0</v>
      </c>
      <c r="V113" s="80">
        <f t="shared" si="50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1"/>
        <v>0</v>
      </c>
      <c r="E114" s="111">
        <v>0</v>
      </c>
      <c r="F114" s="80">
        <f t="shared" si="42"/>
        <v>0</v>
      </c>
      <c r="G114" s="111">
        <v>0</v>
      </c>
      <c r="H114" s="80">
        <f t="shared" si="43"/>
        <v>0</v>
      </c>
      <c r="I114" s="111">
        <v>0</v>
      </c>
      <c r="J114" s="80">
        <f t="shared" si="44"/>
        <v>0</v>
      </c>
      <c r="K114" s="111">
        <v>0</v>
      </c>
      <c r="L114" s="80">
        <f t="shared" si="45"/>
        <v>0</v>
      </c>
      <c r="M114" s="111">
        <v>0</v>
      </c>
      <c r="N114" s="80">
        <f t="shared" si="46"/>
        <v>0</v>
      </c>
      <c r="O114" s="111">
        <v>0</v>
      </c>
      <c r="P114" s="80">
        <f t="shared" si="47"/>
        <v>0</v>
      </c>
      <c r="Q114" s="111">
        <v>0</v>
      </c>
      <c r="R114" s="80">
        <f t="shared" si="48"/>
        <v>0</v>
      </c>
      <c r="S114" s="111">
        <v>0</v>
      </c>
      <c r="T114" s="80">
        <f t="shared" si="49"/>
        <v>0</v>
      </c>
      <c r="U114" s="111">
        <v>0</v>
      </c>
      <c r="V114" s="80">
        <f t="shared" si="50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1"/>
        <v>0</v>
      </c>
      <c r="E115" s="112">
        <v>0</v>
      </c>
      <c r="F115" s="80">
        <f t="shared" si="42"/>
        <v>0</v>
      </c>
      <c r="G115" s="112">
        <v>0</v>
      </c>
      <c r="H115" s="80">
        <f t="shared" si="43"/>
        <v>0</v>
      </c>
      <c r="I115" s="112">
        <v>0</v>
      </c>
      <c r="J115" s="80">
        <f t="shared" si="44"/>
        <v>0</v>
      </c>
      <c r="K115" s="112">
        <v>0</v>
      </c>
      <c r="L115" s="80">
        <f t="shared" si="45"/>
        <v>0</v>
      </c>
      <c r="M115" s="112">
        <v>0</v>
      </c>
      <c r="N115" s="80">
        <f t="shared" si="46"/>
        <v>0</v>
      </c>
      <c r="O115" s="112">
        <v>0</v>
      </c>
      <c r="P115" s="80">
        <f t="shared" si="47"/>
        <v>0</v>
      </c>
      <c r="Q115" s="112">
        <v>0</v>
      </c>
      <c r="R115" s="80">
        <f t="shared" si="48"/>
        <v>0</v>
      </c>
      <c r="S115" s="112">
        <v>0</v>
      </c>
      <c r="T115" s="80">
        <f t="shared" si="49"/>
        <v>0</v>
      </c>
      <c r="U115" s="112">
        <v>0</v>
      </c>
      <c r="V115" s="80">
        <f t="shared" si="50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1"/>
        <v>0</v>
      </c>
      <c r="E116" s="85">
        <f>SUM(E111:E115)</f>
        <v>0</v>
      </c>
      <c r="F116" s="83">
        <f t="shared" si="42"/>
        <v>0</v>
      </c>
      <c r="G116" s="85">
        <f>SUM(G111:G115)</f>
        <v>0</v>
      </c>
      <c r="H116" s="83">
        <f t="shared" si="43"/>
        <v>0</v>
      </c>
      <c r="I116" s="85">
        <f>SUM(I111:I115)</f>
        <v>0</v>
      </c>
      <c r="J116" s="83">
        <f t="shared" si="44"/>
        <v>0</v>
      </c>
      <c r="K116" s="85">
        <f>SUM(K111:K115)</f>
        <v>0</v>
      </c>
      <c r="L116" s="83">
        <f t="shared" si="45"/>
        <v>0</v>
      </c>
      <c r="M116" s="85">
        <f>SUM(M111:M115)</f>
        <v>0</v>
      </c>
      <c r="N116" s="83">
        <f t="shared" si="46"/>
        <v>0</v>
      </c>
      <c r="O116" s="85">
        <f>SUM(O111:O115)</f>
        <v>0</v>
      </c>
      <c r="P116" s="83">
        <f t="shared" si="47"/>
        <v>0</v>
      </c>
      <c r="Q116" s="85">
        <f>SUM(Q111:Q115)</f>
        <v>0</v>
      </c>
      <c r="R116" s="83">
        <f t="shared" si="48"/>
        <v>0</v>
      </c>
      <c r="S116" s="85">
        <f>SUM(S111:S115)</f>
        <v>0</v>
      </c>
      <c r="T116" s="83">
        <f t="shared" si="49"/>
        <v>0</v>
      </c>
      <c r="U116" s="85">
        <f>SUM(U111:U115)</f>
        <v>0</v>
      </c>
      <c r="V116" s="83">
        <f t="shared" si="50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G32"/>
  <sheetViews>
    <sheetView workbookViewId="0" xr3:uid="{842E5F09-E766-5B8D-85AF-A39847EA96FD}">
      <selection activeCell="C5" sqref="C5"/>
    </sheetView>
  </sheetViews>
  <sheetFormatPr defaultColWidth="9.140625" defaultRowHeight="12.75"/>
  <cols>
    <col min="1" max="1" width="3.140625" style="2" customWidth="1"/>
    <col min="2" max="2" width="10.5703125" style="2" customWidth="1"/>
    <col min="3" max="3" width="30.5703125" style="2" customWidth="1"/>
    <col min="4" max="4" width="25.5703125" style="3" customWidth="1"/>
    <col min="5" max="5" width="1.5703125" style="3" customWidth="1"/>
    <col min="6" max="6" width="13.5703125" style="2" customWidth="1"/>
    <col min="7" max="7" width="1.5703125" style="3" customWidth="1"/>
    <col min="8" max="8" width="12.5703125" style="2" customWidth="1"/>
    <col min="9" max="9" width="5.7109375" style="2" customWidth="1"/>
    <col min="10" max="10" width="15.7109375" style="2" customWidth="1"/>
    <col min="11" max="11" width="3.140625" style="2" customWidth="1"/>
    <col min="12" max="12" width="9.7109375" style="2" customWidth="1"/>
    <col min="13" max="14" width="14.7109375" style="2" customWidth="1"/>
    <col min="15" max="15" width="4.7109375" style="2" customWidth="1"/>
    <col min="16" max="16" width="14.7109375" style="2" customWidth="1"/>
    <col min="17" max="17" width="5.7109375" style="2" customWidth="1"/>
    <col min="18" max="18" width="15.7109375" style="2" customWidth="1"/>
    <col min="19" max="16384" width="9.140625" style="2"/>
  </cols>
  <sheetData>
    <row r="1" spans="1:7" customFormat="1">
      <c r="A1" s="1" t="s">
        <v>0</v>
      </c>
    </row>
    <row r="2" spans="1:7" customFormat="1">
      <c r="A2" s="1" t="s">
        <v>1</v>
      </c>
    </row>
    <row r="3" spans="1:7">
      <c r="A3" s="1" t="s">
        <v>15</v>
      </c>
    </row>
    <row r="4" spans="1:7">
      <c r="A4" s="1"/>
    </row>
    <row r="5" spans="1:7">
      <c r="A5" s="1" t="s">
        <v>16</v>
      </c>
      <c r="C5" s="109" t="s">
        <v>17</v>
      </c>
    </row>
    <row r="7" spans="1:7">
      <c r="A7" s="50" t="s">
        <v>18</v>
      </c>
      <c r="B7" s="1" t="s">
        <v>98</v>
      </c>
      <c r="C7" s="1"/>
    </row>
    <row r="8" spans="1:7">
      <c r="A8" s="50"/>
      <c r="B8" s="4" t="s">
        <v>99</v>
      </c>
      <c r="C8" s="4"/>
    </row>
    <row r="9" spans="1:7">
      <c r="A9" s="51"/>
      <c r="D9" s="2"/>
      <c r="E9" s="2"/>
      <c r="G9" s="2"/>
    </row>
    <row r="10" spans="1:7">
      <c r="A10" s="3"/>
    </row>
    <row r="11" spans="1:7">
      <c r="A11" s="3"/>
      <c r="C11" s="151">
        <v>50000</v>
      </c>
      <c r="D11" s="3" t="s">
        <v>100</v>
      </c>
      <c r="E11" s="45"/>
    </row>
    <row r="12" spans="1:7">
      <c r="A12" s="3"/>
    </row>
    <row r="13" spans="1:7">
      <c r="A13" s="3"/>
    </row>
    <row r="14" spans="1:7">
      <c r="A14" s="3"/>
    </row>
    <row r="15" spans="1:7">
      <c r="A15" s="3"/>
    </row>
    <row r="16" spans="1:7">
      <c r="A16" s="3"/>
    </row>
    <row r="17" spans="1:1">
      <c r="A17" s="3"/>
    </row>
    <row r="18" spans="1:1">
      <c r="A18" s="3"/>
    </row>
    <row r="19" spans="1:1">
      <c r="A19" s="3"/>
    </row>
    <row r="20" spans="1:1">
      <c r="A20" s="3"/>
    </row>
    <row r="21" spans="1:1">
      <c r="A21" s="3"/>
    </row>
    <row r="22" spans="1:1">
      <c r="A22" s="3"/>
    </row>
    <row r="23" spans="1:1">
      <c r="A23" s="3"/>
    </row>
    <row r="24" spans="1:1">
      <c r="A24" s="3"/>
    </row>
    <row r="25" spans="1:1">
      <c r="A25" s="3"/>
    </row>
    <row r="26" spans="1:1">
      <c r="A26" s="3"/>
    </row>
    <row r="27" spans="1:1">
      <c r="A27" s="3"/>
    </row>
    <row r="28" spans="1:1">
      <c r="A28" s="3"/>
    </row>
    <row r="29" spans="1:1">
      <c r="A29" s="3"/>
    </row>
    <row r="30" spans="1:1">
      <c r="A30" s="3"/>
    </row>
    <row r="31" spans="1:1">
      <c r="A31" s="3"/>
    </row>
    <row r="32" spans="1:1">
      <c r="A32" s="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 tint="0.59999389629810485"/>
  </sheetPr>
  <dimension ref="A1:X119"/>
  <sheetViews>
    <sheetView topLeftCell="A19" zoomScale="70" zoomScaleNormal="70" workbookViewId="0" xr3:uid="{7075697D-051A-5480-9A35-AA80E904E1A1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42.57031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6.14062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52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Misha's Cupcakes (Parking Garage 5)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36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209</v>
      </c>
      <c r="E8" s="109">
        <f>+C8</f>
        <v>209</v>
      </c>
      <c r="G8" s="109">
        <f>+E8</f>
        <v>209</v>
      </c>
      <c r="I8" s="109">
        <f>+G8</f>
        <v>209</v>
      </c>
      <c r="K8" s="109">
        <f>+I8</f>
        <v>209</v>
      </c>
      <c r="M8" s="109">
        <f>+K8</f>
        <v>209</v>
      </c>
      <c r="O8" s="109">
        <f>+M8</f>
        <v>209</v>
      </c>
      <c r="Q8" s="109">
        <f>+O8</f>
        <v>209</v>
      </c>
      <c r="S8" s="109">
        <f>+Q8</f>
        <v>209</v>
      </c>
      <c r="U8" s="109">
        <f>+S8</f>
        <v>209</v>
      </c>
    </row>
    <row r="10" spans="1:22" ht="12.75" customHeight="1">
      <c r="A10" s="2" t="s">
        <v>449</v>
      </c>
      <c r="C10" s="109"/>
      <c r="E10" s="109"/>
      <c r="G10" s="232">
        <f>+(G14/G8)/G12</f>
        <v>478.46889952153111</v>
      </c>
      <c r="I10" s="232">
        <f>+(I14/I8)/I12</f>
        <v>488.03827751196172</v>
      </c>
      <c r="K10" s="232">
        <f>+(K14/K8)/K12</f>
        <v>497.79904306220095</v>
      </c>
      <c r="M10" s="232">
        <f>+(M14/M8)/M12</f>
        <v>507.75502392344498</v>
      </c>
      <c r="O10" s="232">
        <f>+(O14/O8)/O12</f>
        <v>517.91012440191389</v>
      </c>
      <c r="Q10" s="232">
        <f>+(Q14/Q8)/Q12</f>
        <v>528.26832688995216</v>
      </c>
      <c r="S10" s="232">
        <f>+(S14/S8)/S12</f>
        <v>538.83369342775109</v>
      </c>
      <c r="U10" s="232">
        <f>+(U14/U8)/U12</f>
        <v>549.61036729630621</v>
      </c>
    </row>
    <row r="12" spans="1:22" ht="12.75" customHeight="1">
      <c r="A12" s="2" t="s">
        <v>450</v>
      </c>
      <c r="C12" s="110"/>
      <c r="E12" s="110"/>
      <c r="G12" s="110">
        <v>7.5</v>
      </c>
      <c r="I12" s="110">
        <v>7.5</v>
      </c>
      <c r="K12" s="110">
        <v>7.5</v>
      </c>
      <c r="M12" s="110">
        <v>7.5</v>
      </c>
      <c r="O12" s="110">
        <v>7.5</v>
      </c>
      <c r="Q12" s="110">
        <v>7.5</v>
      </c>
      <c r="S12" s="110">
        <v>7.5</v>
      </c>
      <c r="U12" s="110">
        <v>7.5</v>
      </c>
    </row>
    <row r="14" spans="1:22" ht="12.75" customHeight="1">
      <c r="A14" s="2" t="s">
        <v>451</v>
      </c>
      <c r="C14" s="121">
        <f>C12*C10*C8</f>
        <v>0</v>
      </c>
      <c r="E14" s="121">
        <f>E12*E10*E8</f>
        <v>0</v>
      </c>
      <c r="G14" s="121">
        <v>750000</v>
      </c>
      <c r="I14" s="121">
        <f>+G14*1.02</f>
        <v>765000</v>
      </c>
      <c r="K14" s="121">
        <f>+I14*1.02</f>
        <v>780300</v>
      </c>
      <c r="M14" s="121">
        <f>+K14*1.02</f>
        <v>795906</v>
      </c>
      <c r="O14" s="121">
        <f>+M14*1.02</f>
        <v>811824.12</v>
      </c>
      <c r="Q14" s="121">
        <f>+O14*1.02</f>
        <v>828060.60239999997</v>
      </c>
      <c r="S14" s="121">
        <f>+Q14*1.02</f>
        <v>844621.81444799993</v>
      </c>
      <c r="U14" s="121">
        <f>+S14*1.02</f>
        <v>861514.25073695998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</f>
        <v>0</v>
      </c>
      <c r="D19" s="80">
        <f>IFERROR(C19/C$28,0)</f>
        <v>0</v>
      </c>
      <c r="E19" s="208">
        <f>+E14-E20</f>
        <v>0</v>
      </c>
      <c r="F19" s="80">
        <f>IFERROR(E19/E$28,0)</f>
        <v>0</v>
      </c>
      <c r="G19" s="208">
        <f>+G14-G20</f>
        <v>750000</v>
      </c>
      <c r="H19" s="80">
        <f>IFERROR(G19/G$28,0)</f>
        <v>1</v>
      </c>
      <c r="I19" s="208">
        <f>+I14-I20</f>
        <v>765000</v>
      </c>
      <c r="J19" s="80">
        <f>IFERROR(I19/I$28,0)</f>
        <v>1</v>
      </c>
      <c r="K19" s="208">
        <f>+K14-K20</f>
        <v>780300</v>
      </c>
      <c r="L19" s="80">
        <f>IFERROR(K19/K$28,0)</f>
        <v>1</v>
      </c>
      <c r="M19" s="208">
        <f>+M14-M20</f>
        <v>795906</v>
      </c>
      <c r="N19" s="80">
        <f>IFERROR(M19/M$28,0)</f>
        <v>1</v>
      </c>
      <c r="O19" s="208">
        <f>+O14-O20</f>
        <v>811824.12</v>
      </c>
      <c r="P19" s="80">
        <f>IFERROR(O19/O$28,0)</f>
        <v>1</v>
      </c>
      <c r="Q19" s="208">
        <f>+Q14-Q20</f>
        <v>828060.60239999997</v>
      </c>
      <c r="R19" s="80">
        <f>IFERROR(Q19/Q$28,0)</f>
        <v>1</v>
      </c>
      <c r="S19" s="208">
        <f>+S14-S20</f>
        <v>844621.81444799993</v>
      </c>
      <c r="T19" s="80">
        <f>IFERROR(S19/S$28,0)</f>
        <v>1</v>
      </c>
      <c r="U19" s="208">
        <f>+U14-U20</f>
        <v>861514.25073695998</v>
      </c>
      <c r="V19" s="80">
        <f>IFERROR(U19/U$28,0)</f>
        <v>1</v>
      </c>
    </row>
    <row r="20" spans="1:24" ht="12.75" customHeight="1">
      <c r="A20" s="2" t="s">
        <v>357</v>
      </c>
      <c r="B20" s="35"/>
      <c r="C20" s="111">
        <f>+C14*12.38%</f>
        <v>0</v>
      </c>
      <c r="D20" s="80">
        <f>IFERROR(C20/C$28,0)</f>
        <v>0</v>
      </c>
      <c r="E20" s="111">
        <f>+E14*53.27%</f>
        <v>0</v>
      </c>
      <c r="F20" s="80">
        <f>IFERROR(E20/E$28,0)</f>
        <v>0</v>
      </c>
      <c r="G20" s="111">
        <f t="shared" ref="G20:U21" si="0">E20*1.02</f>
        <v>0</v>
      </c>
      <c r="H20" s="80">
        <f>IFERROR(G20/G$28,0)</f>
        <v>0</v>
      </c>
      <c r="I20" s="111">
        <f t="shared" si="0"/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2" t="s">
        <v>358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460</v>
      </c>
      <c r="B27" s="35"/>
      <c r="C27" s="112">
        <v>0</v>
      </c>
      <c r="D27" s="80">
        <f t="shared" si="1"/>
        <v>0</v>
      </c>
      <c r="E27" s="112">
        <f>+C27*1.05</f>
        <v>0</v>
      </c>
      <c r="F27" s="80">
        <f t="shared" si="2"/>
        <v>0</v>
      </c>
      <c r="G27" s="112">
        <f>+E27*1.02</f>
        <v>0</v>
      </c>
      <c r="H27" s="80">
        <f t="shared" si="3"/>
        <v>0</v>
      </c>
      <c r="I27" s="112">
        <f>+G27*1.02</f>
        <v>0</v>
      </c>
      <c r="J27" s="80">
        <f t="shared" si="4"/>
        <v>0</v>
      </c>
      <c r="K27" s="112">
        <f>+I27*1.02</f>
        <v>0</v>
      </c>
      <c r="L27" s="80">
        <f t="shared" si="5"/>
        <v>0</v>
      </c>
      <c r="M27" s="112">
        <f>+K27*1.02</f>
        <v>0</v>
      </c>
      <c r="N27" s="80">
        <f t="shared" si="6"/>
        <v>0</v>
      </c>
      <c r="O27" s="112">
        <f>+M27*1.02</f>
        <v>0</v>
      </c>
      <c r="P27" s="80">
        <f t="shared" si="7"/>
        <v>0</v>
      </c>
      <c r="Q27" s="112">
        <f>+O27*1.02</f>
        <v>0</v>
      </c>
      <c r="R27" s="80">
        <f t="shared" si="8"/>
        <v>0</v>
      </c>
      <c r="S27" s="112">
        <f>+Q27*1.02</f>
        <v>0</v>
      </c>
      <c r="T27" s="80">
        <f t="shared" si="9"/>
        <v>0</v>
      </c>
      <c r="U27" s="112">
        <f>+S27*1.02</f>
        <v>0</v>
      </c>
      <c r="V27" s="80">
        <f t="shared" si="10"/>
        <v>0</v>
      </c>
    </row>
    <row r="28" spans="1:24" ht="12.75" customHeight="1">
      <c r="A28" s="1" t="s">
        <v>365</v>
      </c>
      <c r="B28" s="53"/>
      <c r="C28" s="82">
        <f>SUM(C19:C27)</f>
        <v>0</v>
      </c>
      <c r="D28" s="83">
        <f t="shared" si="1"/>
        <v>0</v>
      </c>
      <c r="E28" s="82">
        <f>SUM(E19:E27)</f>
        <v>0</v>
      </c>
      <c r="F28" s="83">
        <f t="shared" si="2"/>
        <v>0</v>
      </c>
      <c r="G28" s="82">
        <f>SUM(G19:G27)</f>
        <v>750000</v>
      </c>
      <c r="H28" s="83">
        <f t="shared" si="3"/>
        <v>1</v>
      </c>
      <c r="I28" s="82">
        <f>SUM(I19:I27)</f>
        <v>765000</v>
      </c>
      <c r="J28" s="83">
        <f t="shared" si="4"/>
        <v>1</v>
      </c>
      <c r="K28" s="82">
        <f>SUM(K19:K27)</f>
        <v>780300</v>
      </c>
      <c r="L28" s="83">
        <f t="shared" si="5"/>
        <v>1</v>
      </c>
      <c r="M28" s="82">
        <f>SUM(M19:M27)</f>
        <v>795906</v>
      </c>
      <c r="N28" s="83">
        <f t="shared" si="6"/>
        <v>1</v>
      </c>
      <c r="O28" s="82">
        <f>SUM(O19:O27)</f>
        <v>811824.12</v>
      </c>
      <c r="P28" s="83">
        <f t="shared" si="7"/>
        <v>1</v>
      </c>
      <c r="Q28" s="82">
        <f>SUM(Q19:Q27)</f>
        <v>828060.60239999997</v>
      </c>
      <c r="R28" s="83">
        <f t="shared" si="8"/>
        <v>1</v>
      </c>
      <c r="S28" s="82">
        <f>SUM(S19:S27)</f>
        <v>844621.81444799993</v>
      </c>
      <c r="T28" s="83">
        <f t="shared" si="9"/>
        <v>1</v>
      </c>
      <c r="U28" s="82">
        <f>SUM(U19:U27)</f>
        <v>861514.25073695998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10">
        <v>0.36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0</v>
      </c>
      <c r="D31" s="80">
        <f>IFERROR(C31/C$28,0)</f>
        <v>0</v>
      </c>
      <c r="E31" s="179">
        <f>$C$30*E14</f>
        <v>0</v>
      </c>
      <c r="F31" s="80">
        <f>IFERROR(E31/E$28,0)</f>
        <v>0</v>
      </c>
      <c r="G31" s="179">
        <f>$C$30*G14</f>
        <v>270000</v>
      </c>
      <c r="H31" s="80">
        <f>IFERROR(G31/G$28,0)</f>
        <v>0.36</v>
      </c>
      <c r="I31" s="179">
        <f>$C$30*I14</f>
        <v>275400</v>
      </c>
      <c r="J31" s="80">
        <f>IFERROR(I31/I$28,0)</f>
        <v>0.36</v>
      </c>
      <c r="K31" s="179">
        <f>$C$30*K14</f>
        <v>280908</v>
      </c>
      <c r="L31" s="80">
        <f>IFERROR(K31/K$28,0)</f>
        <v>0.36</v>
      </c>
      <c r="M31" s="179">
        <f>$C$30*M14</f>
        <v>286526.15999999997</v>
      </c>
      <c r="N31" s="80">
        <f>IFERROR(M31/M$28,0)</f>
        <v>0.36</v>
      </c>
      <c r="O31" s="179">
        <f>$C$30*O14</f>
        <v>292256.68319999997</v>
      </c>
      <c r="P31" s="80">
        <f>IFERROR(O31/O$28,0)</f>
        <v>0.36</v>
      </c>
      <c r="Q31" s="179">
        <f>$C$30*Q14</f>
        <v>298101.81686399999</v>
      </c>
      <c r="R31" s="80">
        <f>IFERROR(Q31/Q$28,0)</f>
        <v>0.36</v>
      </c>
      <c r="S31" s="179">
        <f>$C$30*S14</f>
        <v>304063.85320127994</v>
      </c>
      <c r="T31" s="80">
        <f>IFERROR(S31/S$28,0)</f>
        <v>0.35999999999999993</v>
      </c>
      <c r="U31" s="179">
        <f>$C$30*U14</f>
        <v>310145.13026530558</v>
      </c>
      <c r="V31" s="80">
        <f>IFERROR(U31/U$28,0)</f>
        <v>0.36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0</v>
      </c>
      <c r="D33" s="83">
        <f>IFERROR(C33/C$28,0)</f>
        <v>0</v>
      </c>
      <c r="E33" s="82">
        <f>SUM(E31:E32)</f>
        <v>0</v>
      </c>
      <c r="F33" s="83">
        <f>IFERROR(E33/E$28,0)</f>
        <v>0</v>
      </c>
      <c r="G33" s="82">
        <f>SUM(G31:G32)</f>
        <v>270000</v>
      </c>
      <c r="H33" s="83">
        <f>IFERROR(G33/G$28,0)</f>
        <v>0.36</v>
      </c>
      <c r="I33" s="82">
        <f>SUM(I31:I32)</f>
        <v>275400</v>
      </c>
      <c r="J33" s="83">
        <f>IFERROR(I33/I$28,0)</f>
        <v>0.36</v>
      </c>
      <c r="K33" s="82">
        <f>SUM(K31:K32)</f>
        <v>280908</v>
      </c>
      <c r="L33" s="83">
        <f>IFERROR(K33/K$28,0)</f>
        <v>0.36</v>
      </c>
      <c r="M33" s="82">
        <f>SUM(M31:M32)</f>
        <v>286526.15999999997</v>
      </c>
      <c r="N33" s="83">
        <f>IFERROR(M33/M$28,0)</f>
        <v>0.36</v>
      </c>
      <c r="O33" s="82">
        <f>SUM(O31:O32)</f>
        <v>292256.68319999997</v>
      </c>
      <c r="P33" s="83">
        <f>IFERROR(O33/O$28,0)</f>
        <v>0.36</v>
      </c>
      <c r="Q33" s="82">
        <f>SUM(Q31:Q32)</f>
        <v>298101.81686399999</v>
      </c>
      <c r="R33" s="83">
        <f>IFERROR(Q33/Q$28,0)</f>
        <v>0.36</v>
      </c>
      <c r="S33" s="82">
        <f>SUM(S31:S32)</f>
        <v>304063.85320127994</v>
      </c>
      <c r="T33" s="83">
        <f>IFERROR(S33/S$28,0)</f>
        <v>0.35999999999999993</v>
      </c>
      <c r="U33" s="82">
        <f>SUM(U31:U32)</f>
        <v>310145.13026530558</v>
      </c>
      <c r="V33" s="83">
        <f>IFERROR(U33/U$28,0)</f>
        <v>0.36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13"/>
      <c r="D36" s="80">
        <f t="shared" ref="D36:D46" si="11">IFERROR(C36/C$28,0)</f>
        <v>0</v>
      </c>
      <c r="E36" s="179"/>
      <c r="F36" s="80">
        <f t="shared" ref="F36:F46" si="12">IFERROR(E36/E$28,0)</f>
        <v>0</v>
      </c>
      <c r="G36" s="179"/>
      <c r="H36" s="80">
        <f t="shared" ref="H36:H46" si="13">IFERROR(G36/G$28,0)</f>
        <v>0</v>
      </c>
      <c r="I36" s="179"/>
      <c r="J36" s="80">
        <f t="shared" ref="J36:J46" si="14">IFERROR(I36/I$28,0)</f>
        <v>0</v>
      </c>
      <c r="K36" s="179"/>
      <c r="L36" s="80">
        <f t="shared" ref="L36:L46" si="15">IFERROR(K36/K$28,0)</f>
        <v>0</v>
      </c>
      <c r="M36" s="179"/>
      <c r="N36" s="80">
        <f t="shared" ref="N36:N46" si="16">IFERROR(M36/M$28,0)</f>
        <v>0</v>
      </c>
      <c r="O36" s="179"/>
      <c r="P36" s="80">
        <f t="shared" ref="P36:P46" si="17">IFERROR(O36/O$28,0)</f>
        <v>0</v>
      </c>
      <c r="Q36" s="179"/>
      <c r="R36" s="80">
        <f t="shared" ref="R36:R46" si="18">IFERROR(Q36/Q$28,0)</f>
        <v>0</v>
      </c>
      <c r="S36" s="179"/>
      <c r="T36" s="80">
        <f t="shared" ref="T36:T46" si="19">IFERROR(S36/S$28,0)</f>
        <v>0</v>
      </c>
      <c r="U36" s="179"/>
      <c r="V36" s="80">
        <f t="shared" ref="V36:V46" si="20">IFERROR(U36/U$28,0)</f>
        <v>0</v>
      </c>
    </row>
    <row r="37" spans="1:22" ht="12.75" customHeight="1">
      <c r="A37" s="2" t="s">
        <v>372</v>
      </c>
      <c r="B37" s="35"/>
      <c r="C37" s="113"/>
      <c r="D37" s="80">
        <f t="shared" si="11"/>
        <v>0</v>
      </c>
      <c r="E37" s="179">
        <f>+C37*1.112</f>
        <v>0</v>
      </c>
      <c r="F37" s="80">
        <f t="shared" si="12"/>
        <v>0</v>
      </c>
      <c r="G37" s="179">
        <v>130000</v>
      </c>
      <c r="H37" s="80">
        <f t="shared" si="13"/>
        <v>0.17333333333333334</v>
      </c>
      <c r="I37" s="179">
        <f>+G37*1.032</f>
        <v>134160</v>
      </c>
      <c r="J37" s="80">
        <f t="shared" si="14"/>
        <v>0.17537254901960783</v>
      </c>
      <c r="K37" s="179">
        <f>+I37*1.025</f>
        <v>137514</v>
      </c>
      <c r="L37" s="80">
        <f t="shared" si="15"/>
        <v>0.1762322183775471</v>
      </c>
      <c r="M37" s="179">
        <f>+K37*1.025</f>
        <v>140951.84999999998</v>
      </c>
      <c r="N37" s="80">
        <f t="shared" si="16"/>
        <v>0.17709610180096641</v>
      </c>
      <c r="O37" s="179">
        <f>+M37*1.025</f>
        <v>144475.64624999996</v>
      </c>
      <c r="P37" s="80">
        <f t="shared" si="17"/>
        <v>0.17796421994704956</v>
      </c>
      <c r="Q37" s="179">
        <f>+O37*1.025</f>
        <v>148087.53740624996</v>
      </c>
      <c r="R37" s="80">
        <f t="shared" si="18"/>
        <v>0.178836593574241</v>
      </c>
      <c r="S37" s="179">
        <f>+Q37*1.025</f>
        <v>151789.72584140621</v>
      </c>
      <c r="T37" s="80">
        <f t="shared" si="19"/>
        <v>0.17971324354274218</v>
      </c>
      <c r="U37" s="179">
        <f>+S37*1.025</f>
        <v>155584.46898744136</v>
      </c>
      <c r="V37" s="80">
        <f t="shared" si="20"/>
        <v>0.18059419081501052</v>
      </c>
    </row>
    <row r="38" spans="1:22" ht="12.75" customHeight="1">
      <c r="A38" s="2" t="s">
        <v>373</v>
      </c>
      <c r="B38" s="35"/>
      <c r="C38" s="113"/>
      <c r="D38" s="80">
        <f t="shared" si="11"/>
        <v>0</v>
      </c>
      <c r="E38" s="179">
        <f t="shared" ref="E38:E39" si="21">+C38*1.112</f>
        <v>0</v>
      </c>
      <c r="F38" s="80">
        <f t="shared" si="12"/>
        <v>0</v>
      </c>
      <c r="G38" s="179">
        <v>34039.360857599997</v>
      </c>
      <c r="H38" s="80">
        <f t="shared" si="13"/>
        <v>4.5385814476799999E-2</v>
      </c>
      <c r="I38" s="179">
        <f>+G38*1.032</f>
        <v>35128.620405043199</v>
      </c>
      <c r="J38" s="80">
        <f t="shared" si="14"/>
        <v>4.5919765235350588E-2</v>
      </c>
      <c r="K38" s="179">
        <f>+I38*1.025</f>
        <v>36006.835915169278</v>
      </c>
      <c r="L38" s="80">
        <f t="shared" si="15"/>
        <v>4.6144862123759164E-2</v>
      </c>
      <c r="M38" s="179">
        <f>+K38*1.025</f>
        <v>36907.006813048509</v>
      </c>
      <c r="N38" s="80">
        <f t="shared" si="16"/>
        <v>4.6371062428287396E-2</v>
      </c>
      <c r="O38" s="179">
        <f>+M38*1.025</f>
        <v>37829.681983374721</v>
      </c>
      <c r="P38" s="80">
        <f t="shared" si="17"/>
        <v>4.6598371557837824E-2</v>
      </c>
      <c r="Q38" s="179">
        <f>+O38*1.025</f>
        <v>38775.424032959083</v>
      </c>
      <c r="R38" s="80">
        <f t="shared" si="18"/>
        <v>4.6826794947827217E-2</v>
      </c>
      <c r="S38" s="179">
        <f>+Q38*1.025</f>
        <v>39744.809633783058</v>
      </c>
      <c r="T38" s="80">
        <f t="shared" si="19"/>
        <v>4.7056338060316567E-2</v>
      </c>
      <c r="U38" s="179">
        <f>+S38*1.025</f>
        <v>40738.429874627633</v>
      </c>
      <c r="V38" s="80">
        <f t="shared" si="20"/>
        <v>4.7287006384141649E-2</v>
      </c>
    </row>
    <row r="39" spans="1:22" ht="12.75" customHeight="1">
      <c r="A39" s="2" t="s">
        <v>374</v>
      </c>
      <c r="B39" s="35"/>
      <c r="C39" s="113"/>
      <c r="D39" s="80">
        <f t="shared" si="11"/>
        <v>0</v>
      </c>
      <c r="E39" s="179">
        <f t="shared" si="21"/>
        <v>0</v>
      </c>
      <c r="F39" s="80">
        <f t="shared" si="12"/>
        <v>0</v>
      </c>
      <c r="G39" s="179">
        <v>90000</v>
      </c>
      <c r="H39" s="80">
        <f t="shared" si="13"/>
        <v>0.12</v>
      </c>
      <c r="I39" s="179">
        <f>+G39*1.032</f>
        <v>92880</v>
      </c>
      <c r="J39" s="80">
        <f t="shared" si="14"/>
        <v>0.12141176470588236</v>
      </c>
      <c r="K39" s="179">
        <f>+I39*1.025</f>
        <v>95201.999999999985</v>
      </c>
      <c r="L39" s="80">
        <f t="shared" si="15"/>
        <v>0.1220069204152249</v>
      </c>
      <c r="M39" s="179">
        <f>+K39*1.025</f>
        <v>97582.049999999974</v>
      </c>
      <c r="N39" s="80">
        <f t="shared" si="16"/>
        <v>0.12260499355451519</v>
      </c>
      <c r="O39" s="179">
        <f>+M39*1.025</f>
        <v>100021.60124999996</v>
      </c>
      <c r="P39" s="80">
        <f t="shared" si="17"/>
        <v>0.12320599842488046</v>
      </c>
      <c r="Q39" s="179">
        <f>+O39*1.025</f>
        <v>102522.14128124995</v>
      </c>
      <c r="R39" s="80">
        <f t="shared" si="18"/>
        <v>0.12380994939755142</v>
      </c>
      <c r="S39" s="179">
        <f>+Q39*1.025</f>
        <v>105085.19481328118</v>
      </c>
      <c r="T39" s="80">
        <f t="shared" si="19"/>
        <v>0.12441686091420608</v>
      </c>
      <c r="U39" s="179">
        <f>+S39*1.025</f>
        <v>107712.3246836132</v>
      </c>
      <c r="V39" s="80">
        <f t="shared" si="20"/>
        <v>0.1250267474873149</v>
      </c>
    </row>
    <row r="40" spans="1:22" ht="12.75" customHeight="1">
      <c r="A40" s="2" t="s">
        <v>375</v>
      </c>
      <c r="B40" s="35"/>
      <c r="C40" s="113">
        <f>C36*0.124</f>
        <v>0</v>
      </c>
      <c r="D40" s="80">
        <f t="shared" si="11"/>
        <v>0</v>
      </c>
      <c r="E40" s="113">
        <f>E36*0.124</f>
        <v>0</v>
      </c>
      <c r="F40" s="80">
        <f t="shared" si="12"/>
        <v>0</v>
      </c>
      <c r="G40" s="179">
        <v>0</v>
      </c>
      <c r="H40" s="80">
        <f t="shared" si="13"/>
        <v>0</v>
      </c>
      <c r="I40" s="179">
        <f>I36*0.124</f>
        <v>0</v>
      </c>
      <c r="J40" s="80">
        <f t="shared" si="14"/>
        <v>0</v>
      </c>
      <c r="K40" s="179">
        <f>K36*0.124</f>
        <v>0</v>
      </c>
      <c r="L40" s="80">
        <f t="shared" si="15"/>
        <v>0</v>
      </c>
      <c r="M40" s="179">
        <f>M36*0.124</f>
        <v>0</v>
      </c>
      <c r="N40" s="80">
        <f t="shared" si="16"/>
        <v>0</v>
      </c>
      <c r="O40" s="179">
        <f>O36*0.124</f>
        <v>0</v>
      </c>
      <c r="P40" s="80">
        <f t="shared" si="17"/>
        <v>0</v>
      </c>
      <c r="Q40" s="179">
        <f>Q36*0.124</f>
        <v>0</v>
      </c>
      <c r="R40" s="80">
        <f t="shared" si="18"/>
        <v>0</v>
      </c>
      <c r="S40" s="179">
        <f>S36*0.124</f>
        <v>0</v>
      </c>
      <c r="T40" s="80">
        <f t="shared" si="19"/>
        <v>0</v>
      </c>
      <c r="U40" s="179">
        <f>U36*0.124</f>
        <v>0</v>
      </c>
      <c r="V40" s="80">
        <f t="shared" si="20"/>
        <v>0</v>
      </c>
    </row>
    <row r="41" spans="1:22" ht="12.75" customHeight="1">
      <c r="A41" s="2" t="s">
        <v>376</v>
      </c>
      <c r="B41" s="35"/>
      <c r="C41" s="113">
        <f>C37*0.124</f>
        <v>0</v>
      </c>
      <c r="D41" s="80">
        <f t="shared" si="11"/>
        <v>0</v>
      </c>
      <c r="E41" s="113">
        <f>E37*0.124</f>
        <v>0</v>
      </c>
      <c r="F41" s="80">
        <f t="shared" si="12"/>
        <v>0</v>
      </c>
      <c r="G41" s="179">
        <v>19753.466747212806</v>
      </c>
      <c r="H41" s="80">
        <f t="shared" si="13"/>
        <v>2.6337955662950406E-2</v>
      </c>
      <c r="I41" s="179">
        <f>I37*0.124</f>
        <v>16635.84</v>
      </c>
      <c r="J41" s="80">
        <f t="shared" si="14"/>
        <v>2.1746196078431371E-2</v>
      </c>
      <c r="K41" s="179">
        <f>K37*0.124</f>
        <v>17051.736000000001</v>
      </c>
      <c r="L41" s="80">
        <f t="shared" si="15"/>
        <v>2.1852795078815841E-2</v>
      </c>
      <c r="M41" s="179">
        <f>M37*0.124</f>
        <v>17478.029399999996</v>
      </c>
      <c r="N41" s="80">
        <f t="shared" si="16"/>
        <v>2.1959916623319833E-2</v>
      </c>
      <c r="O41" s="179">
        <f>O37*0.124</f>
        <v>17914.980134999994</v>
      </c>
      <c r="P41" s="80">
        <f t="shared" si="17"/>
        <v>2.2067563273434145E-2</v>
      </c>
      <c r="Q41" s="179">
        <f>Q37*0.124</f>
        <v>18362.854638374996</v>
      </c>
      <c r="R41" s="80">
        <f t="shared" si="18"/>
        <v>2.2175737603205885E-2</v>
      </c>
      <c r="S41" s="179">
        <f>S37*0.124</f>
        <v>18821.926004334371</v>
      </c>
      <c r="T41" s="80">
        <f t="shared" si="19"/>
        <v>2.2284442199300033E-2</v>
      </c>
      <c r="U41" s="179">
        <f>U37*0.124</f>
        <v>19292.474154442727</v>
      </c>
      <c r="V41" s="80">
        <f t="shared" si="20"/>
        <v>2.2393679661061303E-2</v>
      </c>
    </row>
    <row r="42" spans="1:22" ht="12.75" customHeight="1">
      <c r="A42" s="2" t="s">
        <v>377</v>
      </c>
      <c r="B42" s="35"/>
      <c r="C42" s="113"/>
      <c r="D42" s="80">
        <f t="shared" si="11"/>
        <v>0</v>
      </c>
      <c r="E42" s="179"/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13"/>
      <c r="D43" s="80">
        <f t="shared" si="11"/>
        <v>0</v>
      </c>
      <c r="E43" s="179"/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13"/>
      <c r="D44" s="80">
        <f t="shared" si="11"/>
        <v>0</v>
      </c>
      <c r="E44" s="179"/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14">
        <f>SUM(C36:C39)*0.094</f>
        <v>0</v>
      </c>
      <c r="D45" s="80">
        <f t="shared" si="11"/>
        <v>0</v>
      </c>
      <c r="E45" s="114">
        <f>SUM(E36:E39)*0.094</f>
        <v>0</v>
      </c>
      <c r="F45" s="80">
        <f t="shared" si="12"/>
        <v>0</v>
      </c>
      <c r="G45" s="182">
        <v>29696.462867635208</v>
      </c>
      <c r="H45" s="80">
        <f t="shared" si="13"/>
        <v>3.9595283823513613E-2</v>
      </c>
      <c r="I45" s="182">
        <f>SUM(I36:I39)*0.094</f>
        <v>24643.850318074059</v>
      </c>
      <c r="J45" s="80">
        <f t="shared" si="14"/>
        <v>3.2214183422319034E-2</v>
      </c>
      <c r="K45" s="182">
        <f>SUM(K36:K39)*0.094</f>
        <v>25259.946576025912</v>
      </c>
      <c r="L45" s="80">
        <f t="shared" si="15"/>
        <v>3.2372096086153927E-2</v>
      </c>
      <c r="M45" s="182">
        <f>SUM(M36:M39)*0.094</f>
        <v>25891.445240426558</v>
      </c>
      <c r="N45" s="80">
        <f t="shared" si="16"/>
        <v>3.2530782831674293E-2</v>
      </c>
      <c r="O45" s="182">
        <f>SUM(O36:O39)*0.094</f>
        <v>26538.731371437218</v>
      </c>
      <c r="P45" s="80">
        <f t="shared" si="17"/>
        <v>3.2690247453398179E-2</v>
      </c>
      <c r="Q45" s="182">
        <f>SUM(Q36:Q39)*0.094</f>
        <v>27202.199655723147</v>
      </c>
      <c r="R45" s="80">
        <f t="shared" si="18"/>
        <v>3.2850493764444245E-2</v>
      </c>
      <c r="S45" s="182">
        <f>SUM(S36:S39)*0.094</f>
        <v>27882.254647116224</v>
      </c>
      <c r="T45" s="80">
        <f t="shared" si="19"/>
        <v>3.3011525596622897E-2</v>
      </c>
      <c r="U45" s="182">
        <f>SUM(U36:U39)*0.094</f>
        <v>28579.311013294129</v>
      </c>
      <c r="V45" s="80">
        <f t="shared" si="20"/>
        <v>3.3173346800527907E-2</v>
      </c>
    </row>
    <row r="46" spans="1:22" ht="12.75" customHeight="1">
      <c r="A46" s="1" t="s">
        <v>381</v>
      </c>
      <c r="B46" s="53"/>
      <c r="C46" s="82">
        <f>SUM(C36:C45)</f>
        <v>0</v>
      </c>
      <c r="D46" s="83">
        <f t="shared" si="11"/>
        <v>0</v>
      </c>
      <c r="E46" s="82">
        <f>SUM(E36:E45)</f>
        <v>0</v>
      </c>
      <c r="F46" s="83">
        <f t="shared" si="12"/>
        <v>0</v>
      </c>
      <c r="G46" s="82">
        <f>SUM(G36:G45)</f>
        <v>303489.29047244799</v>
      </c>
      <c r="H46" s="83">
        <f t="shared" si="13"/>
        <v>0.4046523872965973</v>
      </c>
      <c r="I46" s="82">
        <f>SUM(I36:I45)</f>
        <v>303448.31072311726</v>
      </c>
      <c r="J46" s="83">
        <f t="shared" si="14"/>
        <v>0.39666445846159121</v>
      </c>
      <c r="K46" s="82">
        <f>SUM(K36:K45)</f>
        <v>311034.51849119517</v>
      </c>
      <c r="L46" s="83">
        <f t="shared" si="15"/>
        <v>0.39860889208150091</v>
      </c>
      <c r="M46" s="82">
        <f>SUM(M36:M45)</f>
        <v>318810.38145347504</v>
      </c>
      <c r="N46" s="83">
        <f t="shared" si="16"/>
        <v>0.40056285723876317</v>
      </c>
      <c r="O46" s="82">
        <f>SUM(O36:O45)</f>
        <v>326780.64098981186</v>
      </c>
      <c r="P46" s="83">
        <f t="shared" si="17"/>
        <v>0.40252640065660017</v>
      </c>
      <c r="Q46" s="82">
        <f>SUM(Q36:Q45)</f>
        <v>334950.15701455716</v>
      </c>
      <c r="R46" s="83">
        <f t="shared" si="18"/>
        <v>0.40449956928726982</v>
      </c>
      <c r="S46" s="82">
        <f>SUM(S36:S45)</f>
        <v>343323.91093992104</v>
      </c>
      <c r="T46" s="83">
        <f t="shared" si="19"/>
        <v>0.40648241031318777</v>
      </c>
      <c r="U46" s="82">
        <f>SUM(U36:U45)</f>
        <v>351907.00871341908</v>
      </c>
      <c r="V46" s="83">
        <f t="shared" si="20"/>
        <v>0.40847497114805631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83" si="22">IFERROR(C52/C$28,0)</f>
        <v>0</v>
      </c>
      <c r="E52" s="179">
        <v>0</v>
      </c>
      <c r="F52" s="80">
        <f t="shared" ref="F52:F105" si="23">IFERROR(E52/E$28,0)</f>
        <v>0</v>
      </c>
      <c r="G52" s="179">
        <v>0</v>
      </c>
      <c r="H52" s="80">
        <f t="shared" ref="H52:H105" si="24">IFERROR(G52/G$28,0)</f>
        <v>0</v>
      </c>
      <c r="I52" s="179">
        <v>0</v>
      </c>
      <c r="J52" s="80">
        <f t="shared" ref="J52:J105" si="25">IFERROR(I52/I$28,0)</f>
        <v>0</v>
      </c>
      <c r="K52" s="179">
        <v>0</v>
      </c>
      <c r="L52" s="80">
        <f t="shared" ref="L52:L105" si="26">IFERROR(K52/K$28,0)</f>
        <v>0</v>
      </c>
      <c r="M52" s="179">
        <v>0</v>
      </c>
      <c r="N52" s="80">
        <f t="shared" ref="N52:N105" si="27">IFERROR(M52/M$28,0)</f>
        <v>0</v>
      </c>
      <c r="O52" s="179">
        <v>0</v>
      </c>
      <c r="P52" s="80">
        <f t="shared" ref="P52:P105" si="28">IFERROR(O52/O$28,0)</f>
        <v>0</v>
      </c>
      <c r="Q52" s="179">
        <v>0</v>
      </c>
      <c r="R52" s="80">
        <f t="shared" ref="R52:R105" si="29">IFERROR(Q52/Q$28,0)</f>
        <v>0</v>
      </c>
      <c r="S52" s="179">
        <v>0</v>
      </c>
      <c r="T52" s="80">
        <f t="shared" ref="T52:T105" si="30">IFERROR(S52/S$28,0)</f>
        <v>0</v>
      </c>
      <c r="U52" s="179">
        <v>0</v>
      </c>
      <c r="V52" s="80">
        <f t="shared" ref="V52:V105" si="31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2"/>
        <v>0</v>
      </c>
      <c r="E53" s="179">
        <v>0</v>
      </c>
      <c r="F53" s="80">
        <f t="shared" si="23"/>
        <v>0</v>
      </c>
      <c r="G53" s="179">
        <v>0</v>
      </c>
      <c r="H53" s="80">
        <f t="shared" si="24"/>
        <v>0</v>
      </c>
      <c r="I53" s="179">
        <v>0</v>
      </c>
      <c r="J53" s="80">
        <f t="shared" si="25"/>
        <v>0</v>
      </c>
      <c r="K53" s="179">
        <v>0</v>
      </c>
      <c r="L53" s="80">
        <f t="shared" si="26"/>
        <v>0</v>
      </c>
      <c r="M53" s="179">
        <v>0</v>
      </c>
      <c r="N53" s="80">
        <f t="shared" si="27"/>
        <v>0</v>
      </c>
      <c r="O53" s="179">
        <v>0</v>
      </c>
      <c r="P53" s="80">
        <f t="shared" si="28"/>
        <v>0</v>
      </c>
      <c r="Q53" s="179">
        <v>0</v>
      </c>
      <c r="R53" s="80">
        <f t="shared" si="29"/>
        <v>0</v>
      </c>
      <c r="S53" s="179">
        <v>0</v>
      </c>
      <c r="T53" s="80">
        <f t="shared" si="30"/>
        <v>0</v>
      </c>
      <c r="U53" s="179">
        <v>0</v>
      </c>
      <c r="V53" s="80">
        <f t="shared" si="31"/>
        <v>0</v>
      </c>
      <c r="X53" s="200"/>
    </row>
    <row r="54" spans="1:24" ht="12.75" customHeight="1">
      <c r="A54" s="2" t="s">
        <v>385</v>
      </c>
      <c r="B54" s="35"/>
      <c r="C54" s="179">
        <v>0</v>
      </c>
      <c r="D54" s="80">
        <f t="shared" si="22"/>
        <v>0</v>
      </c>
      <c r="E54" s="179">
        <v>0</v>
      </c>
      <c r="F54" s="80">
        <f t="shared" si="23"/>
        <v>0</v>
      </c>
      <c r="G54" s="179">
        <v>525</v>
      </c>
      <c r="H54" s="80">
        <f t="shared" si="24"/>
        <v>6.9999999999999999E-4</v>
      </c>
      <c r="I54" s="179">
        <v>535.5</v>
      </c>
      <c r="J54" s="80">
        <f t="shared" si="25"/>
        <v>6.9999999999999999E-4</v>
      </c>
      <c r="K54" s="179">
        <v>546.21</v>
      </c>
      <c r="L54" s="80">
        <f t="shared" si="26"/>
        <v>6.9999999999999999E-4</v>
      </c>
      <c r="M54" s="179">
        <v>557.13419999999996</v>
      </c>
      <c r="N54" s="80">
        <f t="shared" si="27"/>
        <v>6.9999999999999999E-4</v>
      </c>
      <c r="O54" s="179">
        <v>568.276884</v>
      </c>
      <c r="P54" s="80">
        <f t="shared" si="28"/>
        <v>6.9999999999999999E-4</v>
      </c>
      <c r="Q54" s="179">
        <v>579.64242167999998</v>
      </c>
      <c r="R54" s="80">
        <f t="shared" si="29"/>
        <v>6.9999999999999999E-4</v>
      </c>
      <c r="S54" s="179">
        <v>591.23527011359988</v>
      </c>
      <c r="T54" s="80">
        <f t="shared" si="30"/>
        <v>6.9999999999999988E-4</v>
      </c>
      <c r="U54" s="179">
        <v>603.059975515872</v>
      </c>
      <c r="V54" s="80">
        <f t="shared" si="31"/>
        <v>6.9999999999999999E-4</v>
      </c>
      <c r="X54" s="200"/>
    </row>
    <row r="55" spans="1:24" ht="12.75" customHeight="1">
      <c r="A55" s="2" t="s">
        <v>386</v>
      </c>
      <c r="B55" s="35"/>
      <c r="C55" s="179">
        <v>0</v>
      </c>
      <c r="D55" s="80">
        <f t="shared" si="22"/>
        <v>0</v>
      </c>
      <c r="E55" s="179">
        <v>0</v>
      </c>
      <c r="F55" s="80">
        <f t="shared" si="23"/>
        <v>0</v>
      </c>
      <c r="G55" s="179">
        <v>52500.000000000007</v>
      </c>
      <c r="H55" s="80">
        <f t="shared" si="24"/>
        <v>7.0000000000000007E-2</v>
      </c>
      <c r="I55" s="179">
        <v>53550.000000000007</v>
      </c>
      <c r="J55" s="80">
        <f t="shared" si="25"/>
        <v>7.0000000000000007E-2</v>
      </c>
      <c r="K55" s="179">
        <v>54621.000000000007</v>
      </c>
      <c r="L55" s="80">
        <f t="shared" si="26"/>
        <v>7.0000000000000007E-2</v>
      </c>
      <c r="M55" s="179">
        <v>55713.420000000006</v>
      </c>
      <c r="N55" s="80">
        <f t="shared" si="27"/>
        <v>7.0000000000000007E-2</v>
      </c>
      <c r="O55" s="179">
        <v>56827.688400000006</v>
      </c>
      <c r="P55" s="80">
        <f t="shared" si="28"/>
        <v>7.0000000000000007E-2</v>
      </c>
      <c r="Q55" s="179">
        <v>57964.242168000004</v>
      </c>
      <c r="R55" s="80">
        <f t="shared" si="29"/>
        <v>7.0000000000000007E-2</v>
      </c>
      <c r="S55" s="179">
        <v>59123.527011359998</v>
      </c>
      <c r="T55" s="80">
        <f t="shared" si="30"/>
        <v>7.0000000000000007E-2</v>
      </c>
      <c r="U55" s="179">
        <v>60305.997551587207</v>
      </c>
      <c r="V55" s="80">
        <f t="shared" si="31"/>
        <v>7.0000000000000007E-2</v>
      </c>
      <c r="X55" s="200"/>
    </row>
    <row r="56" spans="1:24" ht="12.75" customHeight="1">
      <c r="A56" s="2" t="s">
        <v>387</v>
      </c>
      <c r="B56" s="35"/>
      <c r="C56" s="179">
        <v>0</v>
      </c>
      <c r="D56" s="80">
        <f t="shared" si="22"/>
        <v>0</v>
      </c>
      <c r="E56" s="179">
        <v>0</v>
      </c>
      <c r="F56" s="80">
        <f t="shared" si="23"/>
        <v>0</v>
      </c>
      <c r="G56" s="179">
        <v>382.50000000000006</v>
      </c>
      <c r="H56" s="80">
        <f t="shared" si="24"/>
        <v>5.1000000000000004E-4</v>
      </c>
      <c r="I56" s="179">
        <v>390.15000000000003</v>
      </c>
      <c r="J56" s="80">
        <f t="shared" si="25"/>
        <v>5.1000000000000004E-4</v>
      </c>
      <c r="K56" s="179">
        <v>397.95300000000003</v>
      </c>
      <c r="L56" s="80">
        <f t="shared" si="26"/>
        <v>5.1000000000000004E-4</v>
      </c>
      <c r="M56" s="179">
        <v>405.91206</v>
      </c>
      <c r="N56" s="80">
        <f t="shared" si="27"/>
        <v>5.1000000000000004E-4</v>
      </c>
      <c r="O56" s="179">
        <v>414.0303012</v>
      </c>
      <c r="P56" s="80">
        <f t="shared" si="28"/>
        <v>5.1000000000000004E-4</v>
      </c>
      <c r="Q56" s="179">
        <v>422.31090722400006</v>
      </c>
      <c r="R56" s="80">
        <f t="shared" si="29"/>
        <v>5.1000000000000004E-4</v>
      </c>
      <c r="S56" s="179">
        <v>430.75712536847999</v>
      </c>
      <c r="T56" s="80">
        <f t="shared" si="30"/>
        <v>5.1000000000000004E-4</v>
      </c>
      <c r="U56" s="179">
        <v>439.37226787584962</v>
      </c>
      <c r="V56" s="80">
        <f t="shared" si="31"/>
        <v>5.1000000000000004E-4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2"/>
        <v>0</v>
      </c>
      <c r="E57" s="179">
        <v>0</v>
      </c>
      <c r="F57" s="80">
        <f t="shared" si="23"/>
        <v>0</v>
      </c>
      <c r="G57" s="179">
        <v>0</v>
      </c>
      <c r="H57" s="80">
        <f t="shared" si="24"/>
        <v>0</v>
      </c>
      <c r="I57" s="179">
        <v>0</v>
      </c>
      <c r="J57" s="80">
        <f t="shared" si="25"/>
        <v>0</v>
      </c>
      <c r="K57" s="179">
        <v>0</v>
      </c>
      <c r="L57" s="80">
        <f t="shared" si="26"/>
        <v>0</v>
      </c>
      <c r="M57" s="179">
        <v>0</v>
      </c>
      <c r="N57" s="80">
        <f t="shared" si="27"/>
        <v>0</v>
      </c>
      <c r="O57" s="179">
        <v>0</v>
      </c>
      <c r="P57" s="80">
        <f t="shared" si="28"/>
        <v>0</v>
      </c>
      <c r="Q57" s="179">
        <v>0</v>
      </c>
      <c r="R57" s="80">
        <f t="shared" si="29"/>
        <v>0</v>
      </c>
      <c r="S57" s="179">
        <v>0</v>
      </c>
      <c r="T57" s="80">
        <f t="shared" si="30"/>
        <v>0</v>
      </c>
      <c r="U57" s="179">
        <v>0</v>
      </c>
      <c r="V57" s="80">
        <f t="shared" si="31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2"/>
        <v>0</v>
      </c>
      <c r="E58" s="179">
        <v>0</v>
      </c>
      <c r="F58" s="80">
        <f t="shared" si="23"/>
        <v>0</v>
      </c>
      <c r="G58" s="179">
        <v>0</v>
      </c>
      <c r="H58" s="80">
        <f t="shared" si="24"/>
        <v>0</v>
      </c>
      <c r="I58" s="179">
        <v>0</v>
      </c>
      <c r="J58" s="80">
        <f t="shared" si="25"/>
        <v>0</v>
      </c>
      <c r="K58" s="179">
        <v>0</v>
      </c>
      <c r="L58" s="80">
        <f t="shared" si="26"/>
        <v>0</v>
      </c>
      <c r="M58" s="179">
        <v>0</v>
      </c>
      <c r="N58" s="80">
        <f t="shared" si="27"/>
        <v>0</v>
      </c>
      <c r="O58" s="179">
        <v>0</v>
      </c>
      <c r="P58" s="80">
        <f t="shared" si="28"/>
        <v>0</v>
      </c>
      <c r="Q58" s="179">
        <v>0</v>
      </c>
      <c r="R58" s="80">
        <f t="shared" si="29"/>
        <v>0</v>
      </c>
      <c r="S58" s="179">
        <v>0</v>
      </c>
      <c r="T58" s="80">
        <f t="shared" si="30"/>
        <v>0</v>
      </c>
      <c r="U58" s="179">
        <v>0</v>
      </c>
      <c r="V58" s="80">
        <f t="shared" si="31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2"/>
        <v>0</v>
      </c>
      <c r="E59" s="179">
        <v>0</v>
      </c>
      <c r="F59" s="80">
        <f t="shared" si="23"/>
        <v>0</v>
      </c>
      <c r="G59" s="179">
        <v>0</v>
      </c>
      <c r="H59" s="80">
        <f t="shared" si="24"/>
        <v>0</v>
      </c>
      <c r="I59" s="179">
        <v>0</v>
      </c>
      <c r="J59" s="80">
        <f t="shared" si="25"/>
        <v>0</v>
      </c>
      <c r="K59" s="179">
        <v>0</v>
      </c>
      <c r="L59" s="80">
        <f t="shared" si="26"/>
        <v>0</v>
      </c>
      <c r="M59" s="179">
        <v>0</v>
      </c>
      <c r="N59" s="80">
        <f t="shared" si="27"/>
        <v>0</v>
      </c>
      <c r="O59" s="179">
        <v>0</v>
      </c>
      <c r="P59" s="80">
        <f t="shared" si="28"/>
        <v>0</v>
      </c>
      <c r="Q59" s="179">
        <v>0</v>
      </c>
      <c r="R59" s="80">
        <f t="shared" si="29"/>
        <v>0</v>
      </c>
      <c r="S59" s="179">
        <v>0</v>
      </c>
      <c r="T59" s="80">
        <f t="shared" si="30"/>
        <v>0</v>
      </c>
      <c r="U59" s="179">
        <v>0</v>
      </c>
      <c r="V59" s="80">
        <f t="shared" si="31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2"/>
        <v>0</v>
      </c>
      <c r="E60" s="179">
        <v>0</v>
      </c>
      <c r="F60" s="80">
        <f t="shared" si="23"/>
        <v>0</v>
      </c>
      <c r="G60" s="179">
        <v>0</v>
      </c>
      <c r="H60" s="80">
        <f t="shared" si="24"/>
        <v>0</v>
      </c>
      <c r="I60" s="179">
        <v>0</v>
      </c>
      <c r="J60" s="80">
        <f t="shared" si="25"/>
        <v>0</v>
      </c>
      <c r="K60" s="179">
        <v>0</v>
      </c>
      <c r="L60" s="80">
        <f t="shared" si="26"/>
        <v>0</v>
      </c>
      <c r="M60" s="179">
        <v>0</v>
      </c>
      <c r="N60" s="80">
        <f t="shared" si="27"/>
        <v>0</v>
      </c>
      <c r="O60" s="179">
        <v>0</v>
      </c>
      <c r="P60" s="80">
        <f t="shared" si="28"/>
        <v>0</v>
      </c>
      <c r="Q60" s="179">
        <v>0</v>
      </c>
      <c r="R60" s="80">
        <f t="shared" si="29"/>
        <v>0</v>
      </c>
      <c r="S60" s="179">
        <v>0</v>
      </c>
      <c r="T60" s="80">
        <f t="shared" si="30"/>
        <v>0</v>
      </c>
      <c r="U60" s="179">
        <v>0</v>
      </c>
      <c r="V60" s="80">
        <f t="shared" si="31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2"/>
        <v>0</v>
      </c>
      <c r="E61" s="179">
        <v>0</v>
      </c>
      <c r="F61" s="80">
        <f t="shared" si="23"/>
        <v>0</v>
      </c>
      <c r="G61" s="179">
        <v>0</v>
      </c>
      <c r="H61" s="80">
        <f t="shared" si="24"/>
        <v>0</v>
      </c>
      <c r="I61" s="179">
        <v>0</v>
      </c>
      <c r="J61" s="80">
        <f t="shared" si="25"/>
        <v>0</v>
      </c>
      <c r="K61" s="179">
        <v>0</v>
      </c>
      <c r="L61" s="80">
        <f t="shared" si="26"/>
        <v>0</v>
      </c>
      <c r="M61" s="179">
        <v>0</v>
      </c>
      <c r="N61" s="80">
        <f t="shared" si="27"/>
        <v>0</v>
      </c>
      <c r="O61" s="179">
        <v>0</v>
      </c>
      <c r="P61" s="80">
        <f t="shared" si="28"/>
        <v>0</v>
      </c>
      <c r="Q61" s="179">
        <v>0</v>
      </c>
      <c r="R61" s="80">
        <f t="shared" si="29"/>
        <v>0</v>
      </c>
      <c r="S61" s="179">
        <v>0</v>
      </c>
      <c r="T61" s="80">
        <f t="shared" si="30"/>
        <v>0</v>
      </c>
      <c r="U61" s="179">
        <v>0</v>
      </c>
      <c r="V61" s="80">
        <f t="shared" si="31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2"/>
        <v>0</v>
      </c>
      <c r="E62" s="179">
        <v>0</v>
      </c>
      <c r="F62" s="80">
        <f t="shared" si="23"/>
        <v>0</v>
      </c>
      <c r="G62" s="179">
        <v>0</v>
      </c>
      <c r="H62" s="80">
        <f t="shared" si="24"/>
        <v>0</v>
      </c>
      <c r="I62" s="179">
        <v>0</v>
      </c>
      <c r="J62" s="80">
        <f t="shared" si="25"/>
        <v>0</v>
      </c>
      <c r="K62" s="179">
        <v>0</v>
      </c>
      <c r="L62" s="80">
        <f t="shared" si="26"/>
        <v>0</v>
      </c>
      <c r="M62" s="179">
        <v>0</v>
      </c>
      <c r="N62" s="80">
        <f t="shared" si="27"/>
        <v>0</v>
      </c>
      <c r="O62" s="179">
        <v>0</v>
      </c>
      <c r="P62" s="80">
        <f t="shared" si="28"/>
        <v>0</v>
      </c>
      <c r="Q62" s="179">
        <v>0</v>
      </c>
      <c r="R62" s="80">
        <f t="shared" si="29"/>
        <v>0</v>
      </c>
      <c r="S62" s="179">
        <v>0</v>
      </c>
      <c r="T62" s="80">
        <f t="shared" si="30"/>
        <v>0</v>
      </c>
      <c r="U62" s="179">
        <v>0</v>
      </c>
      <c r="V62" s="80">
        <f t="shared" si="31"/>
        <v>0</v>
      </c>
      <c r="X62" s="200"/>
    </row>
    <row r="63" spans="1:24" ht="12.75" customHeight="1">
      <c r="A63" s="2" t="s">
        <v>394</v>
      </c>
      <c r="B63" s="35"/>
      <c r="C63" s="179">
        <v>0</v>
      </c>
      <c r="D63" s="80">
        <f t="shared" si="22"/>
        <v>0</v>
      </c>
      <c r="E63" s="179">
        <v>0</v>
      </c>
      <c r="F63" s="80">
        <f t="shared" si="23"/>
        <v>0</v>
      </c>
      <c r="G63" s="179">
        <v>6676.9090655409964</v>
      </c>
      <c r="H63" s="80">
        <f t="shared" si="24"/>
        <v>8.9025454207213289E-3</v>
      </c>
      <c r="I63" s="179">
        <v>6750.8650147926674</v>
      </c>
      <c r="J63" s="80">
        <f t="shared" si="25"/>
        <v>8.8246601500557749E-3</v>
      </c>
      <c r="K63" s="179">
        <v>6806.5823937179002</v>
      </c>
      <c r="L63" s="80">
        <f t="shared" si="26"/>
        <v>8.723032671687685E-3</v>
      </c>
      <c r="M63" s="179">
        <v>6928.1204629150998</v>
      </c>
      <c r="N63" s="80">
        <f t="shared" si="27"/>
        <v>8.7046968648497435E-3</v>
      </c>
      <c r="O63" s="179">
        <v>7052.2184483604751</v>
      </c>
      <c r="P63" s="80">
        <f t="shared" si="28"/>
        <v>8.686879675810168E-3</v>
      </c>
      <c r="Q63" s="179">
        <v>7178.6826877867352</v>
      </c>
      <c r="R63" s="80">
        <f t="shared" si="29"/>
        <v>8.6692721124281037E-3</v>
      </c>
      <c r="S63" s="179">
        <v>7307.3212480169695</v>
      </c>
      <c r="T63" s="80">
        <f t="shared" si="30"/>
        <v>8.6515895315735451E-3</v>
      </c>
      <c r="U63" s="179">
        <v>7722.7461790494044</v>
      </c>
      <c r="V63" s="80">
        <f t="shared" si="31"/>
        <v>8.9641537240308933E-3</v>
      </c>
      <c r="X63" s="200"/>
    </row>
    <row r="64" spans="1:24" ht="12.75" customHeight="1">
      <c r="A64" s="2" t="s">
        <v>395</v>
      </c>
      <c r="B64" s="35"/>
      <c r="C64" s="179">
        <v>0</v>
      </c>
      <c r="D64" s="80">
        <f t="shared" si="22"/>
        <v>0</v>
      </c>
      <c r="E64" s="179">
        <v>0</v>
      </c>
      <c r="F64" s="80">
        <f t="shared" si="23"/>
        <v>0</v>
      </c>
      <c r="G64" s="179">
        <v>3599.9999999999995</v>
      </c>
      <c r="H64" s="80">
        <f t="shared" si="24"/>
        <v>4.7999999999999996E-3</v>
      </c>
      <c r="I64" s="179">
        <v>3671.9999999999995</v>
      </c>
      <c r="J64" s="80">
        <f t="shared" si="25"/>
        <v>4.7999999999999996E-3</v>
      </c>
      <c r="K64" s="179">
        <v>3745.4399999999996</v>
      </c>
      <c r="L64" s="80">
        <f t="shared" si="26"/>
        <v>4.7999999999999996E-3</v>
      </c>
      <c r="M64" s="179">
        <v>3820.3487999999998</v>
      </c>
      <c r="N64" s="80">
        <f t="shared" si="27"/>
        <v>4.7999999999999996E-3</v>
      </c>
      <c r="O64" s="179">
        <v>3896.7557759999995</v>
      </c>
      <c r="P64" s="80">
        <f t="shared" si="28"/>
        <v>4.7999999999999996E-3</v>
      </c>
      <c r="Q64" s="179">
        <v>3974.6908915199992</v>
      </c>
      <c r="R64" s="80">
        <f t="shared" si="29"/>
        <v>4.7999999999999996E-3</v>
      </c>
      <c r="S64" s="179">
        <v>4054.1847093503993</v>
      </c>
      <c r="T64" s="80">
        <f t="shared" si="30"/>
        <v>4.7999999999999996E-3</v>
      </c>
      <c r="U64" s="179">
        <v>4135.2684035374077</v>
      </c>
      <c r="V64" s="80">
        <f t="shared" si="31"/>
        <v>4.7999999999999996E-3</v>
      </c>
      <c r="X64" s="200"/>
    </row>
    <row r="65" spans="1:24" ht="12.75" customHeight="1">
      <c r="A65" s="2" t="s">
        <v>396</v>
      </c>
      <c r="B65" s="35"/>
      <c r="C65" s="179">
        <v>0</v>
      </c>
      <c r="D65" s="80">
        <f t="shared" si="22"/>
        <v>0</v>
      </c>
      <c r="E65" s="179">
        <v>0</v>
      </c>
      <c r="F65" s="80">
        <f t="shared" si="23"/>
        <v>0</v>
      </c>
      <c r="G65" s="179">
        <v>375.00000000000006</v>
      </c>
      <c r="H65" s="80">
        <f t="shared" si="24"/>
        <v>5.0000000000000012E-4</v>
      </c>
      <c r="I65" s="179">
        <v>382.50000000000006</v>
      </c>
      <c r="J65" s="80">
        <f t="shared" si="25"/>
        <v>5.0000000000000012E-4</v>
      </c>
      <c r="K65" s="179">
        <v>390.15000000000003</v>
      </c>
      <c r="L65" s="80">
        <f t="shared" si="26"/>
        <v>5.0000000000000001E-4</v>
      </c>
      <c r="M65" s="179">
        <v>397.95300000000003</v>
      </c>
      <c r="N65" s="80">
        <f t="shared" si="27"/>
        <v>5.0000000000000001E-4</v>
      </c>
      <c r="O65" s="179">
        <v>405.91206</v>
      </c>
      <c r="P65" s="80">
        <f t="shared" si="28"/>
        <v>5.0000000000000001E-4</v>
      </c>
      <c r="Q65" s="179">
        <v>414.0303012</v>
      </c>
      <c r="R65" s="80">
        <f t="shared" si="29"/>
        <v>5.0000000000000001E-4</v>
      </c>
      <c r="S65" s="179">
        <v>422.31090722399995</v>
      </c>
      <c r="T65" s="80">
        <f t="shared" si="30"/>
        <v>5.0000000000000001E-4</v>
      </c>
      <c r="U65" s="179">
        <v>430.75712536847999</v>
      </c>
      <c r="V65" s="80">
        <f t="shared" si="31"/>
        <v>5.0000000000000001E-4</v>
      </c>
      <c r="X65" s="200"/>
    </row>
    <row r="66" spans="1:24" ht="12.75" customHeight="1">
      <c r="A66" s="2" t="s">
        <v>397</v>
      </c>
      <c r="B66" s="35"/>
      <c r="C66" s="179">
        <v>0</v>
      </c>
      <c r="D66" s="80">
        <f t="shared" si="22"/>
        <v>0</v>
      </c>
      <c r="E66" s="179">
        <v>0</v>
      </c>
      <c r="F66" s="80">
        <f t="shared" si="23"/>
        <v>0</v>
      </c>
      <c r="G66" s="179">
        <v>2100</v>
      </c>
      <c r="H66" s="80">
        <f t="shared" si="24"/>
        <v>2.8E-3</v>
      </c>
      <c r="I66" s="179">
        <v>2142</v>
      </c>
      <c r="J66" s="80">
        <f t="shared" si="25"/>
        <v>2.8E-3</v>
      </c>
      <c r="K66" s="179">
        <v>2184.84</v>
      </c>
      <c r="L66" s="80">
        <f t="shared" si="26"/>
        <v>2.8E-3</v>
      </c>
      <c r="M66" s="179">
        <v>2228.5367999999999</v>
      </c>
      <c r="N66" s="80">
        <f t="shared" si="27"/>
        <v>2.8E-3</v>
      </c>
      <c r="O66" s="179">
        <v>2273.107536</v>
      </c>
      <c r="P66" s="80">
        <f t="shared" si="28"/>
        <v>2.8E-3</v>
      </c>
      <c r="Q66" s="179">
        <v>2318.5696867199999</v>
      </c>
      <c r="R66" s="80">
        <f t="shared" si="29"/>
        <v>2.8E-3</v>
      </c>
      <c r="S66" s="179">
        <v>2364.9410804543995</v>
      </c>
      <c r="T66" s="80">
        <f t="shared" si="30"/>
        <v>2.7999999999999995E-3</v>
      </c>
      <c r="U66" s="179">
        <v>2412.239902063488</v>
      </c>
      <c r="V66" s="80">
        <f t="shared" si="31"/>
        <v>2.8E-3</v>
      </c>
      <c r="X66" s="200"/>
    </row>
    <row r="67" spans="1:24" ht="12.75" customHeight="1">
      <c r="A67" s="2" t="s">
        <v>398</v>
      </c>
      <c r="B67" s="35"/>
      <c r="C67" s="179">
        <v>0</v>
      </c>
      <c r="D67" s="80">
        <f t="shared" si="22"/>
        <v>0</v>
      </c>
      <c r="E67" s="179">
        <v>0</v>
      </c>
      <c r="F67" s="80">
        <f t="shared" si="23"/>
        <v>0</v>
      </c>
      <c r="G67" s="179">
        <v>11250</v>
      </c>
      <c r="H67" s="80">
        <f t="shared" si="24"/>
        <v>1.4999999999999999E-2</v>
      </c>
      <c r="I67" s="179">
        <v>11475</v>
      </c>
      <c r="J67" s="80">
        <f t="shared" si="25"/>
        <v>1.4999999999999999E-2</v>
      </c>
      <c r="K67" s="179">
        <v>11704.5</v>
      </c>
      <c r="L67" s="80">
        <f t="shared" si="26"/>
        <v>1.4999999999999999E-2</v>
      </c>
      <c r="M67" s="179">
        <v>11938.59</v>
      </c>
      <c r="N67" s="80">
        <f t="shared" si="27"/>
        <v>1.4999999999999999E-2</v>
      </c>
      <c r="O67" s="179">
        <v>12177.361799999999</v>
      </c>
      <c r="P67" s="80">
        <f t="shared" si="28"/>
        <v>1.4999999999999998E-2</v>
      </c>
      <c r="Q67" s="179">
        <v>12420.909035999999</v>
      </c>
      <c r="R67" s="80">
        <f t="shared" si="29"/>
        <v>1.4999999999999999E-2</v>
      </c>
      <c r="S67" s="179">
        <v>12669.327216719999</v>
      </c>
      <c r="T67" s="80">
        <f t="shared" si="30"/>
        <v>1.5000000000000001E-2</v>
      </c>
      <c r="U67" s="179">
        <v>12922.7137610544</v>
      </c>
      <c r="V67" s="80">
        <f t="shared" si="31"/>
        <v>1.4999999999999999E-2</v>
      </c>
      <c r="X67" s="200"/>
    </row>
    <row r="68" spans="1:24" ht="12.75" customHeight="1">
      <c r="A68" s="2" t="s">
        <v>399</v>
      </c>
      <c r="B68" s="35"/>
      <c r="C68" s="179">
        <v>0</v>
      </c>
      <c r="D68" s="80">
        <f t="shared" si="22"/>
        <v>0</v>
      </c>
      <c r="E68" s="179">
        <v>0</v>
      </c>
      <c r="F68" s="80">
        <f t="shared" si="23"/>
        <v>0</v>
      </c>
      <c r="G68" s="179">
        <v>1275</v>
      </c>
      <c r="H68" s="80">
        <f t="shared" si="24"/>
        <v>1.6999999999999999E-3</v>
      </c>
      <c r="I68" s="179">
        <v>1300.5</v>
      </c>
      <c r="J68" s="80">
        <f t="shared" si="25"/>
        <v>1.6999999999999999E-3</v>
      </c>
      <c r="K68" s="179">
        <v>1326.51</v>
      </c>
      <c r="L68" s="80">
        <f t="shared" si="26"/>
        <v>1.6999999999999999E-3</v>
      </c>
      <c r="M68" s="179">
        <v>1353.0401999999999</v>
      </c>
      <c r="N68" s="80">
        <f t="shared" si="27"/>
        <v>1.6999999999999999E-3</v>
      </c>
      <c r="O68" s="179">
        <v>1380.1010039999999</v>
      </c>
      <c r="P68" s="80">
        <f t="shared" si="28"/>
        <v>1.6999999999999999E-3</v>
      </c>
      <c r="Q68" s="179">
        <v>1407.70302408</v>
      </c>
      <c r="R68" s="80">
        <f t="shared" si="29"/>
        <v>1.7000000000000001E-3</v>
      </c>
      <c r="S68" s="179">
        <v>1435.8570845615998</v>
      </c>
      <c r="T68" s="80">
        <f t="shared" si="30"/>
        <v>1.6999999999999999E-3</v>
      </c>
      <c r="U68" s="179">
        <v>1464.5742262528317</v>
      </c>
      <c r="V68" s="80">
        <f t="shared" si="31"/>
        <v>1.6999999999999997E-3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2"/>
        <v>0</v>
      </c>
      <c r="E69" s="179">
        <v>0</v>
      </c>
      <c r="F69" s="80">
        <f t="shared" si="23"/>
        <v>0</v>
      </c>
      <c r="G69" s="179">
        <v>0</v>
      </c>
      <c r="H69" s="80">
        <f t="shared" si="24"/>
        <v>0</v>
      </c>
      <c r="I69" s="179">
        <v>0</v>
      </c>
      <c r="J69" s="80">
        <f t="shared" si="25"/>
        <v>0</v>
      </c>
      <c r="K69" s="179">
        <v>0</v>
      </c>
      <c r="L69" s="80">
        <f t="shared" si="26"/>
        <v>0</v>
      </c>
      <c r="M69" s="179">
        <v>0</v>
      </c>
      <c r="N69" s="80">
        <f t="shared" si="27"/>
        <v>0</v>
      </c>
      <c r="O69" s="179">
        <v>0</v>
      </c>
      <c r="P69" s="80">
        <f t="shared" si="28"/>
        <v>0</v>
      </c>
      <c r="Q69" s="179">
        <v>0</v>
      </c>
      <c r="R69" s="80">
        <f t="shared" si="29"/>
        <v>0</v>
      </c>
      <c r="S69" s="179">
        <v>0</v>
      </c>
      <c r="T69" s="80">
        <f t="shared" si="30"/>
        <v>0</v>
      </c>
      <c r="U69" s="179">
        <v>0</v>
      </c>
      <c r="V69" s="80">
        <f t="shared" si="31"/>
        <v>0</v>
      </c>
      <c r="X69" s="200"/>
    </row>
    <row r="70" spans="1:24" ht="12.75" customHeight="1">
      <c r="A70" s="2" t="s">
        <v>401</v>
      </c>
      <c r="B70" s="35"/>
      <c r="C70" s="179">
        <v>0</v>
      </c>
      <c r="D70" s="80">
        <f t="shared" si="22"/>
        <v>0</v>
      </c>
      <c r="E70" s="179">
        <v>0</v>
      </c>
      <c r="F70" s="80">
        <f t="shared" si="23"/>
        <v>0</v>
      </c>
      <c r="G70" s="179">
        <v>75</v>
      </c>
      <c r="H70" s="80">
        <f t="shared" si="24"/>
        <v>1E-4</v>
      </c>
      <c r="I70" s="179">
        <v>76.5</v>
      </c>
      <c r="J70" s="80">
        <f t="shared" si="25"/>
        <v>1E-4</v>
      </c>
      <c r="K70" s="179">
        <v>78.03</v>
      </c>
      <c r="L70" s="80">
        <f t="shared" si="26"/>
        <v>1E-4</v>
      </c>
      <c r="M70" s="179">
        <v>79.590600000000009</v>
      </c>
      <c r="N70" s="80">
        <f t="shared" si="27"/>
        <v>1E-4</v>
      </c>
      <c r="O70" s="179">
        <v>81.182411999999999</v>
      </c>
      <c r="P70" s="80">
        <f t="shared" si="28"/>
        <v>1E-4</v>
      </c>
      <c r="Q70" s="179">
        <v>82.806060239999994</v>
      </c>
      <c r="R70" s="80">
        <f t="shared" si="29"/>
        <v>9.9999999999999991E-5</v>
      </c>
      <c r="S70" s="179">
        <v>84.462181444799995</v>
      </c>
      <c r="T70" s="80">
        <f t="shared" si="30"/>
        <v>1E-4</v>
      </c>
      <c r="U70" s="179">
        <v>86.151425073696004</v>
      </c>
      <c r="V70" s="80">
        <f t="shared" si="31"/>
        <v>1E-4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2"/>
        <v>0</v>
      </c>
      <c r="E71" s="179">
        <v>0</v>
      </c>
      <c r="F71" s="80">
        <f t="shared" si="23"/>
        <v>0</v>
      </c>
      <c r="G71" s="179">
        <v>0</v>
      </c>
      <c r="H71" s="80">
        <f t="shared" si="24"/>
        <v>0</v>
      </c>
      <c r="I71" s="179">
        <v>0</v>
      </c>
      <c r="J71" s="80">
        <f t="shared" si="25"/>
        <v>0</v>
      </c>
      <c r="K71" s="179">
        <v>0</v>
      </c>
      <c r="L71" s="80">
        <f t="shared" si="26"/>
        <v>0</v>
      </c>
      <c r="M71" s="179">
        <v>0</v>
      </c>
      <c r="N71" s="80">
        <f t="shared" si="27"/>
        <v>0</v>
      </c>
      <c r="O71" s="179">
        <v>0</v>
      </c>
      <c r="P71" s="80">
        <f t="shared" si="28"/>
        <v>0</v>
      </c>
      <c r="Q71" s="179">
        <v>0</v>
      </c>
      <c r="R71" s="80">
        <f t="shared" si="29"/>
        <v>0</v>
      </c>
      <c r="S71" s="179">
        <v>0</v>
      </c>
      <c r="T71" s="80">
        <f t="shared" si="30"/>
        <v>0</v>
      </c>
      <c r="U71" s="179">
        <v>0</v>
      </c>
      <c r="V71" s="80">
        <f t="shared" si="31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2"/>
        <v>0</v>
      </c>
      <c r="E72" s="179">
        <v>0</v>
      </c>
      <c r="F72" s="80">
        <f t="shared" si="23"/>
        <v>0</v>
      </c>
      <c r="G72" s="179">
        <v>0</v>
      </c>
      <c r="H72" s="80">
        <f t="shared" si="24"/>
        <v>0</v>
      </c>
      <c r="I72" s="179">
        <v>0</v>
      </c>
      <c r="J72" s="80">
        <f t="shared" si="25"/>
        <v>0</v>
      </c>
      <c r="K72" s="179">
        <v>0</v>
      </c>
      <c r="L72" s="80">
        <f t="shared" si="26"/>
        <v>0</v>
      </c>
      <c r="M72" s="179">
        <v>0</v>
      </c>
      <c r="N72" s="80">
        <f t="shared" si="27"/>
        <v>0</v>
      </c>
      <c r="O72" s="179">
        <v>0</v>
      </c>
      <c r="P72" s="80">
        <f t="shared" si="28"/>
        <v>0</v>
      </c>
      <c r="Q72" s="179">
        <v>0</v>
      </c>
      <c r="R72" s="80">
        <f t="shared" si="29"/>
        <v>0</v>
      </c>
      <c r="S72" s="179">
        <v>0</v>
      </c>
      <c r="T72" s="80">
        <f t="shared" si="30"/>
        <v>0</v>
      </c>
      <c r="U72" s="179">
        <v>0</v>
      </c>
      <c r="V72" s="80">
        <f t="shared" si="31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2"/>
        <v>0</v>
      </c>
      <c r="E73" s="179">
        <v>0</v>
      </c>
      <c r="F73" s="80">
        <f t="shared" si="23"/>
        <v>0</v>
      </c>
      <c r="G73" s="179">
        <v>0</v>
      </c>
      <c r="H73" s="80">
        <f t="shared" si="24"/>
        <v>0</v>
      </c>
      <c r="I73" s="179">
        <v>0</v>
      </c>
      <c r="J73" s="80">
        <f t="shared" si="25"/>
        <v>0</v>
      </c>
      <c r="K73" s="179">
        <v>0</v>
      </c>
      <c r="L73" s="80">
        <f t="shared" si="26"/>
        <v>0</v>
      </c>
      <c r="M73" s="179">
        <v>0</v>
      </c>
      <c r="N73" s="80">
        <f t="shared" si="27"/>
        <v>0</v>
      </c>
      <c r="O73" s="179">
        <v>0</v>
      </c>
      <c r="P73" s="80">
        <f t="shared" si="28"/>
        <v>0</v>
      </c>
      <c r="Q73" s="179">
        <v>0</v>
      </c>
      <c r="R73" s="80">
        <f t="shared" si="29"/>
        <v>0</v>
      </c>
      <c r="S73" s="179">
        <v>0</v>
      </c>
      <c r="T73" s="80">
        <f t="shared" si="30"/>
        <v>0</v>
      </c>
      <c r="U73" s="179">
        <v>0</v>
      </c>
      <c r="V73" s="80">
        <f t="shared" si="31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2"/>
        <v>0</v>
      </c>
      <c r="E74" s="179">
        <v>0</v>
      </c>
      <c r="F74" s="80">
        <f t="shared" si="23"/>
        <v>0</v>
      </c>
      <c r="G74" s="179">
        <v>0</v>
      </c>
      <c r="H74" s="80">
        <f t="shared" si="24"/>
        <v>0</v>
      </c>
      <c r="I74" s="179">
        <v>0</v>
      </c>
      <c r="J74" s="80">
        <f t="shared" si="25"/>
        <v>0</v>
      </c>
      <c r="K74" s="179">
        <v>0</v>
      </c>
      <c r="L74" s="80">
        <f t="shared" si="26"/>
        <v>0</v>
      </c>
      <c r="M74" s="179">
        <v>0</v>
      </c>
      <c r="N74" s="80">
        <f t="shared" si="27"/>
        <v>0</v>
      </c>
      <c r="O74" s="179">
        <v>0</v>
      </c>
      <c r="P74" s="80">
        <f t="shared" si="28"/>
        <v>0</v>
      </c>
      <c r="Q74" s="179">
        <v>0</v>
      </c>
      <c r="R74" s="80">
        <f t="shared" si="29"/>
        <v>0</v>
      </c>
      <c r="S74" s="179">
        <v>0</v>
      </c>
      <c r="T74" s="80">
        <f t="shared" si="30"/>
        <v>0</v>
      </c>
      <c r="U74" s="179">
        <v>0</v>
      </c>
      <c r="V74" s="80">
        <f t="shared" si="31"/>
        <v>0</v>
      </c>
      <c r="X74" s="200"/>
    </row>
    <row r="75" spans="1:24" ht="12.75" customHeight="1">
      <c r="A75" s="2" t="s">
        <v>406</v>
      </c>
      <c r="B75" s="35"/>
      <c r="C75" s="179">
        <v>0</v>
      </c>
      <c r="D75" s="80">
        <f t="shared" si="22"/>
        <v>0</v>
      </c>
      <c r="E75" s="179">
        <v>0</v>
      </c>
      <c r="F75" s="80">
        <f t="shared" si="23"/>
        <v>0</v>
      </c>
      <c r="G75" s="179">
        <v>3750</v>
      </c>
      <c r="H75" s="80">
        <f t="shared" si="24"/>
        <v>5.0000000000000001E-3</v>
      </c>
      <c r="I75" s="179">
        <v>3825.0000000000005</v>
      </c>
      <c r="J75" s="80">
        <f t="shared" si="25"/>
        <v>5.000000000000001E-3</v>
      </c>
      <c r="K75" s="179">
        <v>3901.5000000000005</v>
      </c>
      <c r="L75" s="80">
        <f t="shared" si="26"/>
        <v>5.000000000000001E-3</v>
      </c>
      <c r="M75" s="179">
        <v>3979.5299999999997</v>
      </c>
      <c r="N75" s="80">
        <f t="shared" si="27"/>
        <v>5.0000000000000001E-3</v>
      </c>
      <c r="O75" s="179">
        <v>4059.1206000000002</v>
      </c>
      <c r="P75" s="80">
        <f t="shared" si="28"/>
        <v>5.0000000000000001E-3</v>
      </c>
      <c r="Q75" s="179">
        <v>4140.3030120000003</v>
      </c>
      <c r="R75" s="80">
        <f t="shared" si="29"/>
        <v>5.0000000000000001E-3</v>
      </c>
      <c r="S75" s="179">
        <v>4223.1090722399995</v>
      </c>
      <c r="T75" s="80">
        <f t="shared" si="30"/>
        <v>5.0000000000000001E-3</v>
      </c>
      <c r="U75" s="179">
        <v>4307.5712536847996</v>
      </c>
      <c r="V75" s="80">
        <f t="shared" si="31"/>
        <v>4.9999999999999992E-3</v>
      </c>
      <c r="X75" s="200"/>
    </row>
    <row r="76" spans="1:24" ht="12.75" customHeight="1">
      <c r="A76" s="2" t="s">
        <v>407</v>
      </c>
      <c r="B76" s="35"/>
      <c r="C76" s="179">
        <v>0</v>
      </c>
      <c r="D76" s="80">
        <f t="shared" si="22"/>
        <v>0</v>
      </c>
      <c r="E76" s="179">
        <v>0</v>
      </c>
      <c r="F76" s="80">
        <f t="shared" si="23"/>
        <v>0</v>
      </c>
      <c r="G76" s="179">
        <v>300</v>
      </c>
      <c r="H76" s="80">
        <f t="shared" si="24"/>
        <v>4.0000000000000002E-4</v>
      </c>
      <c r="I76" s="179">
        <v>306</v>
      </c>
      <c r="J76" s="80">
        <f t="shared" si="25"/>
        <v>4.0000000000000002E-4</v>
      </c>
      <c r="K76" s="179">
        <v>312.12</v>
      </c>
      <c r="L76" s="80">
        <f t="shared" si="26"/>
        <v>4.0000000000000002E-4</v>
      </c>
      <c r="M76" s="179">
        <v>318.36240000000004</v>
      </c>
      <c r="N76" s="80">
        <f t="shared" si="27"/>
        <v>4.0000000000000002E-4</v>
      </c>
      <c r="O76" s="179">
        <v>324.729648</v>
      </c>
      <c r="P76" s="80">
        <f t="shared" si="28"/>
        <v>4.0000000000000002E-4</v>
      </c>
      <c r="Q76" s="179">
        <v>331.22424095999997</v>
      </c>
      <c r="R76" s="80">
        <f t="shared" si="29"/>
        <v>3.9999999999999996E-4</v>
      </c>
      <c r="S76" s="179">
        <v>337.84872577919998</v>
      </c>
      <c r="T76" s="80">
        <f t="shared" si="30"/>
        <v>4.0000000000000002E-4</v>
      </c>
      <c r="U76" s="179">
        <v>344.60570029478401</v>
      </c>
      <c r="V76" s="80">
        <f t="shared" si="31"/>
        <v>4.0000000000000002E-4</v>
      </c>
      <c r="X76" s="200"/>
    </row>
    <row r="77" spans="1:24" ht="12.75" customHeight="1">
      <c r="A77" s="2" t="s">
        <v>408</v>
      </c>
      <c r="B77" s="35"/>
      <c r="C77" s="179">
        <v>0</v>
      </c>
      <c r="D77" s="80">
        <f t="shared" si="22"/>
        <v>0</v>
      </c>
      <c r="E77" s="179">
        <v>0</v>
      </c>
      <c r="F77" s="80">
        <f t="shared" si="23"/>
        <v>0</v>
      </c>
      <c r="G77" s="179">
        <v>974.99999999999989</v>
      </c>
      <c r="H77" s="80">
        <f t="shared" si="24"/>
        <v>1.2999999999999999E-3</v>
      </c>
      <c r="I77" s="179">
        <v>994.5</v>
      </c>
      <c r="J77" s="80">
        <f t="shared" si="25"/>
        <v>1.2999999999999999E-3</v>
      </c>
      <c r="K77" s="179">
        <v>1014.3899999999999</v>
      </c>
      <c r="L77" s="80">
        <f t="shared" si="26"/>
        <v>1.2999999999999999E-3</v>
      </c>
      <c r="M77" s="179">
        <v>1034.6777999999999</v>
      </c>
      <c r="N77" s="80">
        <f t="shared" si="27"/>
        <v>1.2999999999999999E-3</v>
      </c>
      <c r="O77" s="179">
        <v>1055.3713559999999</v>
      </c>
      <c r="P77" s="80">
        <f t="shared" si="28"/>
        <v>1.2999999999999999E-3</v>
      </c>
      <c r="Q77" s="179">
        <v>1076.4787831199999</v>
      </c>
      <c r="R77" s="80">
        <f t="shared" si="29"/>
        <v>1.2999999999999999E-3</v>
      </c>
      <c r="S77" s="179">
        <v>1098.0083587823999</v>
      </c>
      <c r="T77" s="80">
        <f t="shared" si="30"/>
        <v>1.2999999999999999E-3</v>
      </c>
      <c r="U77" s="179">
        <v>1119.9685259580481</v>
      </c>
      <c r="V77" s="80">
        <f t="shared" si="31"/>
        <v>1.3000000000000002E-3</v>
      </c>
      <c r="X77" s="200"/>
    </row>
    <row r="78" spans="1:24" ht="12.75" customHeight="1">
      <c r="A78" s="2" t="s">
        <v>409</v>
      </c>
      <c r="B78" s="35"/>
      <c r="C78" s="179">
        <v>0</v>
      </c>
      <c r="D78" s="80">
        <f t="shared" si="22"/>
        <v>0</v>
      </c>
      <c r="E78" s="179">
        <v>0</v>
      </c>
      <c r="F78" s="80">
        <f t="shared" si="23"/>
        <v>0</v>
      </c>
      <c r="G78" s="179">
        <v>16500</v>
      </c>
      <c r="H78" s="80">
        <f t="shared" si="24"/>
        <v>2.1999999999999999E-2</v>
      </c>
      <c r="I78" s="179">
        <v>16830</v>
      </c>
      <c r="J78" s="80">
        <f t="shared" si="25"/>
        <v>2.1999999999999999E-2</v>
      </c>
      <c r="K78" s="179">
        <v>17166.599999999999</v>
      </c>
      <c r="L78" s="80">
        <f t="shared" si="26"/>
        <v>2.1999999999999999E-2</v>
      </c>
      <c r="M78" s="179">
        <v>17509.932000000001</v>
      </c>
      <c r="N78" s="80">
        <f t="shared" si="27"/>
        <v>2.2000000000000002E-2</v>
      </c>
      <c r="O78" s="179">
        <v>17860.130639999999</v>
      </c>
      <c r="P78" s="80">
        <f t="shared" si="28"/>
        <v>2.1999999999999999E-2</v>
      </c>
      <c r="Q78" s="179">
        <v>18217.333252799996</v>
      </c>
      <c r="R78" s="80">
        <f t="shared" si="29"/>
        <v>2.1999999999999995E-2</v>
      </c>
      <c r="S78" s="179">
        <v>18581.679917855996</v>
      </c>
      <c r="T78" s="80">
        <f t="shared" si="30"/>
        <v>2.1999999999999995E-2</v>
      </c>
      <c r="U78" s="179">
        <v>18953.313516213122</v>
      </c>
      <c r="V78" s="80">
        <f t="shared" si="31"/>
        <v>2.2000000000000002E-2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2"/>
        <v>0</v>
      </c>
      <c r="E79" s="179">
        <v>0</v>
      </c>
      <c r="F79" s="80">
        <f t="shared" si="23"/>
        <v>0</v>
      </c>
      <c r="G79" s="179">
        <v>0</v>
      </c>
      <c r="H79" s="80">
        <f t="shared" si="24"/>
        <v>0</v>
      </c>
      <c r="I79" s="179">
        <v>0</v>
      </c>
      <c r="J79" s="80">
        <f t="shared" si="25"/>
        <v>0</v>
      </c>
      <c r="K79" s="179">
        <v>0</v>
      </c>
      <c r="L79" s="80">
        <f t="shared" si="26"/>
        <v>0</v>
      </c>
      <c r="M79" s="179">
        <v>0</v>
      </c>
      <c r="N79" s="80">
        <f t="shared" si="27"/>
        <v>0</v>
      </c>
      <c r="O79" s="179">
        <v>0</v>
      </c>
      <c r="P79" s="80">
        <f t="shared" si="28"/>
        <v>0</v>
      </c>
      <c r="Q79" s="179">
        <v>0</v>
      </c>
      <c r="R79" s="80">
        <f t="shared" si="29"/>
        <v>0</v>
      </c>
      <c r="S79" s="179">
        <v>0</v>
      </c>
      <c r="T79" s="80">
        <f t="shared" si="30"/>
        <v>0</v>
      </c>
      <c r="U79" s="179">
        <v>0</v>
      </c>
      <c r="V79" s="80">
        <f t="shared" si="31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2"/>
        <v>0</v>
      </c>
      <c r="E80" s="179">
        <v>0</v>
      </c>
      <c r="F80" s="80">
        <f t="shared" si="23"/>
        <v>0</v>
      </c>
      <c r="G80" s="179">
        <v>0</v>
      </c>
      <c r="H80" s="80">
        <f t="shared" si="24"/>
        <v>0</v>
      </c>
      <c r="I80" s="179">
        <v>0</v>
      </c>
      <c r="J80" s="80">
        <f t="shared" si="25"/>
        <v>0</v>
      </c>
      <c r="K80" s="179">
        <v>0</v>
      </c>
      <c r="L80" s="80">
        <f t="shared" si="26"/>
        <v>0</v>
      </c>
      <c r="M80" s="179">
        <v>0</v>
      </c>
      <c r="N80" s="80">
        <f t="shared" si="27"/>
        <v>0</v>
      </c>
      <c r="O80" s="179">
        <v>0</v>
      </c>
      <c r="P80" s="80">
        <f t="shared" si="28"/>
        <v>0</v>
      </c>
      <c r="Q80" s="179">
        <v>0</v>
      </c>
      <c r="R80" s="80">
        <f t="shared" si="29"/>
        <v>0</v>
      </c>
      <c r="S80" s="179">
        <v>0</v>
      </c>
      <c r="T80" s="80">
        <f t="shared" si="30"/>
        <v>0</v>
      </c>
      <c r="U80" s="179">
        <v>0</v>
      </c>
      <c r="V80" s="80">
        <f t="shared" si="31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2"/>
        <v>0</v>
      </c>
      <c r="E81" s="179">
        <v>0</v>
      </c>
      <c r="F81" s="80">
        <f t="shared" si="23"/>
        <v>0</v>
      </c>
      <c r="G81" s="179">
        <v>0</v>
      </c>
      <c r="H81" s="80">
        <f t="shared" si="24"/>
        <v>0</v>
      </c>
      <c r="I81" s="179">
        <v>0</v>
      </c>
      <c r="J81" s="80">
        <f t="shared" si="25"/>
        <v>0</v>
      </c>
      <c r="K81" s="179">
        <v>0</v>
      </c>
      <c r="L81" s="80">
        <f t="shared" si="26"/>
        <v>0</v>
      </c>
      <c r="M81" s="179">
        <v>0</v>
      </c>
      <c r="N81" s="80">
        <f t="shared" si="27"/>
        <v>0</v>
      </c>
      <c r="O81" s="179">
        <v>0</v>
      </c>
      <c r="P81" s="80">
        <f t="shared" si="28"/>
        <v>0</v>
      </c>
      <c r="Q81" s="179">
        <v>0</v>
      </c>
      <c r="R81" s="80">
        <f t="shared" si="29"/>
        <v>0</v>
      </c>
      <c r="S81" s="179">
        <v>0</v>
      </c>
      <c r="T81" s="80">
        <f t="shared" si="30"/>
        <v>0</v>
      </c>
      <c r="U81" s="179">
        <v>0</v>
      </c>
      <c r="V81" s="80">
        <f t="shared" si="31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2"/>
        <v>0</v>
      </c>
      <c r="E82" s="179">
        <v>0</v>
      </c>
      <c r="F82" s="80">
        <f t="shared" si="23"/>
        <v>0</v>
      </c>
      <c r="G82" s="179">
        <v>0</v>
      </c>
      <c r="H82" s="80">
        <f t="shared" si="24"/>
        <v>0</v>
      </c>
      <c r="I82" s="179">
        <v>0</v>
      </c>
      <c r="J82" s="80">
        <f t="shared" si="25"/>
        <v>0</v>
      </c>
      <c r="K82" s="179">
        <v>0</v>
      </c>
      <c r="L82" s="80">
        <f t="shared" si="26"/>
        <v>0</v>
      </c>
      <c r="M82" s="179">
        <v>0</v>
      </c>
      <c r="N82" s="80">
        <f t="shared" si="27"/>
        <v>0</v>
      </c>
      <c r="O82" s="179">
        <v>0</v>
      </c>
      <c r="P82" s="80">
        <f t="shared" si="28"/>
        <v>0</v>
      </c>
      <c r="Q82" s="179">
        <v>0</v>
      </c>
      <c r="R82" s="80">
        <f t="shared" si="29"/>
        <v>0</v>
      </c>
      <c r="S82" s="179">
        <v>0</v>
      </c>
      <c r="T82" s="80">
        <f t="shared" si="30"/>
        <v>0</v>
      </c>
      <c r="U82" s="179">
        <v>0</v>
      </c>
      <c r="V82" s="80">
        <f t="shared" si="31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2"/>
        <v>0</v>
      </c>
      <c r="E83" s="179">
        <v>0</v>
      </c>
      <c r="F83" s="80">
        <f t="shared" si="23"/>
        <v>0</v>
      </c>
      <c r="G83" s="179">
        <v>0</v>
      </c>
      <c r="H83" s="80">
        <f t="shared" si="24"/>
        <v>0</v>
      </c>
      <c r="I83" s="179">
        <v>0</v>
      </c>
      <c r="J83" s="80">
        <f t="shared" si="25"/>
        <v>0</v>
      </c>
      <c r="K83" s="179">
        <v>0</v>
      </c>
      <c r="L83" s="80">
        <f t="shared" si="26"/>
        <v>0</v>
      </c>
      <c r="M83" s="179">
        <v>0</v>
      </c>
      <c r="N83" s="80">
        <f t="shared" si="27"/>
        <v>0</v>
      </c>
      <c r="O83" s="179">
        <v>0</v>
      </c>
      <c r="P83" s="80">
        <f t="shared" si="28"/>
        <v>0</v>
      </c>
      <c r="Q83" s="179">
        <v>0</v>
      </c>
      <c r="R83" s="80">
        <f t="shared" si="29"/>
        <v>0</v>
      </c>
      <c r="S83" s="179">
        <v>0</v>
      </c>
      <c r="T83" s="80">
        <f t="shared" si="30"/>
        <v>0</v>
      </c>
      <c r="U83" s="179">
        <v>0</v>
      </c>
      <c r="V83" s="80">
        <f t="shared" si="31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ref="D84:D105" si="32">IFERROR(C84/C$28,0)</f>
        <v>0</v>
      </c>
      <c r="E84" s="179">
        <v>0</v>
      </c>
      <c r="F84" s="80">
        <f t="shared" si="23"/>
        <v>0</v>
      </c>
      <c r="G84" s="179">
        <v>0</v>
      </c>
      <c r="H84" s="80">
        <f t="shared" si="24"/>
        <v>0</v>
      </c>
      <c r="I84" s="179">
        <v>0</v>
      </c>
      <c r="J84" s="80">
        <f t="shared" si="25"/>
        <v>0</v>
      </c>
      <c r="K84" s="179">
        <v>0</v>
      </c>
      <c r="L84" s="80">
        <f t="shared" si="26"/>
        <v>0</v>
      </c>
      <c r="M84" s="179">
        <v>0</v>
      </c>
      <c r="N84" s="80">
        <f t="shared" si="27"/>
        <v>0</v>
      </c>
      <c r="O84" s="179">
        <v>0</v>
      </c>
      <c r="P84" s="80">
        <f t="shared" si="28"/>
        <v>0</v>
      </c>
      <c r="Q84" s="179">
        <v>0</v>
      </c>
      <c r="R84" s="80">
        <f t="shared" si="29"/>
        <v>0</v>
      </c>
      <c r="S84" s="179">
        <v>0</v>
      </c>
      <c r="T84" s="80">
        <f t="shared" si="30"/>
        <v>0</v>
      </c>
      <c r="U84" s="179">
        <v>0</v>
      </c>
      <c r="V84" s="80">
        <f t="shared" si="31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32"/>
        <v>0</v>
      </c>
      <c r="E85" s="179">
        <v>0</v>
      </c>
      <c r="F85" s="80">
        <f t="shared" si="23"/>
        <v>0</v>
      </c>
      <c r="G85" s="179">
        <v>0</v>
      </c>
      <c r="H85" s="80">
        <f t="shared" si="24"/>
        <v>0</v>
      </c>
      <c r="I85" s="179">
        <v>0</v>
      </c>
      <c r="J85" s="80">
        <f t="shared" si="25"/>
        <v>0</v>
      </c>
      <c r="K85" s="179">
        <v>0</v>
      </c>
      <c r="L85" s="80">
        <f t="shared" si="26"/>
        <v>0</v>
      </c>
      <c r="M85" s="179">
        <v>0</v>
      </c>
      <c r="N85" s="80">
        <f t="shared" si="27"/>
        <v>0</v>
      </c>
      <c r="O85" s="179">
        <v>0</v>
      </c>
      <c r="P85" s="80">
        <f t="shared" si="28"/>
        <v>0</v>
      </c>
      <c r="Q85" s="179">
        <v>0</v>
      </c>
      <c r="R85" s="80">
        <f t="shared" si="29"/>
        <v>0</v>
      </c>
      <c r="S85" s="179">
        <v>0</v>
      </c>
      <c r="T85" s="80">
        <f t="shared" si="30"/>
        <v>0</v>
      </c>
      <c r="U85" s="179">
        <v>0</v>
      </c>
      <c r="V85" s="80">
        <f t="shared" si="31"/>
        <v>0</v>
      </c>
      <c r="X85" s="200"/>
    </row>
    <row r="86" spans="1:24" ht="12.75" customHeight="1">
      <c r="A86" s="2" t="s">
        <v>417</v>
      </c>
      <c r="B86" s="35"/>
      <c r="C86" s="179">
        <v>0</v>
      </c>
      <c r="D86" s="80">
        <f t="shared" si="32"/>
        <v>0</v>
      </c>
      <c r="E86" s="179">
        <v>0</v>
      </c>
      <c r="F86" s="80">
        <f t="shared" si="23"/>
        <v>0</v>
      </c>
      <c r="G86" s="179">
        <v>3000.0000000000005</v>
      </c>
      <c r="H86" s="80">
        <f t="shared" si="24"/>
        <v>4.000000000000001E-3</v>
      </c>
      <c r="I86" s="179">
        <v>3060.0000000000005</v>
      </c>
      <c r="J86" s="80">
        <f t="shared" si="25"/>
        <v>4.000000000000001E-3</v>
      </c>
      <c r="K86" s="179">
        <v>3121.2000000000003</v>
      </c>
      <c r="L86" s="80">
        <f t="shared" si="26"/>
        <v>4.0000000000000001E-3</v>
      </c>
      <c r="M86" s="179">
        <v>3183.6240000000003</v>
      </c>
      <c r="N86" s="80">
        <f t="shared" si="27"/>
        <v>4.0000000000000001E-3</v>
      </c>
      <c r="O86" s="179">
        <v>3247.29648</v>
      </c>
      <c r="P86" s="80">
        <f t="shared" si="28"/>
        <v>4.0000000000000001E-3</v>
      </c>
      <c r="Q86" s="179">
        <v>3312.2424096</v>
      </c>
      <c r="R86" s="80">
        <f t="shared" si="29"/>
        <v>4.0000000000000001E-3</v>
      </c>
      <c r="S86" s="179">
        <v>3378.4872577919996</v>
      </c>
      <c r="T86" s="80">
        <f t="shared" si="30"/>
        <v>4.0000000000000001E-3</v>
      </c>
      <c r="U86" s="179">
        <v>3446.0570029478399</v>
      </c>
      <c r="V86" s="80">
        <f t="shared" si="31"/>
        <v>4.0000000000000001E-3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32"/>
        <v>0</v>
      </c>
      <c r="E87" s="179">
        <v>0</v>
      </c>
      <c r="F87" s="80">
        <f t="shared" si="23"/>
        <v>0</v>
      </c>
      <c r="G87" s="179">
        <v>0</v>
      </c>
      <c r="H87" s="80">
        <f t="shared" si="24"/>
        <v>0</v>
      </c>
      <c r="I87" s="179">
        <v>0</v>
      </c>
      <c r="J87" s="80">
        <f t="shared" si="25"/>
        <v>0</v>
      </c>
      <c r="K87" s="179">
        <v>0</v>
      </c>
      <c r="L87" s="80">
        <f t="shared" si="26"/>
        <v>0</v>
      </c>
      <c r="M87" s="179">
        <v>0</v>
      </c>
      <c r="N87" s="80">
        <f t="shared" si="27"/>
        <v>0</v>
      </c>
      <c r="O87" s="179">
        <v>0</v>
      </c>
      <c r="P87" s="80">
        <f t="shared" si="28"/>
        <v>0</v>
      </c>
      <c r="Q87" s="179">
        <v>0</v>
      </c>
      <c r="R87" s="80">
        <f t="shared" si="29"/>
        <v>0</v>
      </c>
      <c r="S87" s="179">
        <v>0</v>
      </c>
      <c r="T87" s="80">
        <f t="shared" si="30"/>
        <v>0</v>
      </c>
      <c r="U87" s="179">
        <v>0</v>
      </c>
      <c r="V87" s="80">
        <f t="shared" si="31"/>
        <v>0</v>
      </c>
      <c r="X87" s="200"/>
    </row>
    <row r="88" spans="1:24" ht="12.75" customHeight="1">
      <c r="A88" s="2" t="s">
        <v>419</v>
      </c>
      <c r="B88" s="35"/>
      <c r="C88" s="179">
        <v>0</v>
      </c>
      <c r="D88" s="80">
        <f t="shared" si="32"/>
        <v>0</v>
      </c>
      <c r="E88" s="179">
        <v>0</v>
      </c>
      <c r="F88" s="80">
        <f t="shared" si="23"/>
        <v>0</v>
      </c>
      <c r="G88" s="179">
        <v>3825.0000000000009</v>
      </c>
      <c r="H88" s="80">
        <f t="shared" si="24"/>
        <v>5.1000000000000012E-3</v>
      </c>
      <c r="I88" s="179">
        <v>3901.5000000000005</v>
      </c>
      <c r="J88" s="80">
        <f t="shared" si="25"/>
        <v>5.1000000000000004E-3</v>
      </c>
      <c r="K88" s="179">
        <v>3979.5300000000007</v>
      </c>
      <c r="L88" s="80">
        <f t="shared" si="26"/>
        <v>5.1000000000000012E-3</v>
      </c>
      <c r="M88" s="179">
        <v>4059.1206000000006</v>
      </c>
      <c r="N88" s="80">
        <f t="shared" si="27"/>
        <v>5.1000000000000012E-3</v>
      </c>
      <c r="O88" s="179">
        <v>4140.3030120000003</v>
      </c>
      <c r="P88" s="80">
        <f t="shared" si="28"/>
        <v>5.1000000000000004E-3</v>
      </c>
      <c r="Q88" s="179">
        <v>4223.1090722400004</v>
      </c>
      <c r="R88" s="80">
        <f t="shared" si="29"/>
        <v>5.1000000000000004E-3</v>
      </c>
      <c r="S88" s="179">
        <v>4307.5712536848005</v>
      </c>
      <c r="T88" s="80">
        <f t="shared" si="30"/>
        <v>5.1000000000000012E-3</v>
      </c>
      <c r="U88" s="179">
        <v>4393.7226787584968</v>
      </c>
      <c r="V88" s="80">
        <f t="shared" si="31"/>
        <v>5.1000000000000012E-3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32"/>
        <v>0</v>
      </c>
      <c r="E89" s="179">
        <v>0</v>
      </c>
      <c r="F89" s="80">
        <f t="shared" si="23"/>
        <v>0</v>
      </c>
      <c r="G89" s="179">
        <v>0</v>
      </c>
      <c r="H89" s="80">
        <f t="shared" si="24"/>
        <v>0</v>
      </c>
      <c r="I89" s="179">
        <v>0</v>
      </c>
      <c r="J89" s="80">
        <f t="shared" si="25"/>
        <v>0</v>
      </c>
      <c r="K89" s="179">
        <v>0</v>
      </c>
      <c r="L89" s="80">
        <f t="shared" si="26"/>
        <v>0</v>
      </c>
      <c r="M89" s="179">
        <v>0</v>
      </c>
      <c r="N89" s="80">
        <f t="shared" si="27"/>
        <v>0</v>
      </c>
      <c r="O89" s="179">
        <v>0</v>
      </c>
      <c r="P89" s="80">
        <f t="shared" si="28"/>
        <v>0</v>
      </c>
      <c r="Q89" s="179">
        <v>0</v>
      </c>
      <c r="R89" s="80">
        <f t="shared" si="29"/>
        <v>0</v>
      </c>
      <c r="S89" s="179">
        <v>0</v>
      </c>
      <c r="T89" s="80">
        <f t="shared" si="30"/>
        <v>0</v>
      </c>
      <c r="U89" s="179">
        <v>0</v>
      </c>
      <c r="V89" s="80">
        <f t="shared" si="31"/>
        <v>0</v>
      </c>
      <c r="X89" s="200"/>
    </row>
    <row r="90" spans="1:24" ht="12.75" customHeight="1">
      <c r="A90" s="2" t="s">
        <v>421</v>
      </c>
      <c r="B90" s="35"/>
      <c r="C90" s="179">
        <v>0</v>
      </c>
      <c r="D90" s="80">
        <f t="shared" si="32"/>
        <v>0</v>
      </c>
      <c r="E90" s="179">
        <v>0</v>
      </c>
      <c r="F90" s="80">
        <f t="shared" si="23"/>
        <v>0</v>
      </c>
      <c r="G90" s="179">
        <v>150</v>
      </c>
      <c r="H90" s="80">
        <f t="shared" si="24"/>
        <v>2.0000000000000001E-4</v>
      </c>
      <c r="I90" s="179">
        <v>153</v>
      </c>
      <c r="J90" s="80">
        <f t="shared" si="25"/>
        <v>2.0000000000000001E-4</v>
      </c>
      <c r="K90" s="179">
        <v>156.06</v>
      </c>
      <c r="L90" s="80">
        <f t="shared" si="26"/>
        <v>2.0000000000000001E-4</v>
      </c>
      <c r="M90" s="179">
        <v>159.18120000000002</v>
      </c>
      <c r="N90" s="80">
        <f t="shared" si="27"/>
        <v>2.0000000000000001E-4</v>
      </c>
      <c r="O90" s="179">
        <v>162.364824</v>
      </c>
      <c r="P90" s="80">
        <f t="shared" si="28"/>
        <v>2.0000000000000001E-4</v>
      </c>
      <c r="Q90" s="179">
        <v>165.61212047999999</v>
      </c>
      <c r="R90" s="80">
        <f t="shared" si="29"/>
        <v>1.9999999999999998E-4</v>
      </c>
      <c r="S90" s="179">
        <v>168.92436288959999</v>
      </c>
      <c r="T90" s="80">
        <f t="shared" si="30"/>
        <v>2.0000000000000001E-4</v>
      </c>
      <c r="U90" s="179">
        <v>172.30285014739201</v>
      </c>
      <c r="V90" s="80">
        <f t="shared" si="31"/>
        <v>2.0000000000000001E-4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32"/>
        <v>0</v>
      </c>
      <c r="E91" s="179">
        <v>0</v>
      </c>
      <c r="F91" s="80">
        <f t="shared" si="23"/>
        <v>0</v>
      </c>
      <c r="G91" s="179">
        <v>0</v>
      </c>
      <c r="H91" s="80">
        <f t="shared" si="24"/>
        <v>0</v>
      </c>
      <c r="I91" s="179">
        <v>0</v>
      </c>
      <c r="J91" s="80">
        <f t="shared" si="25"/>
        <v>0</v>
      </c>
      <c r="K91" s="179">
        <v>0</v>
      </c>
      <c r="L91" s="80">
        <f t="shared" si="26"/>
        <v>0</v>
      </c>
      <c r="M91" s="179">
        <v>0</v>
      </c>
      <c r="N91" s="80">
        <f t="shared" si="27"/>
        <v>0</v>
      </c>
      <c r="O91" s="179">
        <v>0</v>
      </c>
      <c r="P91" s="80">
        <f t="shared" si="28"/>
        <v>0</v>
      </c>
      <c r="Q91" s="179">
        <v>0</v>
      </c>
      <c r="R91" s="80">
        <f t="shared" si="29"/>
        <v>0</v>
      </c>
      <c r="S91" s="179">
        <v>0</v>
      </c>
      <c r="T91" s="80">
        <f t="shared" si="30"/>
        <v>0</v>
      </c>
      <c r="U91" s="179">
        <v>0</v>
      </c>
      <c r="V91" s="80">
        <f t="shared" si="31"/>
        <v>0</v>
      </c>
      <c r="X91" s="200"/>
    </row>
    <row r="92" spans="1:24" ht="12.75" customHeight="1">
      <c r="A92" s="2" t="s">
        <v>423</v>
      </c>
      <c r="B92" s="35"/>
      <c r="C92" s="179">
        <v>0</v>
      </c>
      <c r="D92" s="80">
        <f t="shared" si="32"/>
        <v>0</v>
      </c>
      <c r="E92" s="179">
        <v>0</v>
      </c>
      <c r="F92" s="80">
        <f t="shared" si="23"/>
        <v>0</v>
      </c>
      <c r="G92" s="179">
        <v>3899.9999999999995</v>
      </c>
      <c r="H92" s="80">
        <f t="shared" si="24"/>
        <v>5.1999999999999998E-3</v>
      </c>
      <c r="I92" s="179">
        <v>3978</v>
      </c>
      <c r="J92" s="80">
        <f t="shared" si="25"/>
        <v>5.1999999999999998E-3</v>
      </c>
      <c r="K92" s="179">
        <v>4057.5599999999995</v>
      </c>
      <c r="L92" s="80">
        <f t="shared" si="26"/>
        <v>5.1999999999999998E-3</v>
      </c>
      <c r="M92" s="179">
        <v>4138.7111999999997</v>
      </c>
      <c r="N92" s="80">
        <f t="shared" si="27"/>
        <v>5.1999999999999998E-3</v>
      </c>
      <c r="O92" s="179">
        <v>4221.4854239999995</v>
      </c>
      <c r="P92" s="80">
        <f t="shared" si="28"/>
        <v>5.1999999999999998E-3</v>
      </c>
      <c r="Q92" s="179">
        <v>4305.9151324799996</v>
      </c>
      <c r="R92" s="80">
        <f t="shared" si="29"/>
        <v>5.1999999999999998E-3</v>
      </c>
      <c r="S92" s="179">
        <v>4392.0334351295996</v>
      </c>
      <c r="T92" s="80">
        <f t="shared" si="30"/>
        <v>5.1999999999999998E-3</v>
      </c>
      <c r="U92" s="179">
        <v>4479.8741038321923</v>
      </c>
      <c r="V92" s="80">
        <f t="shared" si="31"/>
        <v>5.2000000000000006E-3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32"/>
        <v>0</v>
      </c>
      <c r="E93" s="179">
        <v>0</v>
      </c>
      <c r="F93" s="80">
        <f t="shared" si="23"/>
        <v>0</v>
      </c>
      <c r="G93" s="179">
        <v>0</v>
      </c>
      <c r="H93" s="80">
        <f t="shared" si="24"/>
        <v>0</v>
      </c>
      <c r="I93" s="179">
        <v>0</v>
      </c>
      <c r="J93" s="80">
        <f t="shared" si="25"/>
        <v>0</v>
      </c>
      <c r="K93" s="179">
        <v>0</v>
      </c>
      <c r="L93" s="80">
        <f t="shared" si="26"/>
        <v>0</v>
      </c>
      <c r="M93" s="179">
        <v>0</v>
      </c>
      <c r="N93" s="80">
        <f t="shared" si="27"/>
        <v>0</v>
      </c>
      <c r="O93" s="179">
        <v>0</v>
      </c>
      <c r="P93" s="80">
        <f t="shared" si="28"/>
        <v>0</v>
      </c>
      <c r="Q93" s="179">
        <v>0</v>
      </c>
      <c r="R93" s="80">
        <f t="shared" si="29"/>
        <v>0</v>
      </c>
      <c r="S93" s="179">
        <v>0</v>
      </c>
      <c r="T93" s="80">
        <f t="shared" si="30"/>
        <v>0</v>
      </c>
      <c r="U93" s="179">
        <v>0</v>
      </c>
      <c r="V93" s="80">
        <f t="shared" si="31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32"/>
        <v>0</v>
      </c>
      <c r="E94" s="179">
        <v>0</v>
      </c>
      <c r="F94" s="80">
        <f t="shared" si="23"/>
        <v>0</v>
      </c>
      <c r="G94" s="179">
        <v>0</v>
      </c>
      <c r="H94" s="80">
        <f t="shared" si="24"/>
        <v>0</v>
      </c>
      <c r="I94" s="179">
        <v>0</v>
      </c>
      <c r="J94" s="80">
        <f t="shared" si="25"/>
        <v>0</v>
      </c>
      <c r="K94" s="179">
        <v>0</v>
      </c>
      <c r="L94" s="80">
        <f t="shared" si="26"/>
        <v>0</v>
      </c>
      <c r="M94" s="179">
        <v>0</v>
      </c>
      <c r="N94" s="80">
        <f t="shared" si="27"/>
        <v>0</v>
      </c>
      <c r="O94" s="179">
        <v>0</v>
      </c>
      <c r="P94" s="80">
        <f t="shared" si="28"/>
        <v>0</v>
      </c>
      <c r="Q94" s="179">
        <v>0</v>
      </c>
      <c r="R94" s="80">
        <f t="shared" si="29"/>
        <v>0</v>
      </c>
      <c r="S94" s="179">
        <v>0</v>
      </c>
      <c r="T94" s="80">
        <f t="shared" si="30"/>
        <v>0</v>
      </c>
      <c r="U94" s="179">
        <v>0</v>
      </c>
      <c r="V94" s="80">
        <f t="shared" si="31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32"/>
        <v>0</v>
      </c>
      <c r="E95" s="179">
        <v>0</v>
      </c>
      <c r="F95" s="80">
        <f t="shared" si="23"/>
        <v>0</v>
      </c>
      <c r="G95" s="179">
        <v>0</v>
      </c>
      <c r="H95" s="80">
        <f t="shared" si="24"/>
        <v>0</v>
      </c>
      <c r="I95" s="179">
        <v>0</v>
      </c>
      <c r="J95" s="80">
        <f t="shared" si="25"/>
        <v>0</v>
      </c>
      <c r="K95" s="179">
        <v>0</v>
      </c>
      <c r="L95" s="80">
        <f t="shared" si="26"/>
        <v>0</v>
      </c>
      <c r="M95" s="179">
        <v>0</v>
      </c>
      <c r="N95" s="80">
        <f t="shared" si="27"/>
        <v>0</v>
      </c>
      <c r="O95" s="179">
        <v>0</v>
      </c>
      <c r="P95" s="80">
        <f t="shared" si="28"/>
        <v>0</v>
      </c>
      <c r="Q95" s="179">
        <v>0</v>
      </c>
      <c r="R95" s="80">
        <f t="shared" si="29"/>
        <v>0</v>
      </c>
      <c r="S95" s="179">
        <v>0</v>
      </c>
      <c r="T95" s="80">
        <f t="shared" si="30"/>
        <v>0</v>
      </c>
      <c r="U95" s="179">
        <v>0</v>
      </c>
      <c r="V95" s="80">
        <f t="shared" si="31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32"/>
        <v>0</v>
      </c>
      <c r="E96" s="179">
        <v>0</v>
      </c>
      <c r="F96" s="80">
        <f t="shared" si="23"/>
        <v>0</v>
      </c>
      <c r="G96" s="179">
        <v>0</v>
      </c>
      <c r="H96" s="80">
        <f t="shared" si="24"/>
        <v>0</v>
      </c>
      <c r="I96" s="179">
        <v>0</v>
      </c>
      <c r="J96" s="80">
        <f t="shared" si="25"/>
        <v>0</v>
      </c>
      <c r="K96" s="179">
        <v>0</v>
      </c>
      <c r="L96" s="80">
        <f t="shared" si="26"/>
        <v>0</v>
      </c>
      <c r="M96" s="179">
        <v>0</v>
      </c>
      <c r="N96" s="80">
        <f t="shared" si="27"/>
        <v>0</v>
      </c>
      <c r="O96" s="179">
        <v>0</v>
      </c>
      <c r="P96" s="80">
        <f t="shared" si="28"/>
        <v>0</v>
      </c>
      <c r="Q96" s="179">
        <v>0</v>
      </c>
      <c r="R96" s="80">
        <f t="shared" si="29"/>
        <v>0</v>
      </c>
      <c r="S96" s="179">
        <v>0</v>
      </c>
      <c r="T96" s="80">
        <f t="shared" si="30"/>
        <v>0</v>
      </c>
      <c r="U96" s="179">
        <v>0</v>
      </c>
      <c r="V96" s="80">
        <f t="shared" si="31"/>
        <v>0</v>
      </c>
      <c r="X96" s="200"/>
    </row>
    <row r="97" spans="1:24" ht="12.75" customHeight="1">
      <c r="A97" s="2" t="s">
        <v>428</v>
      </c>
      <c r="B97" s="35"/>
      <c r="C97" s="179">
        <v>0</v>
      </c>
      <c r="D97" s="80">
        <f t="shared" si="32"/>
        <v>0</v>
      </c>
      <c r="E97" s="179">
        <v>0</v>
      </c>
      <c r="F97" s="80">
        <f t="shared" si="23"/>
        <v>0</v>
      </c>
      <c r="G97" s="179">
        <v>11253.94368599168</v>
      </c>
      <c r="H97" s="80">
        <f t="shared" si="24"/>
        <v>1.5005258247988908E-2</v>
      </c>
      <c r="I97" s="179">
        <v>11614.069883943414</v>
      </c>
      <c r="J97" s="80">
        <f t="shared" si="25"/>
        <v>1.5181790697965247E-2</v>
      </c>
      <c r="K97" s="179">
        <v>11904.421631041998</v>
      </c>
      <c r="L97" s="80">
        <f t="shared" si="26"/>
        <v>1.525621124060233E-2</v>
      </c>
      <c r="M97" s="179">
        <v>12202.032171818048</v>
      </c>
      <c r="N97" s="80">
        <f t="shared" si="27"/>
        <v>1.5330996589820968E-2</v>
      </c>
      <c r="O97" s="179">
        <v>12507.082976113496</v>
      </c>
      <c r="P97" s="80">
        <f t="shared" si="28"/>
        <v>1.5406148533888714E-2</v>
      </c>
      <c r="Q97" s="179">
        <v>12819.760050516334</v>
      </c>
      <c r="R97" s="80">
        <f t="shared" si="29"/>
        <v>1.5481668869839151E-2</v>
      </c>
      <c r="S97" s="179">
        <v>13140.25405177924</v>
      </c>
      <c r="T97" s="80">
        <f t="shared" si="30"/>
        <v>1.5557559403514831E-2</v>
      </c>
      <c r="U97" s="179">
        <v>13468.760403073722</v>
      </c>
      <c r="V97" s="80">
        <f t="shared" si="31"/>
        <v>1.5633821949610494E-2</v>
      </c>
      <c r="X97" s="200"/>
    </row>
    <row r="98" spans="1:24" ht="12.75" customHeight="1">
      <c r="A98" s="117" t="s">
        <v>431</v>
      </c>
      <c r="B98" s="35"/>
      <c r="C98" s="179">
        <v>0</v>
      </c>
      <c r="D98" s="80">
        <f t="shared" si="32"/>
        <v>0</v>
      </c>
      <c r="E98" s="179">
        <v>0</v>
      </c>
      <c r="F98" s="80">
        <f t="shared" si="23"/>
        <v>0</v>
      </c>
      <c r="G98" s="179">
        <v>899.99999999999989</v>
      </c>
      <c r="H98" s="80">
        <f t="shared" si="24"/>
        <v>1.1999999999999999E-3</v>
      </c>
      <c r="I98" s="179">
        <v>917.99999999999989</v>
      </c>
      <c r="J98" s="80">
        <f t="shared" si="25"/>
        <v>1.1999999999999999E-3</v>
      </c>
      <c r="K98" s="179">
        <v>936.3599999999999</v>
      </c>
      <c r="L98" s="80">
        <f t="shared" si="26"/>
        <v>1.1999999999999999E-3</v>
      </c>
      <c r="M98" s="179">
        <v>955.08719999999994</v>
      </c>
      <c r="N98" s="80">
        <f t="shared" si="27"/>
        <v>1.1999999999999999E-3</v>
      </c>
      <c r="O98" s="179">
        <v>974.18894399999988</v>
      </c>
      <c r="P98" s="80">
        <f t="shared" si="28"/>
        <v>1.1999999999999999E-3</v>
      </c>
      <c r="Q98" s="179">
        <v>993.67272287999981</v>
      </c>
      <c r="R98" s="80">
        <f t="shared" si="29"/>
        <v>1.1999999999999999E-3</v>
      </c>
      <c r="S98" s="179">
        <v>1013.5461773375998</v>
      </c>
      <c r="T98" s="80">
        <f t="shared" si="30"/>
        <v>1.1999999999999999E-3</v>
      </c>
      <c r="U98" s="179">
        <v>1033.8171008843519</v>
      </c>
      <c r="V98" s="80">
        <f t="shared" si="31"/>
        <v>1.1999999999999999E-3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32"/>
        <v>0</v>
      </c>
      <c r="E99" s="179">
        <v>0</v>
      </c>
      <c r="F99" s="80">
        <f t="shared" si="23"/>
        <v>0</v>
      </c>
      <c r="G99" s="179">
        <v>0</v>
      </c>
      <c r="H99" s="80">
        <f t="shared" si="24"/>
        <v>0</v>
      </c>
      <c r="I99" s="179">
        <v>0</v>
      </c>
      <c r="J99" s="80">
        <f t="shared" si="25"/>
        <v>0</v>
      </c>
      <c r="K99" s="179">
        <v>0</v>
      </c>
      <c r="L99" s="80">
        <f t="shared" si="26"/>
        <v>0</v>
      </c>
      <c r="M99" s="179">
        <v>0</v>
      </c>
      <c r="N99" s="80">
        <f t="shared" si="27"/>
        <v>0</v>
      </c>
      <c r="O99" s="179">
        <v>0</v>
      </c>
      <c r="P99" s="80">
        <f t="shared" si="28"/>
        <v>0</v>
      </c>
      <c r="Q99" s="179">
        <v>0</v>
      </c>
      <c r="R99" s="80">
        <f t="shared" si="29"/>
        <v>0</v>
      </c>
      <c r="S99" s="179">
        <v>0</v>
      </c>
      <c r="T99" s="80">
        <f t="shared" si="30"/>
        <v>0</v>
      </c>
      <c r="U99" s="179">
        <v>0</v>
      </c>
      <c r="V99" s="80">
        <f t="shared" si="31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32"/>
        <v>0</v>
      </c>
      <c r="E100" s="179">
        <v>0</v>
      </c>
      <c r="F100" s="80">
        <f t="shared" si="23"/>
        <v>0</v>
      </c>
      <c r="G100" s="179">
        <v>0</v>
      </c>
      <c r="H100" s="80">
        <f t="shared" si="24"/>
        <v>0</v>
      </c>
      <c r="I100" s="179">
        <v>0</v>
      </c>
      <c r="J100" s="80">
        <f t="shared" si="25"/>
        <v>0</v>
      </c>
      <c r="K100" s="179">
        <v>0</v>
      </c>
      <c r="L100" s="80">
        <f t="shared" si="26"/>
        <v>0</v>
      </c>
      <c r="M100" s="179">
        <v>0</v>
      </c>
      <c r="N100" s="80">
        <f t="shared" si="27"/>
        <v>0</v>
      </c>
      <c r="O100" s="179">
        <v>0</v>
      </c>
      <c r="P100" s="80">
        <f t="shared" si="28"/>
        <v>0</v>
      </c>
      <c r="Q100" s="179">
        <v>0</v>
      </c>
      <c r="R100" s="80">
        <f t="shared" si="29"/>
        <v>0</v>
      </c>
      <c r="S100" s="179">
        <v>0</v>
      </c>
      <c r="T100" s="80">
        <f t="shared" si="30"/>
        <v>0</v>
      </c>
      <c r="U100" s="179">
        <v>0</v>
      </c>
      <c r="V100" s="80">
        <f t="shared" si="31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32"/>
        <v>0</v>
      </c>
      <c r="E101" s="179"/>
      <c r="F101" s="80">
        <f t="shared" si="23"/>
        <v>0</v>
      </c>
      <c r="G101" s="179"/>
      <c r="H101" s="80">
        <f t="shared" si="24"/>
        <v>0</v>
      </c>
      <c r="I101" s="179"/>
      <c r="J101" s="80">
        <f t="shared" si="25"/>
        <v>0</v>
      </c>
      <c r="K101" s="179"/>
      <c r="L101" s="80">
        <f t="shared" si="26"/>
        <v>0</v>
      </c>
      <c r="M101" s="179"/>
      <c r="N101" s="80">
        <f t="shared" si="27"/>
        <v>0</v>
      </c>
      <c r="O101" s="179"/>
      <c r="P101" s="80">
        <f t="shared" si="28"/>
        <v>0</v>
      </c>
      <c r="Q101" s="179"/>
      <c r="R101" s="80">
        <f t="shared" si="29"/>
        <v>0</v>
      </c>
      <c r="S101" s="179"/>
      <c r="T101" s="80">
        <f t="shared" si="30"/>
        <v>0</v>
      </c>
      <c r="U101" s="179"/>
      <c r="V101" s="80">
        <f t="shared" si="31"/>
        <v>0</v>
      </c>
      <c r="X101" s="200"/>
    </row>
    <row r="102" spans="1:24" ht="12.75" customHeight="1">
      <c r="A102" s="117" t="s">
        <v>433</v>
      </c>
      <c r="B102" s="35"/>
      <c r="C102" s="179">
        <v>0</v>
      </c>
      <c r="D102" s="80">
        <f t="shared" si="32"/>
        <v>0</v>
      </c>
      <c r="E102" s="179">
        <v>0</v>
      </c>
      <c r="F102" s="80">
        <f t="shared" si="23"/>
        <v>0</v>
      </c>
      <c r="G102" s="179">
        <v>7500</v>
      </c>
      <c r="H102" s="80">
        <f t="shared" si="24"/>
        <v>0.01</v>
      </c>
      <c r="I102" s="179">
        <v>7650.0000000000009</v>
      </c>
      <c r="J102" s="80">
        <f t="shared" si="25"/>
        <v>1.0000000000000002E-2</v>
      </c>
      <c r="K102" s="179">
        <v>7803.0000000000009</v>
      </c>
      <c r="L102" s="80">
        <f t="shared" si="26"/>
        <v>1.0000000000000002E-2</v>
      </c>
      <c r="M102" s="179">
        <v>7959.0599999999995</v>
      </c>
      <c r="N102" s="80">
        <f t="shared" si="27"/>
        <v>0.01</v>
      </c>
      <c r="O102" s="179">
        <v>8118.2412000000004</v>
      </c>
      <c r="P102" s="80">
        <f t="shared" si="28"/>
        <v>0.01</v>
      </c>
      <c r="Q102" s="179">
        <v>8280.6060240000006</v>
      </c>
      <c r="R102" s="80">
        <f t="shared" si="29"/>
        <v>0.01</v>
      </c>
      <c r="S102" s="179">
        <v>8446.218144479999</v>
      </c>
      <c r="T102" s="80">
        <f t="shared" si="30"/>
        <v>0.01</v>
      </c>
      <c r="U102" s="179">
        <v>8615.1425073695991</v>
      </c>
      <c r="V102" s="80">
        <f t="shared" si="31"/>
        <v>9.9999999999999985E-3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32"/>
        <v>0</v>
      </c>
      <c r="E103" s="179">
        <v>0</v>
      </c>
      <c r="F103" s="80">
        <f t="shared" si="23"/>
        <v>0</v>
      </c>
      <c r="G103" s="179">
        <v>0</v>
      </c>
      <c r="H103" s="80">
        <f t="shared" si="24"/>
        <v>0</v>
      </c>
      <c r="I103" s="179">
        <v>0</v>
      </c>
      <c r="J103" s="80">
        <f t="shared" si="25"/>
        <v>0</v>
      </c>
      <c r="K103" s="179">
        <v>0</v>
      </c>
      <c r="L103" s="80">
        <f t="shared" si="26"/>
        <v>0</v>
      </c>
      <c r="M103" s="179">
        <v>0</v>
      </c>
      <c r="N103" s="80">
        <f t="shared" si="27"/>
        <v>0</v>
      </c>
      <c r="O103" s="179">
        <v>0</v>
      </c>
      <c r="P103" s="80">
        <f t="shared" si="28"/>
        <v>0</v>
      </c>
      <c r="Q103" s="179">
        <v>0</v>
      </c>
      <c r="R103" s="80">
        <f t="shared" si="29"/>
        <v>0</v>
      </c>
      <c r="S103" s="179">
        <v>0</v>
      </c>
      <c r="T103" s="80">
        <f t="shared" si="30"/>
        <v>0</v>
      </c>
      <c r="U103" s="179">
        <v>0</v>
      </c>
      <c r="V103" s="80">
        <f t="shared" si="31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32"/>
        <v>0</v>
      </c>
      <c r="E104" s="179">
        <v>0</v>
      </c>
      <c r="F104" s="80">
        <f t="shared" si="23"/>
        <v>0</v>
      </c>
      <c r="G104" s="179">
        <v>0</v>
      </c>
      <c r="H104" s="80">
        <f t="shared" si="24"/>
        <v>0</v>
      </c>
      <c r="I104" s="179">
        <v>0</v>
      </c>
      <c r="J104" s="80">
        <f t="shared" si="25"/>
        <v>0</v>
      </c>
      <c r="K104" s="179">
        <v>0</v>
      </c>
      <c r="L104" s="80">
        <f t="shared" si="26"/>
        <v>0</v>
      </c>
      <c r="M104" s="179">
        <v>0</v>
      </c>
      <c r="N104" s="80">
        <f t="shared" si="27"/>
        <v>0</v>
      </c>
      <c r="O104" s="179">
        <v>0</v>
      </c>
      <c r="P104" s="80">
        <f t="shared" si="28"/>
        <v>0</v>
      </c>
      <c r="Q104" s="179">
        <v>0</v>
      </c>
      <c r="R104" s="80">
        <f t="shared" si="29"/>
        <v>0</v>
      </c>
      <c r="S104" s="179">
        <v>0</v>
      </c>
      <c r="T104" s="80">
        <f t="shared" si="30"/>
        <v>0</v>
      </c>
      <c r="U104" s="179">
        <v>0</v>
      </c>
      <c r="V104" s="80">
        <f t="shared" si="31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0</v>
      </c>
      <c r="D105" s="83">
        <f t="shared" si="32"/>
        <v>0</v>
      </c>
      <c r="E105" s="82">
        <f>SUM(E52:E104)</f>
        <v>0</v>
      </c>
      <c r="F105" s="83">
        <f t="shared" si="23"/>
        <v>0</v>
      </c>
      <c r="G105" s="82">
        <f>SUM(G52:G104)</f>
        <v>130813.35275153267</v>
      </c>
      <c r="H105" s="83">
        <f t="shared" si="24"/>
        <v>0.17441780366871024</v>
      </c>
      <c r="I105" s="82">
        <f>SUM(I52:I104)</f>
        <v>133505.0848987361</v>
      </c>
      <c r="J105" s="83">
        <f t="shared" si="25"/>
        <v>0.17451645084802103</v>
      </c>
      <c r="K105" s="82">
        <f>SUM(K52:K104)</f>
        <v>136153.95702475987</v>
      </c>
      <c r="L105" s="83">
        <f t="shared" si="26"/>
        <v>0.17448924391228998</v>
      </c>
      <c r="M105" s="82">
        <f>SUM(M52:M104)</f>
        <v>138921.96469473315</v>
      </c>
      <c r="N105" s="83">
        <f t="shared" si="27"/>
        <v>0.17454569345467072</v>
      </c>
      <c r="O105" s="82">
        <f>SUM(O52:O104)</f>
        <v>141746.94972567394</v>
      </c>
      <c r="P105" s="83">
        <f t="shared" si="28"/>
        <v>0.17460302820969884</v>
      </c>
      <c r="Q105" s="82">
        <f>SUM(Q52:Q104)</f>
        <v>144629.84400552706</v>
      </c>
      <c r="R105" s="83">
        <f t="shared" si="29"/>
        <v>0.17466094098226725</v>
      </c>
      <c r="S105" s="82">
        <f>SUM(S52:S104)</f>
        <v>147571.60459236469</v>
      </c>
      <c r="T105" s="83">
        <f t="shared" si="30"/>
        <v>0.17471914893508839</v>
      </c>
      <c r="U105" s="82">
        <f>SUM(U52:U104)</f>
        <v>150858.01646054297</v>
      </c>
      <c r="V105" s="83">
        <f t="shared" si="31"/>
        <v>0.17510797567364139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0</v>
      </c>
      <c r="D107" s="83">
        <f>IFERROR(C107/C$28,0)</f>
        <v>0</v>
      </c>
      <c r="E107" s="82">
        <f>E28-E33-E46-E105</f>
        <v>0</v>
      </c>
      <c r="F107" s="83">
        <f>IFERROR(E107/E$28,0)</f>
        <v>0</v>
      </c>
      <c r="G107" s="82">
        <f>G28-G33-G46-G105</f>
        <v>45697.35677601934</v>
      </c>
      <c r="H107" s="83">
        <f>IFERROR(G107/G$28,0)</f>
        <v>6.0929809034692452E-2</v>
      </c>
      <c r="I107" s="82">
        <f>I28-I33-I46-I105</f>
        <v>52646.604378146643</v>
      </c>
      <c r="J107" s="83">
        <f>IFERROR(I107/I$28,0)</f>
        <v>6.8819090690387774E-2</v>
      </c>
      <c r="K107" s="82">
        <f>K28-K33-K46-K105</f>
        <v>52203.52448404496</v>
      </c>
      <c r="L107" s="83">
        <f>IFERROR(K107/K$28,0)</f>
        <v>6.6901864006209094E-2</v>
      </c>
      <c r="M107" s="82">
        <f>M28-M33-M46-M105</f>
        <v>51647.493851791834</v>
      </c>
      <c r="N107" s="83">
        <f>IFERROR(M107/M$28,0)</f>
        <v>6.4891449306566151E-2</v>
      </c>
      <c r="O107" s="82">
        <f>O28-O33-O46-O105</f>
        <v>51039.846084514225</v>
      </c>
      <c r="P107" s="83">
        <f>IFERROR(O107/O$28,0)</f>
        <v>6.2870571133701009E-2</v>
      </c>
      <c r="Q107" s="82">
        <f>Q28-Q33-Q46-Q105</f>
        <v>50378.784515915817</v>
      </c>
      <c r="R107" s="83">
        <f>IFERROR(Q107/Q$28,0)</f>
        <v>6.0839489730463013E-2</v>
      </c>
      <c r="S107" s="82">
        <f>S28-S33-S46-S105</f>
        <v>49662.445714434318</v>
      </c>
      <c r="T107" s="83">
        <f>IFERROR(S107/S$28,0)</f>
        <v>5.8798440751723968E-2</v>
      </c>
      <c r="U107" s="82">
        <f>U28-U33-U46-U105</f>
        <v>48604.095297692402</v>
      </c>
      <c r="V107" s="83">
        <f>IFERROR(U107/U$28,0)</f>
        <v>5.6417053178302382E-2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33">IFERROR(C111/C$28,0)</f>
        <v>0</v>
      </c>
      <c r="E111" s="79">
        <f>E59</f>
        <v>0</v>
      </c>
      <c r="F111" s="80">
        <f t="shared" ref="F111:F116" si="34">IFERROR(E111/E$28,0)</f>
        <v>0</v>
      </c>
      <c r="G111" s="79">
        <f>G59</f>
        <v>0</v>
      </c>
      <c r="H111" s="80">
        <f t="shared" ref="H111:H116" si="35">IFERROR(G111/G$28,0)</f>
        <v>0</v>
      </c>
      <c r="I111" s="79">
        <f>I59</f>
        <v>0</v>
      </c>
      <c r="J111" s="80">
        <f t="shared" ref="J111:J116" si="36">IFERROR(I111/I$28,0)</f>
        <v>0</v>
      </c>
      <c r="K111" s="79">
        <f>K59</f>
        <v>0</v>
      </c>
      <c r="L111" s="80">
        <f t="shared" ref="L111:L116" si="37">IFERROR(K111/K$28,0)</f>
        <v>0</v>
      </c>
      <c r="M111" s="79">
        <f>M59</f>
        <v>0</v>
      </c>
      <c r="N111" s="80">
        <f t="shared" ref="N111:N116" si="38">IFERROR(M111/M$28,0)</f>
        <v>0</v>
      </c>
      <c r="O111" s="79">
        <f>O59</f>
        <v>0</v>
      </c>
      <c r="P111" s="80">
        <f t="shared" ref="P111:P116" si="39">IFERROR(O111/O$28,0)</f>
        <v>0</v>
      </c>
      <c r="Q111" s="79">
        <f>Q59</f>
        <v>0</v>
      </c>
      <c r="R111" s="80">
        <f t="shared" ref="R111:R116" si="40">IFERROR(Q111/Q$28,0)</f>
        <v>0</v>
      </c>
      <c r="S111" s="79">
        <f>S59</f>
        <v>0</v>
      </c>
      <c r="T111" s="80">
        <f t="shared" ref="T111:T116" si="41">IFERROR(S111/S$28,0)</f>
        <v>0</v>
      </c>
      <c r="U111" s="79">
        <f>U59</f>
        <v>0</v>
      </c>
      <c r="V111" s="80">
        <f t="shared" ref="V111:V116" si="42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33"/>
        <v>0</v>
      </c>
      <c r="E112" s="79">
        <f>E62</f>
        <v>0</v>
      </c>
      <c r="F112" s="80">
        <f t="shared" si="34"/>
        <v>0</v>
      </c>
      <c r="G112" s="79">
        <f>G62</f>
        <v>0</v>
      </c>
      <c r="H112" s="80">
        <f t="shared" si="35"/>
        <v>0</v>
      </c>
      <c r="I112" s="79">
        <f>I62</f>
        <v>0</v>
      </c>
      <c r="J112" s="80">
        <f t="shared" si="36"/>
        <v>0</v>
      </c>
      <c r="K112" s="79">
        <f>K62</f>
        <v>0</v>
      </c>
      <c r="L112" s="80">
        <f t="shared" si="37"/>
        <v>0</v>
      </c>
      <c r="M112" s="79">
        <f>M62</f>
        <v>0</v>
      </c>
      <c r="N112" s="80">
        <f t="shared" si="38"/>
        <v>0</v>
      </c>
      <c r="O112" s="79">
        <f>O62</f>
        <v>0</v>
      </c>
      <c r="P112" s="80">
        <f t="shared" si="39"/>
        <v>0</v>
      </c>
      <c r="Q112" s="79">
        <f>Q62</f>
        <v>0</v>
      </c>
      <c r="R112" s="80">
        <f t="shared" si="40"/>
        <v>0</v>
      </c>
      <c r="S112" s="79">
        <f>S62</f>
        <v>0</v>
      </c>
      <c r="T112" s="80">
        <f t="shared" si="41"/>
        <v>0</v>
      </c>
      <c r="U112" s="79">
        <f>U62</f>
        <v>0</v>
      </c>
      <c r="V112" s="80">
        <f t="shared" si="42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33"/>
        <v>0</v>
      </c>
      <c r="E113" s="111">
        <v>0</v>
      </c>
      <c r="F113" s="80">
        <f t="shared" si="34"/>
        <v>0</v>
      </c>
      <c r="G113" s="111">
        <v>0</v>
      </c>
      <c r="H113" s="80">
        <f t="shared" si="35"/>
        <v>0</v>
      </c>
      <c r="I113" s="111">
        <v>0</v>
      </c>
      <c r="J113" s="80">
        <f t="shared" si="36"/>
        <v>0</v>
      </c>
      <c r="K113" s="111">
        <v>0</v>
      </c>
      <c r="L113" s="80">
        <f t="shared" si="37"/>
        <v>0</v>
      </c>
      <c r="M113" s="111">
        <v>0</v>
      </c>
      <c r="N113" s="80">
        <f t="shared" si="38"/>
        <v>0</v>
      </c>
      <c r="O113" s="111">
        <v>0</v>
      </c>
      <c r="P113" s="80">
        <f t="shared" si="39"/>
        <v>0</v>
      </c>
      <c r="Q113" s="111">
        <v>0</v>
      </c>
      <c r="R113" s="80">
        <f t="shared" si="40"/>
        <v>0</v>
      </c>
      <c r="S113" s="111">
        <v>0</v>
      </c>
      <c r="T113" s="80">
        <f t="shared" si="41"/>
        <v>0</v>
      </c>
      <c r="U113" s="111">
        <v>0</v>
      </c>
      <c r="V113" s="80">
        <f t="shared" si="42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33"/>
        <v>0</v>
      </c>
      <c r="E114" s="111">
        <v>0</v>
      </c>
      <c r="F114" s="80">
        <f t="shared" si="34"/>
        <v>0</v>
      </c>
      <c r="G114" s="111">
        <v>0</v>
      </c>
      <c r="H114" s="80">
        <f t="shared" si="35"/>
        <v>0</v>
      </c>
      <c r="I114" s="111">
        <v>0</v>
      </c>
      <c r="J114" s="80">
        <f t="shared" si="36"/>
        <v>0</v>
      </c>
      <c r="K114" s="111">
        <v>0</v>
      </c>
      <c r="L114" s="80">
        <f t="shared" si="37"/>
        <v>0</v>
      </c>
      <c r="M114" s="111">
        <v>0</v>
      </c>
      <c r="N114" s="80">
        <f t="shared" si="38"/>
        <v>0</v>
      </c>
      <c r="O114" s="111">
        <v>0</v>
      </c>
      <c r="P114" s="80">
        <f t="shared" si="39"/>
        <v>0</v>
      </c>
      <c r="Q114" s="111">
        <v>0</v>
      </c>
      <c r="R114" s="80">
        <f t="shared" si="40"/>
        <v>0</v>
      </c>
      <c r="S114" s="111">
        <v>0</v>
      </c>
      <c r="T114" s="80">
        <f t="shared" si="41"/>
        <v>0</v>
      </c>
      <c r="U114" s="111">
        <v>0</v>
      </c>
      <c r="V114" s="80">
        <f t="shared" si="42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33"/>
        <v>0</v>
      </c>
      <c r="E115" s="112">
        <v>0</v>
      </c>
      <c r="F115" s="80">
        <f t="shared" si="34"/>
        <v>0</v>
      </c>
      <c r="G115" s="112">
        <v>0</v>
      </c>
      <c r="H115" s="80">
        <f t="shared" si="35"/>
        <v>0</v>
      </c>
      <c r="I115" s="112">
        <v>0</v>
      </c>
      <c r="J115" s="80">
        <f t="shared" si="36"/>
        <v>0</v>
      </c>
      <c r="K115" s="112">
        <v>0</v>
      </c>
      <c r="L115" s="80">
        <f t="shared" si="37"/>
        <v>0</v>
      </c>
      <c r="M115" s="112">
        <v>0</v>
      </c>
      <c r="N115" s="80">
        <f t="shared" si="38"/>
        <v>0</v>
      </c>
      <c r="O115" s="112">
        <v>0</v>
      </c>
      <c r="P115" s="80">
        <f t="shared" si="39"/>
        <v>0</v>
      </c>
      <c r="Q115" s="112">
        <v>0</v>
      </c>
      <c r="R115" s="80">
        <f t="shared" si="40"/>
        <v>0</v>
      </c>
      <c r="S115" s="112">
        <v>0</v>
      </c>
      <c r="T115" s="80">
        <f t="shared" si="41"/>
        <v>0</v>
      </c>
      <c r="U115" s="112">
        <v>0</v>
      </c>
      <c r="V115" s="80">
        <f t="shared" si="42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33"/>
        <v>0</v>
      </c>
      <c r="E116" s="85">
        <f>SUM(E111:E115)</f>
        <v>0</v>
      </c>
      <c r="F116" s="83">
        <f t="shared" si="34"/>
        <v>0</v>
      </c>
      <c r="G116" s="85">
        <f>SUM(G111:G115)</f>
        <v>0</v>
      </c>
      <c r="H116" s="83">
        <f t="shared" si="35"/>
        <v>0</v>
      </c>
      <c r="I116" s="85">
        <f>SUM(I111:I115)</f>
        <v>0</v>
      </c>
      <c r="J116" s="83">
        <f t="shared" si="36"/>
        <v>0</v>
      </c>
      <c r="K116" s="85">
        <f>SUM(K111:K115)</f>
        <v>0</v>
      </c>
      <c r="L116" s="83">
        <f t="shared" si="37"/>
        <v>0</v>
      </c>
      <c r="M116" s="85">
        <f>SUM(M111:M115)</f>
        <v>0</v>
      </c>
      <c r="N116" s="83">
        <f t="shared" si="38"/>
        <v>0</v>
      </c>
      <c r="O116" s="85">
        <f>SUM(O111:O115)</f>
        <v>0</v>
      </c>
      <c r="P116" s="83">
        <f t="shared" si="39"/>
        <v>0</v>
      </c>
      <c r="Q116" s="85">
        <f>SUM(Q111:Q115)</f>
        <v>0</v>
      </c>
      <c r="R116" s="83">
        <f t="shared" si="40"/>
        <v>0</v>
      </c>
      <c r="S116" s="85">
        <f>SUM(S111:S115)</f>
        <v>0</v>
      </c>
      <c r="T116" s="83">
        <f t="shared" si="41"/>
        <v>0</v>
      </c>
      <c r="U116" s="85">
        <f>SUM(U111:U115)</f>
        <v>0</v>
      </c>
      <c r="V116" s="83">
        <f t="shared" si="42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7" tint="0.59999389629810485"/>
  </sheetPr>
  <dimension ref="A1:X119"/>
  <sheetViews>
    <sheetView topLeftCell="A12" zoomScale="70" zoomScaleNormal="70" workbookViewId="0" xr3:uid="{C7A11F4D-6E51-5B1A-9CF2-8FFD2B06F078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45.57031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53</v>
      </c>
      <c r="H2" s="34"/>
      <c r="I2" s="34"/>
      <c r="J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Sergio's Cuban Café &amp; Grill (Parking Garage 5)</v>
      </c>
      <c r="H3" s="116"/>
      <c r="I3" s="116"/>
      <c r="J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J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271</v>
      </c>
      <c r="E8" s="109">
        <f>+C8</f>
        <v>271</v>
      </c>
      <c r="G8" s="109">
        <f>+E8</f>
        <v>271</v>
      </c>
      <c r="I8" s="109">
        <f>+G8</f>
        <v>271</v>
      </c>
      <c r="K8" s="109">
        <f>+I8</f>
        <v>271</v>
      </c>
      <c r="M8" s="109">
        <f>+K8</f>
        <v>271</v>
      </c>
      <c r="O8" s="109">
        <f>+M8</f>
        <v>271</v>
      </c>
      <c r="Q8" s="109">
        <f>+O8</f>
        <v>271</v>
      </c>
      <c r="S8" s="109">
        <f>+Q8</f>
        <v>271</v>
      </c>
      <c r="U8" s="109">
        <f>+S8</f>
        <v>271</v>
      </c>
    </row>
    <row r="9" spans="1:22" ht="12.75" customHeight="1">
      <c r="C9" s="186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</row>
    <row r="10" spans="1:22" ht="12.75" customHeight="1">
      <c r="A10" s="2" t="s">
        <v>449</v>
      </c>
      <c r="C10" s="209">
        <f>+C14/C8/C12</f>
        <v>442.80442804428043</v>
      </c>
      <c r="D10" s="186"/>
      <c r="E10" s="209">
        <f>+E14/E8/E12</f>
        <v>392.0357928678888</v>
      </c>
      <c r="F10" s="186"/>
      <c r="G10" s="209">
        <f>+G14/G8/G12</f>
        <v>398.2896971826861</v>
      </c>
      <c r="H10" s="186"/>
      <c r="I10" s="209">
        <f>+I14/I8/I12</f>
        <v>404.64973819698673</v>
      </c>
      <c r="J10" s="186"/>
      <c r="K10" s="209">
        <f>+K14/K8/K12</f>
        <v>411.11776157131652</v>
      </c>
      <c r="L10" s="186"/>
      <c r="M10" s="209">
        <f>+M14/M8/M12</f>
        <v>417.69564575645757</v>
      </c>
      <c r="N10" s="186"/>
      <c r="O10" s="209">
        <f t="shared" ref="O10" si="0">+O14/O8/O12</f>
        <v>424.38530258302586</v>
      </c>
      <c r="P10" s="186"/>
      <c r="Q10" s="209">
        <f t="shared" ref="Q10" si="1">+Q14/Q8/Q12</f>
        <v>431.18867786178873</v>
      </c>
      <c r="R10" s="186"/>
      <c r="S10" s="209">
        <f>+S14/S8/S12</f>
        <v>438.10775199491974</v>
      </c>
      <c r="U10" s="209">
        <f>+U14/U8/U12</f>
        <v>807.09177928862994</v>
      </c>
    </row>
    <row r="12" spans="1:22" ht="12.75" customHeight="1">
      <c r="A12" s="2" t="s">
        <v>450</v>
      </c>
      <c r="C12" s="110">
        <v>7.5</v>
      </c>
      <c r="E12" s="110">
        <v>7.53</v>
      </c>
      <c r="G12" s="110">
        <v>7.56</v>
      </c>
      <c r="I12" s="110">
        <v>7.59</v>
      </c>
      <c r="K12" s="110">
        <v>7.62</v>
      </c>
      <c r="M12" s="110">
        <v>7.65</v>
      </c>
      <c r="O12" s="110">
        <v>7.68</v>
      </c>
      <c r="Q12" s="110">
        <v>7.71</v>
      </c>
      <c r="S12" s="110">
        <v>7.74</v>
      </c>
      <c r="U12" s="110">
        <v>7.7770000000000001</v>
      </c>
    </row>
    <row r="14" spans="1:22" ht="12.75" customHeight="1">
      <c r="A14" s="2" t="s">
        <v>451</v>
      </c>
      <c r="C14" s="206">
        <v>900000</v>
      </c>
      <c r="D14" s="12"/>
      <c r="E14" s="206">
        <v>800000</v>
      </c>
      <c r="F14" s="12"/>
      <c r="G14" s="206">
        <f>+E14*1.02</f>
        <v>816000</v>
      </c>
      <c r="H14" s="12"/>
      <c r="I14" s="206">
        <f>+G14*1.02</f>
        <v>832320</v>
      </c>
      <c r="J14" s="12"/>
      <c r="K14" s="206">
        <f>+I14*1.02</f>
        <v>848966.4</v>
      </c>
      <c r="L14" s="12"/>
      <c r="M14" s="206">
        <f>+K14*1.02</f>
        <v>865945.728</v>
      </c>
      <c r="N14" s="12"/>
      <c r="O14" s="206">
        <f>+M14*1.02</f>
        <v>883264.64256000007</v>
      </c>
      <c r="P14" s="12"/>
      <c r="Q14" s="206">
        <f>+O14*1.02</f>
        <v>900929.93541120004</v>
      </c>
      <c r="R14" s="12"/>
      <c r="S14" s="206">
        <f>+Q14*1.02</f>
        <v>918948.53411942406</v>
      </c>
      <c r="T14" s="12"/>
      <c r="U14" s="206">
        <v>1701000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</f>
        <v>788580</v>
      </c>
      <c r="D19" s="80">
        <f>IFERROR(C19/C$28,0)</f>
        <v>0.87619999999999998</v>
      </c>
      <c r="E19" s="208">
        <f>+E14-E20</f>
        <v>373839.99999999994</v>
      </c>
      <c r="F19" s="80">
        <f>IFERROR(E19/E$28,0)</f>
        <v>0.46729999999999994</v>
      </c>
      <c r="G19" s="208">
        <f>+G14-G20</f>
        <v>381316.79999999993</v>
      </c>
      <c r="H19" s="80">
        <f>IFERROR(G19/G$28,0)</f>
        <v>0.46729999999999994</v>
      </c>
      <c r="I19" s="208">
        <f>+I14-I20</f>
        <v>388943.13599999994</v>
      </c>
      <c r="J19" s="80">
        <f>IFERROR(I19/I$28,0)</f>
        <v>0.46729999999999994</v>
      </c>
      <c r="K19" s="208">
        <f>+K14-K20</f>
        <v>396721.99871999997</v>
      </c>
      <c r="L19" s="80">
        <f>IFERROR(K19/K$28,0)</f>
        <v>0.46729999999999994</v>
      </c>
      <c r="M19" s="208">
        <f>+M14-M20</f>
        <v>404656.43869439996</v>
      </c>
      <c r="N19" s="80">
        <f>IFERROR(M19/M$28,0)</f>
        <v>0.46729999999999994</v>
      </c>
      <c r="O19" s="208">
        <f>+O14-O20</f>
        <v>412749.56746828801</v>
      </c>
      <c r="P19" s="80">
        <f>IFERROR(O19/O$28,0)</f>
        <v>0.46729999999999999</v>
      </c>
      <c r="Q19" s="208">
        <f>+Q14-Q20</f>
        <v>421004.55881765374</v>
      </c>
      <c r="R19" s="80">
        <f>IFERROR(Q19/Q$28,0)</f>
        <v>0.46729999999999994</v>
      </c>
      <c r="S19" s="208">
        <f>+S14-S20</f>
        <v>429424.64999400685</v>
      </c>
      <c r="T19" s="80">
        <f>IFERROR(S19/S$28,0)</f>
        <v>0.46729999999999999</v>
      </c>
      <c r="U19" s="208">
        <f>+U14-U20</f>
        <v>1201685.6381920744</v>
      </c>
      <c r="V19" s="80">
        <f>IFERROR(U19/U$28,0)</f>
        <v>0.706458341088815</v>
      </c>
    </row>
    <row r="20" spans="1:24" ht="12.75" customHeight="1">
      <c r="A20" s="2" t="s">
        <v>357</v>
      </c>
      <c r="B20" s="35"/>
      <c r="C20" s="111">
        <f>+C14*12.38%</f>
        <v>111420</v>
      </c>
      <c r="D20" s="80">
        <f>IFERROR(C20/C$28,0)</f>
        <v>0.12379999999999999</v>
      </c>
      <c r="E20" s="111">
        <f>+E14*53.27%</f>
        <v>426160.00000000006</v>
      </c>
      <c r="F20" s="80">
        <f>IFERROR(E20/E$28,0)</f>
        <v>0.53270000000000006</v>
      </c>
      <c r="G20" s="111">
        <f t="shared" ref="G20:U21" si="2">E20*1.02</f>
        <v>434683.20000000007</v>
      </c>
      <c r="H20" s="80">
        <f>IFERROR(G20/G$28,0)</f>
        <v>0.53270000000000006</v>
      </c>
      <c r="I20" s="111">
        <f t="shared" si="2"/>
        <v>443376.86400000006</v>
      </c>
      <c r="J20" s="80">
        <f>IFERROR(I20/I$28,0)</f>
        <v>0.53270000000000006</v>
      </c>
      <c r="K20" s="111">
        <f t="shared" si="2"/>
        <v>452244.40128000005</v>
      </c>
      <c r="L20" s="80">
        <f>IFERROR(K20/K$28,0)</f>
        <v>0.53270000000000006</v>
      </c>
      <c r="M20" s="111">
        <f t="shared" si="2"/>
        <v>461289.28930560005</v>
      </c>
      <c r="N20" s="80">
        <f>IFERROR(M20/M$28,0)</f>
        <v>0.53270000000000006</v>
      </c>
      <c r="O20" s="111">
        <f t="shared" si="2"/>
        <v>470515.07509171206</v>
      </c>
      <c r="P20" s="80">
        <f>IFERROR(O20/O$28,0)</f>
        <v>0.53270000000000006</v>
      </c>
      <c r="Q20" s="111">
        <f t="shared" si="2"/>
        <v>479925.3765935463</v>
      </c>
      <c r="R20" s="80">
        <f>IFERROR(Q20/Q$28,0)</f>
        <v>0.53270000000000006</v>
      </c>
      <c r="S20" s="111">
        <f t="shared" si="2"/>
        <v>489523.88412541721</v>
      </c>
      <c r="T20" s="80">
        <f>IFERROR(S20/S$28,0)</f>
        <v>0.53270000000000006</v>
      </c>
      <c r="U20" s="111">
        <f t="shared" si="2"/>
        <v>499314.36180792557</v>
      </c>
      <c r="V20" s="80">
        <f>IFERROR(U20/U$28,0)</f>
        <v>0.29354165891118494</v>
      </c>
    </row>
    <row r="21" spans="1:24" ht="12.75" customHeight="1">
      <c r="A21" s="2" t="s">
        <v>358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2"/>
        <v>0</v>
      </c>
      <c r="H21" s="80">
        <f>IFERROR(G21/G$28,0)</f>
        <v>0</v>
      </c>
      <c r="I21" s="111">
        <f t="shared" si="2"/>
        <v>0</v>
      </c>
      <c r="J21" s="80">
        <f>IFERROR(I21/I$28,0)</f>
        <v>0</v>
      </c>
      <c r="K21" s="111">
        <f t="shared" si="2"/>
        <v>0</v>
      </c>
      <c r="L21" s="80">
        <f>IFERROR(K21/K$28,0)</f>
        <v>0</v>
      </c>
      <c r="M21" s="111">
        <f t="shared" si="2"/>
        <v>0</v>
      </c>
      <c r="N21" s="80">
        <f>IFERROR(M21/M$28,0)</f>
        <v>0</v>
      </c>
      <c r="O21" s="111">
        <f t="shared" si="2"/>
        <v>0</v>
      </c>
      <c r="P21" s="80">
        <f>IFERROR(O21/O$28,0)</f>
        <v>0</v>
      </c>
      <c r="Q21" s="111">
        <f t="shared" si="2"/>
        <v>0</v>
      </c>
      <c r="R21" s="80">
        <f>IFERROR(Q21/Q$28,0)</f>
        <v>0</v>
      </c>
      <c r="S21" s="111">
        <f t="shared" si="2"/>
        <v>0</v>
      </c>
      <c r="T21" s="80">
        <f>IFERROR(S21/S$28,0)</f>
        <v>0</v>
      </c>
      <c r="U21" s="111">
        <f t="shared" si="2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3">IFERROR(C23/C$28,0)</f>
        <v>0</v>
      </c>
      <c r="E23" s="79"/>
      <c r="F23" s="80">
        <f t="shared" ref="F23:F28" si="4">IFERROR(E23/E$28,0)</f>
        <v>0</v>
      </c>
      <c r="G23" s="79"/>
      <c r="H23" s="80">
        <f t="shared" ref="H23:H28" si="5">IFERROR(G23/G$28,0)</f>
        <v>0</v>
      </c>
      <c r="I23" s="79"/>
      <c r="J23" s="80">
        <f t="shared" ref="J23:J28" si="6">IFERROR(I23/I$28,0)</f>
        <v>0</v>
      </c>
      <c r="K23" s="79"/>
      <c r="L23" s="80">
        <f t="shared" ref="L23:L28" si="7">IFERROR(K23/K$28,0)</f>
        <v>0</v>
      </c>
      <c r="M23" s="79"/>
      <c r="N23" s="80">
        <f t="shared" ref="N23:N28" si="8">IFERROR(M23/M$28,0)</f>
        <v>0</v>
      </c>
      <c r="O23" s="79"/>
      <c r="P23" s="80">
        <f t="shared" ref="P23:P28" si="9">IFERROR(O23/O$28,0)</f>
        <v>0</v>
      </c>
      <c r="Q23" s="79"/>
      <c r="R23" s="80">
        <f t="shared" ref="R23:R28" si="10">IFERROR(Q23/Q$28,0)</f>
        <v>0</v>
      </c>
      <c r="S23" s="79"/>
      <c r="T23" s="80">
        <f t="shared" ref="T23:T28" si="11">IFERROR(S23/S$28,0)</f>
        <v>0</v>
      </c>
      <c r="U23" s="79"/>
      <c r="V23" s="80">
        <f t="shared" ref="V23:V28" si="12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3"/>
        <v>0</v>
      </c>
      <c r="E24" s="79"/>
      <c r="F24" s="80">
        <f t="shared" si="4"/>
        <v>0</v>
      </c>
      <c r="G24" s="79"/>
      <c r="H24" s="80">
        <f t="shared" si="5"/>
        <v>0</v>
      </c>
      <c r="I24" s="79"/>
      <c r="J24" s="80">
        <f t="shared" si="6"/>
        <v>0</v>
      </c>
      <c r="K24" s="79"/>
      <c r="L24" s="80">
        <f t="shared" si="7"/>
        <v>0</v>
      </c>
      <c r="M24" s="79"/>
      <c r="N24" s="80">
        <f t="shared" si="8"/>
        <v>0</v>
      </c>
      <c r="O24" s="79"/>
      <c r="P24" s="80">
        <f t="shared" si="9"/>
        <v>0</v>
      </c>
      <c r="Q24" s="79"/>
      <c r="R24" s="80">
        <f t="shared" si="10"/>
        <v>0</v>
      </c>
      <c r="S24" s="79"/>
      <c r="T24" s="80">
        <f t="shared" si="11"/>
        <v>0</v>
      </c>
      <c r="U24" s="79"/>
      <c r="V24" s="80">
        <f t="shared" si="12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3"/>
        <v>0</v>
      </c>
      <c r="E25" s="111"/>
      <c r="F25" s="80">
        <f t="shared" si="4"/>
        <v>0</v>
      </c>
      <c r="G25" s="111"/>
      <c r="H25" s="80">
        <f t="shared" si="5"/>
        <v>0</v>
      </c>
      <c r="I25" s="111"/>
      <c r="J25" s="80">
        <f t="shared" si="6"/>
        <v>0</v>
      </c>
      <c r="K25" s="111"/>
      <c r="L25" s="80">
        <f t="shared" si="7"/>
        <v>0</v>
      </c>
      <c r="M25" s="111"/>
      <c r="N25" s="80">
        <f t="shared" si="8"/>
        <v>0</v>
      </c>
      <c r="O25" s="111"/>
      <c r="P25" s="80">
        <f t="shared" si="9"/>
        <v>0</v>
      </c>
      <c r="Q25" s="111"/>
      <c r="R25" s="80">
        <f t="shared" si="10"/>
        <v>0</v>
      </c>
      <c r="S25" s="111"/>
      <c r="T25" s="80">
        <f t="shared" si="11"/>
        <v>0</v>
      </c>
      <c r="U25" s="111"/>
      <c r="V25" s="80">
        <f t="shared" si="12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3"/>
        <v>0</v>
      </c>
      <c r="E26" s="79"/>
      <c r="F26" s="80">
        <f t="shared" si="4"/>
        <v>0</v>
      </c>
      <c r="G26" s="79"/>
      <c r="H26" s="80">
        <f t="shared" si="5"/>
        <v>0</v>
      </c>
      <c r="I26" s="79"/>
      <c r="J26" s="80">
        <f t="shared" si="6"/>
        <v>0</v>
      </c>
      <c r="K26" s="79"/>
      <c r="L26" s="80">
        <f t="shared" si="7"/>
        <v>0</v>
      </c>
      <c r="M26" s="79"/>
      <c r="N26" s="80">
        <f t="shared" si="8"/>
        <v>0</v>
      </c>
      <c r="O26" s="79"/>
      <c r="P26" s="80">
        <f t="shared" si="9"/>
        <v>0</v>
      </c>
      <c r="Q26" s="79"/>
      <c r="R26" s="80">
        <f t="shared" si="10"/>
        <v>0</v>
      </c>
      <c r="S26" s="79"/>
      <c r="T26" s="80">
        <f t="shared" si="11"/>
        <v>0</v>
      </c>
      <c r="U26" s="79"/>
      <c r="V26" s="80">
        <f t="shared" si="12"/>
        <v>0</v>
      </c>
    </row>
    <row r="27" spans="1:24" ht="12.75" customHeight="1">
      <c r="A27" s="2" t="s">
        <v>364</v>
      </c>
      <c r="B27" s="35"/>
      <c r="C27" s="112"/>
      <c r="D27" s="80">
        <f t="shared" si="3"/>
        <v>0</v>
      </c>
      <c r="E27" s="112"/>
      <c r="F27" s="80">
        <f t="shared" si="4"/>
        <v>0</v>
      </c>
      <c r="G27" s="112"/>
      <c r="H27" s="80">
        <f t="shared" si="5"/>
        <v>0</v>
      </c>
      <c r="I27" s="112"/>
      <c r="J27" s="80">
        <f t="shared" si="6"/>
        <v>0</v>
      </c>
      <c r="K27" s="112"/>
      <c r="L27" s="80">
        <f t="shared" si="7"/>
        <v>0</v>
      </c>
      <c r="M27" s="112"/>
      <c r="N27" s="80">
        <f t="shared" si="8"/>
        <v>0</v>
      </c>
      <c r="O27" s="112"/>
      <c r="P27" s="80">
        <f t="shared" si="9"/>
        <v>0</v>
      </c>
      <c r="Q27" s="112"/>
      <c r="R27" s="80">
        <f t="shared" si="10"/>
        <v>0</v>
      </c>
      <c r="S27" s="112"/>
      <c r="T27" s="80">
        <f t="shared" si="11"/>
        <v>0</v>
      </c>
      <c r="U27" s="112"/>
      <c r="V27" s="80">
        <f t="shared" si="12"/>
        <v>0</v>
      </c>
    </row>
    <row r="28" spans="1:24" ht="12.75" customHeight="1">
      <c r="A28" s="1" t="s">
        <v>365</v>
      </c>
      <c r="B28" s="53"/>
      <c r="C28" s="82">
        <f>SUM(C19:C27)</f>
        <v>900000</v>
      </c>
      <c r="D28" s="83">
        <f t="shared" si="3"/>
        <v>1</v>
      </c>
      <c r="E28" s="82">
        <f>SUM(E19:E27)</f>
        <v>800000</v>
      </c>
      <c r="F28" s="83">
        <f t="shared" si="4"/>
        <v>1</v>
      </c>
      <c r="G28" s="82">
        <f>SUM(G19:G27)</f>
        <v>816000</v>
      </c>
      <c r="H28" s="83">
        <f t="shared" si="5"/>
        <v>1</v>
      </c>
      <c r="I28" s="82">
        <f>SUM(I19:I27)</f>
        <v>832320</v>
      </c>
      <c r="J28" s="83">
        <f t="shared" si="6"/>
        <v>1</v>
      </c>
      <c r="K28" s="82">
        <f>SUM(K19:K27)</f>
        <v>848966.4</v>
      </c>
      <c r="L28" s="83">
        <f t="shared" si="7"/>
        <v>1</v>
      </c>
      <c r="M28" s="82">
        <f>SUM(M19:M27)</f>
        <v>865945.728</v>
      </c>
      <c r="N28" s="83">
        <f t="shared" si="8"/>
        <v>1</v>
      </c>
      <c r="O28" s="82">
        <f>SUM(O19:O27)</f>
        <v>883264.64256000007</v>
      </c>
      <c r="P28" s="83">
        <f t="shared" si="9"/>
        <v>1</v>
      </c>
      <c r="Q28" s="82">
        <f>SUM(Q19:Q27)</f>
        <v>900929.93541120004</v>
      </c>
      <c r="R28" s="83">
        <f t="shared" si="10"/>
        <v>1</v>
      </c>
      <c r="S28" s="82">
        <f>SUM(S19:S27)</f>
        <v>918948.53411942406</v>
      </c>
      <c r="T28" s="83">
        <f t="shared" si="11"/>
        <v>1</v>
      </c>
      <c r="U28" s="82">
        <f>SUM(U19:U27)</f>
        <v>1701000</v>
      </c>
      <c r="V28" s="83">
        <f t="shared" si="12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0.33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297000</v>
      </c>
      <c r="D31" s="80">
        <f>IFERROR(C31/C$28,0)</f>
        <v>0.33</v>
      </c>
      <c r="E31" s="179">
        <f>$C$30*E14</f>
        <v>264000</v>
      </c>
      <c r="F31" s="80">
        <f>IFERROR(E31/E$28,0)</f>
        <v>0.33</v>
      </c>
      <c r="G31" s="179">
        <f>$C$30*G14</f>
        <v>269280</v>
      </c>
      <c r="H31" s="80">
        <f>IFERROR(G31/G$28,0)</f>
        <v>0.33</v>
      </c>
      <c r="I31" s="179">
        <f>$C$30*I14</f>
        <v>274665.60000000003</v>
      </c>
      <c r="J31" s="80">
        <f>IFERROR(I31/I$28,0)</f>
        <v>0.33</v>
      </c>
      <c r="K31" s="179">
        <f>$C$30*K14</f>
        <v>280158.91200000001</v>
      </c>
      <c r="L31" s="80">
        <f>IFERROR(K31/K$28,0)</f>
        <v>0.33</v>
      </c>
      <c r="M31" s="179">
        <f>$C$30*M14</f>
        <v>285762.09023999999</v>
      </c>
      <c r="N31" s="80">
        <f>IFERROR(M31/M$28,0)</f>
        <v>0.33</v>
      </c>
      <c r="O31" s="179">
        <f>$C$30*O14</f>
        <v>291477.33204480004</v>
      </c>
      <c r="P31" s="80">
        <f>IFERROR(O31/O$28,0)</f>
        <v>0.33</v>
      </c>
      <c r="Q31" s="179">
        <f>$C$30*Q14</f>
        <v>297306.87868569605</v>
      </c>
      <c r="R31" s="80">
        <f>IFERROR(Q31/Q$28,0)</f>
        <v>0.33</v>
      </c>
      <c r="S31" s="179">
        <f>$C$30*S14</f>
        <v>303253.01625940995</v>
      </c>
      <c r="T31" s="80">
        <f>IFERROR(S31/S$28,0)</f>
        <v>0.33</v>
      </c>
      <c r="U31" s="179">
        <f>$C$30*U14</f>
        <v>561330</v>
      </c>
      <c r="V31" s="80">
        <f>IFERROR(U31/U$28,0)</f>
        <v>0.33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297000</v>
      </c>
      <c r="D33" s="83">
        <f>IFERROR(C33/C$28,0)</f>
        <v>0.33</v>
      </c>
      <c r="E33" s="82">
        <f>SUM(E31:E32)</f>
        <v>264000</v>
      </c>
      <c r="F33" s="83">
        <f>IFERROR(E33/E$28,0)</f>
        <v>0.33</v>
      </c>
      <c r="G33" s="82">
        <f>SUM(G31:G32)</f>
        <v>269280</v>
      </c>
      <c r="H33" s="83">
        <f>IFERROR(G33/G$28,0)</f>
        <v>0.33</v>
      </c>
      <c r="I33" s="82">
        <f>SUM(I31:I32)</f>
        <v>274665.60000000003</v>
      </c>
      <c r="J33" s="83">
        <f>IFERROR(I33/I$28,0)</f>
        <v>0.33</v>
      </c>
      <c r="K33" s="82">
        <f>SUM(K31:K32)</f>
        <v>280158.91200000001</v>
      </c>
      <c r="L33" s="83">
        <f>IFERROR(K33/K$28,0)</f>
        <v>0.33</v>
      </c>
      <c r="M33" s="82">
        <f>SUM(M31:M32)</f>
        <v>285762.09023999999</v>
      </c>
      <c r="N33" s="83">
        <f>IFERROR(M33/M$28,0)</f>
        <v>0.33</v>
      </c>
      <c r="O33" s="82">
        <f>SUM(O31:O32)</f>
        <v>291477.33204480004</v>
      </c>
      <c r="P33" s="83">
        <f>IFERROR(O33/O$28,0)</f>
        <v>0.33</v>
      </c>
      <c r="Q33" s="82">
        <f>SUM(Q31:Q32)</f>
        <v>297306.87868569605</v>
      </c>
      <c r="R33" s="83">
        <f>IFERROR(Q33/Q$28,0)</f>
        <v>0.33</v>
      </c>
      <c r="S33" s="82">
        <f>SUM(S31:S32)</f>
        <v>303253.01625940995</v>
      </c>
      <c r="T33" s="83">
        <f>IFERROR(S33/S$28,0)</f>
        <v>0.33</v>
      </c>
      <c r="U33" s="82">
        <f>SUM(U31:U32)</f>
        <v>561330</v>
      </c>
      <c r="V33" s="83">
        <f>IFERROR(U33/U$28,0)</f>
        <v>0.33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>
        <v>0</v>
      </c>
      <c r="D36" s="80">
        <f t="shared" ref="D36:D46" si="13">IFERROR(C36/C$28,0)</f>
        <v>0</v>
      </c>
      <c r="E36" s="179">
        <v>0</v>
      </c>
      <c r="F36" s="80">
        <f t="shared" ref="F36:F46" si="14">IFERROR(E36/E$28,0)</f>
        <v>0</v>
      </c>
      <c r="G36" s="179">
        <v>0</v>
      </c>
      <c r="H36" s="80">
        <f t="shared" ref="H36:H46" si="15">IFERROR(G36/G$28,0)</f>
        <v>0</v>
      </c>
      <c r="I36" s="179">
        <v>0</v>
      </c>
      <c r="J36" s="80">
        <f t="shared" ref="J36:J46" si="16">IFERROR(I36/I$28,0)</f>
        <v>0</v>
      </c>
      <c r="K36" s="179">
        <v>0</v>
      </c>
      <c r="L36" s="80">
        <f t="shared" ref="L36:L46" si="17">IFERROR(K36/K$28,0)</f>
        <v>0</v>
      </c>
      <c r="M36" s="179">
        <v>0</v>
      </c>
      <c r="N36" s="80">
        <f t="shared" ref="N36:N46" si="18">IFERROR(M36/M$28,0)</f>
        <v>0</v>
      </c>
      <c r="O36" s="179">
        <v>0</v>
      </c>
      <c r="P36" s="80">
        <f t="shared" ref="P36:P46" si="19">IFERROR(O36/O$28,0)</f>
        <v>0</v>
      </c>
      <c r="Q36" s="179">
        <v>0</v>
      </c>
      <c r="R36" s="80">
        <f t="shared" ref="R36:R46" si="20">IFERROR(Q36/Q$28,0)</f>
        <v>0</v>
      </c>
      <c r="S36" s="179">
        <v>0</v>
      </c>
      <c r="T36" s="80">
        <f t="shared" ref="T36:T46" si="21">IFERROR(S36/S$28,0)</f>
        <v>0</v>
      </c>
      <c r="U36" s="179">
        <v>0</v>
      </c>
      <c r="V36" s="80">
        <f t="shared" ref="V36:V46" si="22">IFERROR(U36/U$28,0)</f>
        <v>0</v>
      </c>
    </row>
    <row r="37" spans="1:22" ht="12.75" customHeight="1">
      <c r="A37" s="2" t="s">
        <v>372</v>
      </c>
      <c r="B37" s="35"/>
      <c r="C37" s="179">
        <v>57937</v>
      </c>
      <c r="D37" s="80">
        <f t="shared" si="13"/>
        <v>6.4374444444444442E-2</v>
      </c>
      <c r="E37" s="179">
        <f>+C37*1.112</f>
        <v>64425.944000000003</v>
      </c>
      <c r="F37" s="80">
        <f t="shared" si="14"/>
        <v>8.0532430000000002E-2</v>
      </c>
      <c r="G37" s="179">
        <f>+E37*1.035</f>
        <v>66680.852039999998</v>
      </c>
      <c r="H37" s="80">
        <f t="shared" si="15"/>
        <v>8.1716730441176472E-2</v>
      </c>
      <c r="I37" s="179">
        <f>+G37*1.032</f>
        <v>68814.639305279998</v>
      </c>
      <c r="J37" s="80">
        <f t="shared" si="16"/>
        <v>8.2678103740484427E-2</v>
      </c>
      <c r="K37" s="179">
        <f>+I37*1.025</f>
        <v>70535.00528791199</v>
      </c>
      <c r="L37" s="80">
        <f t="shared" si="17"/>
        <v>8.3083388562741695E-2</v>
      </c>
      <c r="M37" s="179">
        <f>+K37*1.025</f>
        <v>72298.380420109781</v>
      </c>
      <c r="N37" s="80">
        <f t="shared" si="18"/>
        <v>8.3490660075304146E-2</v>
      </c>
      <c r="O37" s="179">
        <f>+M37*1.025</f>
        <v>74105.839930612521</v>
      </c>
      <c r="P37" s="80">
        <f t="shared" si="19"/>
        <v>8.3899928016849742E-2</v>
      </c>
      <c r="Q37" s="179">
        <f>+O37*1.025</f>
        <v>75958.485928877824</v>
      </c>
      <c r="R37" s="80">
        <f t="shared" si="20"/>
        <v>8.4311202173795077E-2</v>
      </c>
      <c r="S37" s="179">
        <f>+Q37*1.025</f>
        <v>77857.448077099762</v>
      </c>
      <c r="T37" s="80">
        <f t="shared" si="21"/>
        <v>8.4724492380529356E-2</v>
      </c>
      <c r="U37" s="179">
        <f>+S37*1.025</f>
        <v>79803.884279027247</v>
      </c>
      <c r="V37" s="80">
        <f t="shared" si="22"/>
        <v>4.6915863773678568E-2</v>
      </c>
    </row>
    <row r="38" spans="1:22" ht="12.75" customHeight="1">
      <c r="A38" s="2" t="s">
        <v>373</v>
      </c>
      <c r="B38" s="35"/>
      <c r="C38" s="179">
        <v>0</v>
      </c>
      <c r="D38" s="80">
        <f t="shared" si="13"/>
        <v>0</v>
      </c>
      <c r="E38" s="179">
        <f t="shared" ref="E38:E39" si="23">+C38*1.112</f>
        <v>0</v>
      </c>
      <c r="F38" s="80">
        <f t="shared" si="14"/>
        <v>0</v>
      </c>
      <c r="G38" s="179">
        <f>+E38*1.035</f>
        <v>0</v>
      </c>
      <c r="H38" s="80">
        <f t="shared" si="15"/>
        <v>0</v>
      </c>
      <c r="I38" s="179">
        <f>+G38*1.032</f>
        <v>0</v>
      </c>
      <c r="J38" s="80">
        <f t="shared" si="16"/>
        <v>0</v>
      </c>
      <c r="K38" s="179">
        <f>+I38*1.025</f>
        <v>0</v>
      </c>
      <c r="L38" s="80">
        <f t="shared" si="17"/>
        <v>0</v>
      </c>
      <c r="M38" s="179">
        <f>+K38*1.025</f>
        <v>0</v>
      </c>
      <c r="N38" s="80">
        <f t="shared" si="18"/>
        <v>0</v>
      </c>
      <c r="O38" s="179">
        <f>+M38*1.025</f>
        <v>0</v>
      </c>
      <c r="P38" s="80">
        <f t="shared" si="19"/>
        <v>0</v>
      </c>
      <c r="Q38" s="179">
        <f>+O38*1.025</f>
        <v>0</v>
      </c>
      <c r="R38" s="80">
        <f t="shared" si="20"/>
        <v>0</v>
      </c>
      <c r="S38" s="179">
        <f>+Q38*1.025</f>
        <v>0</v>
      </c>
      <c r="T38" s="80">
        <f t="shared" si="21"/>
        <v>0</v>
      </c>
      <c r="U38" s="179">
        <f>+S38*1.025</f>
        <v>0</v>
      </c>
      <c r="V38" s="80">
        <f t="shared" si="22"/>
        <v>0</v>
      </c>
    </row>
    <row r="39" spans="1:22" ht="12.75" customHeight="1">
      <c r="A39" s="2" t="s">
        <v>374</v>
      </c>
      <c r="B39" s="35"/>
      <c r="C39" s="179">
        <v>58026</v>
      </c>
      <c r="D39" s="80">
        <f t="shared" si="13"/>
        <v>6.4473333333333327E-2</v>
      </c>
      <c r="E39" s="179">
        <f t="shared" si="23"/>
        <v>64524.912000000004</v>
      </c>
      <c r="F39" s="80">
        <f t="shared" si="14"/>
        <v>8.0656140000000001E-2</v>
      </c>
      <c r="G39" s="179">
        <f>+E39*1.035</f>
        <v>66783.283920000002</v>
      </c>
      <c r="H39" s="80">
        <f t="shared" si="15"/>
        <v>8.1842259705882353E-2</v>
      </c>
      <c r="I39" s="179">
        <f>+G39*1.032</f>
        <v>68920.349005440003</v>
      </c>
      <c r="J39" s="80">
        <f t="shared" si="16"/>
        <v>8.2805109820069209E-2</v>
      </c>
      <c r="K39" s="179">
        <f>+I39*1.025</f>
        <v>70643.357730575997</v>
      </c>
      <c r="L39" s="80">
        <f t="shared" si="17"/>
        <v>8.3211017221147973E-2</v>
      </c>
      <c r="M39" s="179">
        <f>+K39*1.025</f>
        <v>72409.441673840396</v>
      </c>
      <c r="N39" s="80">
        <f t="shared" si="18"/>
        <v>8.3618914364388897E-2</v>
      </c>
      <c r="O39" s="179">
        <f>+M39*1.025</f>
        <v>74219.677715686397</v>
      </c>
      <c r="P39" s="80">
        <f t="shared" si="19"/>
        <v>8.4028811003430001E-2</v>
      </c>
      <c r="Q39" s="179">
        <f>+O39*1.025</f>
        <v>76075.169658578554</v>
      </c>
      <c r="R39" s="80">
        <f t="shared" si="20"/>
        <v>8.4440716939721314E-2</v>
      </c>
      <c r="S39" s="179">
        <f>+Q39*1.025</f>
        <v>77977.04890004301</v>
      </c>
      <c r="T39" s="80">
        <f t="shared" si="21"/>
        <v>8.4854642022759164E-2</v>
      </c>
      <c r="U39" s="179">
        <f>+S39*1.025</f>
        <v>79926.475122544085</v>
      </c>
      <c r="V39" s="80">
        <f t="shared" si="22"/>
        <v>4.6987933640531505E-2</v>
      </c>
    </row>
    <row r="40" spans="1:22" ht="12.75" customHeight="1">
      <c r="A40" s="2" t="s">
        <v>375</v>
      </c>
      <c r="B40" s="35"/>
      <c r="C40" s="179">
        <f>C36*0.124</f>
        <v>0</v>
      </c>
      <c r="D40" s="80">
        <f t="shared" si="13"/>
        <v>0</v>
      </c>
      <c r="E40" s="179">
        <f>E36*0.124</f>
        <v>0</v>
      </c>
      <c r="F40" s="80">
        <f t="shared" si="14"/>
        <v>0</v>
      </c>
      <c r="G40" s="179">
        <f>G36*0.124</f>
        <v>0</v>
      </c>
      <c r="H40" s="80">
        <f t="shared" si="15"/>
        <v>0</v>
      </c>
      <c r="I40" s="179">
        <f>I36*0.124</f>
        <v>0</v>
      </c>
      <c r="J40" s="80">
        <f t="shared" si="16"/>
        <v>0</v>
      </c>
      <c r="K40" s="179">
        <f>K36*0.124</f>
        <v>0</v>
      </c>
      <c r="L40" s="80">
        <f t="shared" si="17"/>
        <v>0</v>
      </c>
      <c r="M40" s="179">
        <f>M36*0.124</f>
        <v>0</v>
      </c>
      <c r="N40" s="80">
        <f t="shared" si="18"/>
        <v>0</v>
      </c>
      <c r="O40" s="179">
        <f>O36*0.124</f>
        <v>0</v>
      </c>
      <c r="P40" s="80">
        <f t="shared" si="19"/>
        <v>0</v>
      </c>
      <c r="Q40" s="179">
        <f>Q36*0.124</f>
        <v>0</v>
      </c>
      <c r="R40" s="80">
        <f t="shared" si="20"/>
        <v>0</v>
      </c>
      <c r="S40" s="179">
        <f>S36*0.124</f>
        <v>0</v>
      </c>
      <c r="T40" s="80">
        <f t="shared" si="21"/>
        <v>0</v>
      </c>
      <c r="U40" s="179">
        <f>U36*0.124</f>
        <v>0</v>
      </c>
      <c r="V40" s="80">
        <f t="shared" si="22"/>
        <v>0</v>
      </c>
    </row>
    <row r="41" spans="1:22" ht="12.75" customHeight="1">
      <c r="A41" s="2" t="s">
        <v>376</v>
      </c>
      <c r="B41" s="35"/>
      <c r="C41" s="179">
        <f>C37*0.124</f>
        <v>7184.1880000000001</v>
      </c>
      <c r="D41" s="80">
        <f t="shared" si="13"/>
        <v>7.9824311111111115E-3</v>
      </c>
      <c r="E41" s="179">
        <f>E37*0.124</f>
        <v>7988.8170560000008</v>
      </c>
      <c r="F41" s="80">
        <f t="shared" si="14"/>
        <v>9.9860213200000016E-3</v>
      </c>
      <c r="G41" s="179">
        <f>G37*0.124</f>
        <v>8268.4256529599988</v>
      </c>
      <c r="H41" s="80">
        <f t="shared" si="15"/>
        <v>1.013287457470588E-2</v>
      </c>
      <c r="I41" s="179">
        <f>I37*0.124</f>
        <v>8533.0152738547204</v>
      </c>
      <c r="J41" s="80">
        <f t="shared" si="16"/>
        <v>1.0252084863820069E-2</v>
      </c>
      <c r="K41" s="179">
        <f>K37*0.124</f>
        <v>8746.3406557010876</v>
      </c>
      <c r="L41" s="80">
        <f t="shared" si="17"/>
        <v>1.0302340181779971E-2</v>
      </c>
      <c r="M41" s="179">
        <f>M37*0.124</f>
        <v>8964.9991720936123</v>
      </c>
      <c r="N41" s="80">
        <f t="shared" si="18"/>
        <v>1.0352841849337713E-2</v>
      </c>
      <c r="O41" s="179">
        <f>O37*0.124</f>
        <v>9189.1241513959521</v>
      </c>
      <c r="P41" s="80">
        <f t="shared" si="19"/>
        <v>1.0403591074089367E-2</v>
      </c>
      <c r="Q41" s="179">
        <f>Q37*0.124</f>
        <v>9418.852255180851</v>
      </c>
      <c r="R41" s="80">
        <f t="shared" si="20"/>
        <v>1.0454589069550589E-2</v>
      </c>
      <c r="S41" s="179">
        <f>S37*0.124</f>
        <v>9654.3235615603699</v>
      </c>
      <c r="T41" s="80">
        <f t="shared" si="21"/>
        <v>1.050583705518564E-2</v>
      </c>
      <c r="U41" s="179">
        <f>U37*0.124</f>
        <v>9895.6816505993793</v>
      </c>
      <c r="V41" s="80">
        <f t="shared" si="22"/>
        <v>5.8175671079361427E-3</v>
      </c>
    </row>
    <row r="42" spans="1:22" ht="12.75" customHeight="1">
      <c r="A42" s="2" t="s">
        <v>377</v>
      </c>
      <c r="B42" s="35"/>
      <c r="C42" s="179"/>
      <c r="D42" s="80">
        <f t="shared" si="13"/>
        <v>0</v>
      </c>
      <c r="E42" s="179"/>
      <c r="F42" s="80">
        <f t="shared" si="14"/>
        <v>0</v>
      </c>
      <c r="G42" s="179"/>
      <c r="H42" s="80">
        <f t="shared" si="15"/>
        <v>0</v>
      </c>
      <c r="I42" s="179"/>
      <c r="J42" s="80">
        <f t="shared" si="16"/>
        <v>0</v>
      </c>
      <c r="K42" s="179"/>
      <c r="L42" s="80">
        <f t="shared" si="17"/>
        <v>0</v>
      </c>
      <c r="M42" s="179"/>
      <c r="N42" s="80">
        <f t="shared" si="18"/>
        <v>0</v>
      </c>
      <c r="O42" s="179"/>
      <c r="P42" s="80">
        <f t="shared" si="19"/>
        <v>0</v>
      </c>
      <c r="Q42" s="179"/>
      <c r="R42" s="80">
        <f t="shared" si="20"/>
        <v>0</v>
      </c>
      <c r="S42" s="179"/>
      <c r="T42" s="80">
        <f t="shared" si="21"/>
        <v>0</v>
      </c>
      <c r="U42" s="179"/>
      <c r="V42" s="80">
        <f t="shared" si="22"/>
        <v>0</v>
      </c>
    </row>
    <row r="43" spans="1:22" ht="12.75" customHeight="1">
      <c r="A43" s="2" t="s">
        <v>378</v>
      </c>
      <c r="B43" s="35"/>
      <c r="C43" s="179"/>
      <c r="D43" s="80">
        <f t="shared" si="13"/>
        <v>0</v>
      </c>
      <c r="E43" s="179"/>
      <c r="F43" s="80">
        <f t="shared" si="14"/>
        <v>0</v>
      </c>
      <c r="G43" s="179"/>
      <c r="H43" s="80">
        <f t="shared" si="15"/>
        <v>0</v>
      </c>
      <c r="I43" s="179"/>
      <c r="J43" s="80">
        <f t="shared" si="16"/>
        <v>0</v>
      </c>
      <c r="K43" s="179"/>
      <c r="L43" s="80">
        <f t="shared" si="17"/>
        <v>0</v>
      </c>
      <c r="M43" s="179"/>
      <c r="N43" s="80">
        <f t="shared" si="18"/>
        <v>0</v>
      </c>
      <c r="O43" s="179"/>
      <c r="P43" s="80">
        <f t="shared" si="19"/>
        <v>0</v>
      </c>
      <c r="Q43" s="179"/>
      <c r="R43" s="80">
        <f t="shared" si="20"/>
        <v>0</v>
      </c>
      <c r="S43" s="179"/>
      <c r="T43" s="80">
        <f t="shared" si="21"/>
        <v>0</v>
      </c>
      <c r="U43" s="179"/>
      <c r="V43" s="80">
        <f t="shared" si="22"/>
        <v>0</v>
      </c>
    </row>
    <row r="44" spans="1:22" ht="12.75" customHeight="1">
      <c r="A44" s="2" t="s">
        <v>379</v>
      </c>
      <c r="B44" s="35"/>
      <c r="C44" s="179"/>
      <c r="D44" s="80">
        <f t="shared" si="13"/>
        <v>0</v>
      </c>
      <c r="E44" s="179"/>
      <c r="F44" s="80">
        <f t="shared" si="14"/>
        <v>0</v>
      </c>
      <c r="G44" s="179"/>
      <c r="H44" s="80">
        <f t="shared" si="15"/>
        <v>0</v>
      </c>
      <c r="I44" s="179"/>
      <c r="J44" s="80">
        <f t="shared" si="16"/>
        <v>0</v>
      </c>
      <c r="K44" s="179"/>
      <c r="L44" s="80">
        <f t="shared" si="17"/>
        <v>0</v>
      </c>
      <c r="M44" s="179"/>
      <c r="N44" s="80">
        <f t="shared" si="18"/>
        <v>0</v>
      </c>
      <c r="O44" s="182"/>
      <c r="P44" s="80">
        <f t="shared" si="19"/>
        <v>0</v>
      </c>
      <c r="Q44" s="179"/>
      <c r="R44" s="80">
        <f t="shared" si="20"/>
        <v>0</v>
      </c>
      <c r="S44" s="179"/>
      <c r="T44" s="80">
        <f t="shared" si="21"/>
        <v>0</v>
      </c>
      <c r="U44" s="179"/>
      <c r="V44" s="80">
        <f t="shared" si="22"/>
        <v>0</v>
      </c>
    </row>
    <row r="45" spans="1:22" ht="12.75" customHeight="1">
      <c r="A45" s="2" t="s">
        <v>380</v>
      </c>
      <c r="B45" s="35"/>
      <c r="C45" s="182">
        <f>SUM(C36:C39)*0.094</f>
        <v>10900.522000000001</v>
      </c>
      <c r="D45" s="80">
        <f t="shared" si="13"/>
        <v>1.2111691111111112E-2</v>
      </c>
      <c r="E45" s="182">
        <f>SUM(E36:E39)*0.094</f>
        <v>12121.380464</v>
      </c>
      <c r="F45" s="80">
        <f t="shared" si="14"/>
        <v>1.5151725579999999E-2</v>
      </c>
      <c r="G45" s="182">
        <f>SUM(G36:G39)*0.094</f>
        <v>12545.628780239998</v>
      </c>
      <c r="H45" s="80">
        <f t="shared" si="15"/>
        <v>1.5374545073823527E-2</v>
      </c>
      <c r="I45" s="182">
        <f>SUM(I36:I39)*0.094</f>
        <v>12947.088901207682</v>
      </c>
      <c r="J45" s="80">
        <f t="shared" si="16"/>
        <v>1.5555422074692044E-2</v>
      </c>
      <c r="K45" s="182">
        <f>SUM(K36:K39)*0.094</f>
        <v>13270.766123737871</v>
      </c>
      <c r="L45" s="80">
        <f t="shared" si="17"/>
        <v>1.5631674143685628E-2</v>
      </c>
      <c r="M45" s="182">
        <f>SUM(M36:M39)*0.094</f>
        <v>13602.535276831317</v>
      </c>
      <c r="N45" s="80">
        <f t="shared" si="18"/>
        <v>1.5708299997331147E-2</v>
      </c>
      <c r="O45" s="182">
        <f>SUM(O36:O39)*0.094</f>
        <v>13942.598658752098</v>
      </c>
      <c r="P45" s="80">
        <f t="shared" si="19"/>
        <v>1.5785301467906295E-2</v>
      </c>
      <c r="Q45" s="182">
        <f>SUM(Q36:Q39)*0.094</f>
        <v>14291.163625220899</v>
      </c>
      <c r="R45" s="80">
        <f t="shared" si="20"/>
        <v>1.5862680396670541E-2</v>
      </c>
      <c r="S45" s="182">
        <f>SUM(S36:S39)*0.094</f>
        <v>14648.442715851419</v>
      </c>
      <c r="T45" s="80">
        <f t="shared" si="21"/>
        <v>1.5940438633909117E-2</v>
      </c>
      <c r="U45" s="182">
        <f>SUM(U36:U39)*0.094</f>
        <v>15014.653783747704</v>
      </c>
      <c r="V45" s="80">
        <f t="shared" si="22"/>
        <v>8.8269569569357463E-3</v>
      </c>
    </row>
    <row r="46" spans="1:22" ht="12.75" customHeight="1">
      <c r="A46" s="1" t="s">
        <v>381</v>
      </c>
      <c r="B46" s="53"/>
      <c r="C46" s="82">
        <f>SUM(C36:C45)</f>
        <v>134047.71</v>
      </c>
      <c r="D46" s="83">
        <f t="shared" si="13"/>
        <v>0.14894189999999999</v>
      </c>
      <c r="E46" s="82">
        <f>SUM(E36:E45)</f>
        <v>149061.05351999999</v>
      </c>
      <c r="F46" s="83">
        <f t="shared" si="14"/>
        <v>0.18632631689999998</v>
      </c>
      <c r="G46" s="82">
        <f>SUM(G36:G45)</f>
        <v>154278.19039319997</v>
      </c>
      <c r="H46" s="83">
        <f t="shared" si="15"/>
        <v>0.1890664097955882</v>
      </c>
      <c r="I46" s="82">
        <f>SUM(I36:I45)</f>
        <v>159215.09248578243</v>
      </c>
      <c r="J46" s="83">
        <f t="shared" si="16"/>
        <v>0.19129072049906579</v>
      </c>
      <c r="K46" s="82">
        <f>SUM(K36:K45)</f>
        <v>163195.46979792695</v>
      </c>
      <c r="L46" s="83">
        <f t="shared" si="17"/>
        <v>0.19222842010935526</v>
      </c>
      <c r="M46" s="82">
        <f>SUM(M36:M45)</f>
        <v>167275.35654287512</v>
      </c>
      <c r="N46" s="83">
        <f t="shared" si="18"/>
        <v>0.1931707162863619</v>
      </c>
      <c r="O46" s="82">
        <f>SUM(O36:O45)</f>
        <v>171457.24045644698</v>
      </c>
      <c r="P46" s="83">
        <f t="shared" si="19"/>
        <v>0.19411763156227541</v>
      </c>
      <c r="Q46" s="82">
        <f>SUM(Q36:Q45)</f>
        <v>175743.67146785813</v>
      </c>
      <c r="R46" s="83">
        <f t="shared" si="20"/>
        <v>0.19506918857973754</v>
      </c>
      <c r="S46" s="82">
        <f>SUM(S36:S45)</f>
        <v>180137.26325455453</v>
      </c>
      <c r="T46" s="83">
        <f t="shared" si="21"/>
        <v>0.19602541009238325</v>
      </c>
      <c r="U46" s="82">
        <f>SUM(U36:U45)</f>
        <v>184640.6948359184</v>
      </c>
      <c r="V46" s="83">
        <f t="shared" si="22"/>
        <v>0.10854832147908196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4">IFERROR(C52/C$28,0)</f>
        <v>0</v>
      </c>
      <c r="E52" s="179">
        <v>0</v>
      </c>
      <c r="F52" s="80">
        <f t="shared" ref="F52:F104" si="25">IFERROR(E52/E$28,0)</f>
        <v>0</v>
      </c>
      <c r="G52" s="179">
        <v>0</v>
      </c>
      <c r="H52" s="80">
        <f t="shared" ref="H52:H104" si="26">IFERROR(G52/G$28,0)</f>
        <v>0</v>
      </c>
      <c r="I52" s="179">
        <v>0</v>
      </c>
      <c r="J52" s="80">
        <f t="shared" ref="J52:J104" si="27">IFERROR(I52/I$28,0)</f>
        <v>0</v>
      </c>
      <c r="K52" s="179">
        <v>0</v>
      </c>
      <c r="L52" s="80">
        <f t="shared" ref="L52:L104" si="28">IFERROR(K52/K$28,0)</f>
        <v>0</v>
      </c>
      <c r="M52" s="179">
        <v>0</v>
      </c>
      <c r="N52" s="80">
        <f t="shared" ref="N52:N104" si="29">IFERROR(M52/M$28,0)</f>
        <v>0</v>
      </c>
      <c r="O52" s="179">
        <v>0</v>
      </c>
      <c r="P52" s="80">
        <f t="shared" ref="P52:P104" si="30">IFERROR(O52/O$28,0)</f>
        <v>0</v>
      </c>
      <c r="Q52" s="179">
        <v>0</v>
      </c>
      <c r="R52" s="80">
        <f t="shared" ref="R52:R104" si="31">IFERROR(Q52/Q$28,0)</f>
        <v>0</v>
      </c>
      <c r="S52" s="179">
        <v>0</v>
      </c>
      <c r="T52" s="80">
        <f t="shared" ref="T52:T104" si="32">IFERROR(S52/S$28,0)</f>
        <v>0</v>
      </c>
      <c r="U52" s="179">
        <v>0</v>
      </c>
      <c r="V52" s="80">
        <f t="shared" ref="V52:V105" si="33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4"/>
        <v>0</v>
      </c>
      <c r="E53" s="179">
        <v>0</v>
      </c>
      <c r="F53" s="80">
        <f t="shared" si="25"/>
        <v>0</v>
      </c>
      <c r="G53" s="179">
        <v>0</v>
      </c>
      <c r="H53" s="80">
        <f t="shared" si="26"/>
        <v>0</v>
      </c>
      <c r="I53" s="179">
        <v>0</v>
      </c>
      <c r="J53" s="80">
        <f t="shared" si="27"/>
        <v>0</v>
      </c>
      <c r="K53" s="179">
        <v>0</v>
      </c>
      <c r="L53" s="80">
        <f t="shared" si="28"/>
        <v>0</v>
      </c>
      <c r="M53" s="179">
        <v>0</v>
      </c>
      <c r="N53" s="80">
        <f t="shared" si="29"/>
        <v>0</v>
      </c>
      <c r="O53" s="179">
        <v>0</v>
      </c>
      <c r="P53" s="80">
        <f t="shared" si="30"/>
        <v>0</v>
      </c>
      <c r="Q53" s="179">
        <v>0</v>
      </c>
      <c r="R53" s="80">
        <f t="shared" si="31"/>
        <v>0</v>
      </c>
      <c r="S53" s="179">
        <v>0</v>
      </c>
      <c r="T53" s="80">
        <f t="shared" si="32"/>
        <v>0</v>
      </c>
      <c r="U53" s="179">
        <v>0</v>
      </c>
      <c r="V53" s="80">
        <f t="shared" si="33"/>
        <v>0</v>
      </c>
      <c r="X53" s="200"/>
    </row>
    <row r="54" spans="1:24" ht="12.75" customHeight="1">
      <c r="A54" s="2" t="s">
        <v>385</v>
      </c>
      <c r="B54" s="35"/>
      <c r="C54" s="179">
        <v>630</v>
      </c>
      <c r="D54" s="80">
        <f t="shared" si="24"/>
        <v>6.9999999999999999E-4</v>
      </c>
      <c r="E54" s="179">
        <v>560</v>
      </c>
      <c r="F54" s="80">
        <f t="shared" si="25"/>
        <v>6.9999999999999999E-4</v>
      </c>
      <c r="G54" s="179">
        <v>571.20000000000005</v>
      </c>
      <c r="H54" s="80">
        <f t="shared" si="26"/>
        <v>7.000000000000001E-4</v>
      </c>
      <c r="I54" s="179">
        <v>582.62400000000002</v>
      </c>
      <c r="J54" s="80">
        <f t="shared" si="27"/>
        <v>6.9999999999999999E-4</v>
      </c>
      <c r="K54" s="179">
        <v>594.27647999999999</v>
      </c>
      <c r="L54" s="80">
        <f t="shared" si="28"/>
        <v>6.9999999999999999E-4</v>
      </c>
      <c r="M54" s="179">
        <v>606.16200960000003</v>
      </c>
      <c r="N54" s="80">
        <f t="shared" si="29"/>
        <v>6.9999999999999999E-4</v>
      </c>
      <c r="O54" s="179">
        <v>618.28524979200006</v>
      </c>
      <c r="P54" s="80">
        <f t="shared" si="30"/>
        <v>6.9999999999999999E-4</v>
      </c>
      <c r="Q54" s="179">
        <v>630.65095478783996</v>
      </c>
      <c r="R54" s="80">
        <f t="shared" si="31"/>
        <v>6.9999999999999988E-4</v>
      </c>
      <c r="S54" s="179">
        <v>643.2639738835968</v>
      </c>
      <c r="T54" s="80">
        <f t="shared" si="32"/>
        <v>6.9999999999999999E-4</v>
      </c>
      <c r="U54" s="179">
        <v>1190.7</v>
      </c>
      <c r="V54" s="80">
        <f t="shared" si="33"/>
        <v>6.9999999999999999E-4</v>
      </c>
      <c r="X54" s="200"/>
    </row>
    <row r="55" spans="1:24" ht="12.75" customHeight="1">
      <c r="A55" s="2" t="s">
        <v>386</v>
      </c>
      <c r="B55" s="35"/>
      <c r="C55" s="179">
        <v>63000.000000000007</v>
      </c>
      <c r="D55" s="80">
        <f t="shared" si="24"/>
        <v>7.0000000000000007E-2</v>
      </c>
      <c r="E55" s="179">
        <v>56000.000000000007</v>
      </c>
      <c r="F55" s="80">
        <f t="shared" si="25"/>
        <v>7.0000000000000007E-2</v>
      </c>
      <c r="G55" s="179">
        <v>57120.000000000007</v>
      </c>
      <c r="H55" s="80">
        <f t="shared" si="26"/>
        <v>7.0000000000000007E-2</v>
      </c>
      <c r="I55" s="179">
        <v>58262.400000000009</v>
      </c>
      <c r="J55" s="80">
        <f t="shared" si="27"/>
        <v>7.0000000000000007E-2</v>
      </c>
      <c r="K55" s="179">
        <v>59427.648000000008</v>
      </c>
      <c r="L55" s="80">
        <f t="shared" si="28"/>
        <v>7.0000000000000007E-2</v>
      </c>
      <c r="M55" s="179">
        <v>60616.200960000009</v>
      </c>
      <c r="N55" s="80">
        <f t="shared" si="29"/>
        <v>7.0000000000000007E-2</v>
      </c>
      <c r="O55" s="179">
        <v>61828.52497920001</v>
      </c>
      <c r="P55" s="80">
        <f t="shared" si="30"/>
        <v>7.0000000000000007E-2</v>
      </c>
      <c r="Q55" s="179">
        <v>63065.095478784009</v>
      </c>
      <c r="R55" s="80">
        <f t="shared" si="31"/>
        <v>7.0000000000000007E-2</v>
      </c>
      <c r="S55" s="179">
        <v>64326.397388359692</v>
      </c>
      <c r="T55" s="80">
        <f t="shared" si="32"/>
        <v>7.0000000000000007E-2</v>
      </c>
      <c r="U55" s="179">
        <v>64491.48380948219</v>
      </c>
      <c r="V55" s="80">
        <f t="shared" si="33"/>
        <v>3.7913864673416925E-2</v>
      </c>
      <c r="X55" s="200"/>
    </row>
    <row r="56" spans="1:24" ht="12.75" customHeight="1">
      <c r="A56" s="2" t="s">
        <v>387</v>
      </c>
      <c r="B56" s="35"/>
      <c r="C56" s="179">
        <v>459.00000000000006</v>
      </c>
      <c r="D56" s="80">
        <f t="shared" si="24"/>
        <v>5.1000000000000004E-4</v>
      </c>
      <c r="E56" s="179">
        <v>408.00000000000006</v>
      </c>
      <c r="F56" s="80">
        <f t="shared" si="25"/>
        <v>5.1000000000000004E-4</v>
      </c>
      <c r="G56" s="179">
        <v>416.16</v>
      </c>
      <c r="H56" s="80">
        <f t="shared" si="26"/>
        <v>5.1000000000000004E-4</v>
      </c>
      <c r="I56" s="179">
        <v>424.48320000000007</v>
      </c>
      <c r="J56" s="80">
        <f t="shared" si="27"/>
        <v>5.1000000000000004E-4</v>
      </c>
      <c r="K56" s="179">
        <v>432.97286400000002</v>
      </c>
      <c r="L56" s="80">
        <f t="shared" si="28"/>
        <v>5.1000000000000004E-4</v>
      </c>
      <c r="M56" s="179">
        <v>441.63232128000004</v>
      </c>
      <c r="N56" s="80">
        <f t="shared" si="29"/>
        <v>5.1000000000000004E-4</v>
      </c>
      <c r="O56" s="179">
        <v>450.46496770560009</v>
      </c>
      <c r="P56" s="80">
        <f t="shared" si="30"/>
        <v>5.1000000000000004E-4</v>
      </c>
      <c r="Q56" s="179">
        <v>459.47426705971208</v>
      </c>
      <c r="R56" s="80">
        <f t="shared" si="31"/>
        <v>5.1000000000000004E-4</v>
      </c>
      <c r="S56" s="179">
        <v>468.66375240090628</v>
      </c>
      <c r="T56" s="80">
        <f t="shared" si="32"/>
        <v>5.1000000000000004E-4</v>
      </c>
      <c r="U56" s="179">
        <v>867.51</v>
      </c>
      <c r="V56" s="80">
        <f t="shared" si="33"/>
        <v>5.1000000000000004E-4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4"/>
        <v>0</v>
      </c>
      <c r="E57" s="179">
        <v>0</v>
      </c>
      <c r="F57" s="80">
        <f t="shared" si="25"/>
        <v>0</v>
      </c>
      <c r="G57" s="179">
        <v>0</v>
      </c>
      <c r="H57" s="80">
        <f t="shared" si="26"/>
        <v>0</v>
      </c>
      <c r="I57" s="179">
        <v>0</v>
      </c>
      <c r="J57" s="80">
        <f t="shared" si="27"/>
        <v>0</v>
      </c>
      <c r="K57" s="179">
        <v>0</v>
      </c>
      <c r="L57" s="80">
        <f t="shared" si="28"/>
        <v>0</v>
      </c>
      <c r="M57" s="179">
        <v>0</v>
      </c>
      <c r="N57" s="80">
        <f t="shared" si="29"/>
        <v>0</v>
      </c>
      <c r="O57" s="179">
        <v>0</v>
      </c>
      <c r="P57" s="80">
        <f t="shared" si="30"/>
        <v>0</v>
      </c>
      <c r="Q57" s="179">
        <v>0</v>
      </c>
      <c r="R57" s="80">
        <f t="shared" si="31"/>
        <v>0</v>
      </c>
      <c r="S57" s="179">
        <v>0</v>
      </c>
      <c r="T57" s="80">
        <f t="shared" si="32"/>
        <v>0</v>
      </c>
      <c r="U57" s="179">
        <v>0</v>
      </c>
      <c r="V57" s="80">
        <f t="shared" si="33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4"/>
        <v>0</v>
      </c>
      <c r="E58" s="179">
        <v>0</v>
      </c>
      <c r="F58" s="80">
        <f t="shared" si="25"/>
        <v>0</v>
      </c>
      <c r="G58" s="179">
        <v>0</v>
      </c>
      <c r="H58" s="80">
        <f t="shared" si="26"/>
        <v>0</v>
      </c>
      <c r="I58" s="179">
        <v>0</v>
      </c>
      <c r="J58" s="80">
        <f t="shared" si="27"/>
        <v>0</v>
      </c>
      <c r="K58" s="179">
        <v>0</v>
      </c>
      <c r="L58" s="80">
        <f t="shared" si="28"/>
        <v>0</v>
      </c>
      <c r="M58" s="179">
        <v>0</v>
      </c>
      <c r="N58" s="80">
        <f t="shared" si="29"/>
        <v>0</v>
      </c>
      <c r="O58" s="179">
        <v>0</v>
      </c>
      <c r="P58" s="80">
        <f t="shared" si="30"/>
        <v>0</v>
      </c>
      <c r="Q58" s="179">
        <v>0</v>
      </c>
      <c r="R58" s="80">
        <f t="shared" si="31"/>
        <v>0</v>
      </c>
      <c r="S58" s="179">
        <v>0</v>
      </c>
      <c r="T58" s="80">
        <f t="shared" si="32"/>
        <v>0</v>
      </c>
      <c r="U58" s="179">
        <v>0</v>
      </c>
      <c r="V58" s="80">
        <f t="shared" si="33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4"/>
        <v>0</v>
      </c>
      <c r="E59" s="179">
        <v>0</v>
      </c>
      <c r="F59" s="80">
        <f t="shared" si="25"/>
        <v>0</v>
      </c>
      <c r="G59" s="179">
        <v>0</v>
      </c>
      <c r="H59" s="80">
        <f t="shared" si="26"/>
        <v>0</v>
      </c>
      <c r="I59" s="179">
        <v>0</v>
      </c>
      <c r="J59" s="80">
        <f t="shared" si="27"/>
        <v>0</v>
      </c>
      <c r="K59" s="179">
        <v>0</v>
      </c>
      <c r="L59" s="80">
        <f t="shared" si="28"/>
        <v>0</v>
      </c>
      <c r="M59" s="179">
        <v>0</v>
      </c>
      <c r="N59" s="80">
        <f t="shared" si="29"/>
        <v>0</v>
      </c>
      <c r="O59" s="179">
        <v>0</v>
      </c>
      <c r="P59" s="80">
        <f t="shared" si="30"/>
        <v>0</v>
      </c>
      <c r="Q59" s="179">
        <v>0</v>
      </c>
      <c r="R59" s="80">
        <f t="shared" si="31"/>
        <v>0</v>
      </c>
      <c r="S59" s="179">
        <v>0</v>
      </c>
      <c r="T59" s="80">
        <f t="shared" si="32"/>
        <v>0</v>
      </c>
      <c r="U59" s="179">
        <v>0</v>
      </c>
      <c r="V59" s="80">
        <f t="shared" si="33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4"/>
        <v>0</v>
      </c>
      <c r="E60" s="179">
        <v>0</v>
      </c>
      <c r="F60" s="80">
        <f t="shared" si="25"/>
        <v>0</v>
      </c>
      <c r="G60" s="179">
        <v>0</v>
      </c>
      <c r="H60" s="80">
        <f t="shared" si="26"/>
        <v>0</v>
      </c>
      <c r="I60" s="179">
        <v>0</v>
      </c>
      <c r="J60" s="80">
        <f t="shared" si="27"/>
        <v>0</v>
      </c>
      <c r="K60" s="179">
        <v>0</v>
      </c>
      <c r="L60" s="80">
        <f t="shared" si="28"/>
        <v>0</v>
      </c>
      <c r="M60" s="179">
        <v>0</v>
      </c>
      <c r="N60" s="80">
        <f t="shared" si="29"/>
        <v>0</v>
      </c>
      <c r="O60" s="179">
        <v>0</v>
      </c>
      <c r="P60" s="80">
        <f t="shared" si="30"/>
        <v>0</v>
      </c>
      <c r="Q60" s="179">
        <v>0</v>
      </c>
      <c r="R60" s="80">
        <f t="shared" si="31"/>
        <v>0</v>
      </c>
      <c r="S60" s="179">
        <v>0</v>
      </c>
      <c r="T60" s="80">
        <f t="shared" si="32"/>
        <v>0</v>
      </c>
      <c r="U60" s="179">
        <v>0</v>
      </c>
      <c r="V60" s="80">
        <f t="shared" si="33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4"/>
        <v>0</v>
      </c>
      <c r="E61" s="179">
        <v>0</v>
      </c>
      <c r="F61" s="80">
        <f t="shared" si="25"/>
        <v>0</v>
      </c>
      <c r="G61" s="179">
        <v>0</v>
      </c>
      <c r="H61" s="80">
        <f t="shared" si="26"/>
        <v>0</v>
      </c>
      <c r="I61" s="179">
        <v>0</v>
      </c>
      <c r="J61" s="80">
        <f t="shared" si="27"/>
        <v>0</v>
      </c>
      <c r="K61" s="179">
        <v>0</v>
      </c>
      <c r="L61" s="80">
        <f t="shared" si="28"/>
        <v>0</v>
      </c>
      <c r="M61" s="179">
        <v>0</v>
      </c>
      <c r="N61" s="80">
        <f t="shared" si="29"/>
        <v>0</v>
      </c>
      <c r="O61" s="179">
        <v>0</v>
      </c>
      <c r="P61" s="80">
        <f t="shared" si="30"/>
        <v>0</v>
      </c>
      <c r="Q61" s="179">
        <v>0</v>
      </c>
      <c r="R61" s="80">
        <f t="shared" si="31"/>
        <v>0</v>
      </c>
      <c r="S61" s="179">
        <v>0</v>
      </c>
      <c r="T61" s="80">
        <f t="shared" si="32"/>
        <v>0</v>
      </c>
      <c r="U61" s="179">
        <v>0</v>
      </c>
      <c r="V61" s="80">
        <f t="shared" si="33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4"/>
        <v>0</v>
      </c>
      <c r="E62" s="179">
        <v>0</v>
      </c>
      <c r="F62" s="80">
        <f t="shared" si="25"/>
        <v>0</v>
      </c>
      <c r="G62" s="179">
        <v>0</v>
      </c>
      <c r="H62" s="80">
        <f t="shared" si="26"/>
        <v>0</v>
      </c>
      <c r="I62" s="179">
        <v>0</v>
      </c>
      <c r="J62" s="80">
        <f t="shared" si="27"/>
        <v>0</v>
      </c>
      <c r="K62" s="179">
        <v>0</v>
      </c>
      <c r="L62" s="80">
        <f t="shared" si="28"/>
        <v>0</v>
      </c>
      <c r="M62" s="179">
        <v>0</v>
      </c>
      <c r="N62" s="80">
        <f t="shared" si="29"/>
        <v>0</v>
      </c>
      <c r="O62" s="179">
        <v>0</v>
      </c>
      <c r="P62" s="80">
        <f t="shared" si="30"/>
        <v>0</v>
      </c>
      <c r="Q62" s="179">
        <v>0</v>
      </c>
      <c r="R62" s="80">
        <f t="shared" si="31"/>
        <v>0</v>
      </c>
      <c r="S62" s="179">
        <v>0</v>
      </c>
      <c r="T62" s="80">
        <f t="shared" si="32"/>
        <v>0</v>
      </c>
      <c r="U62" s="179">
        <v>0</v>
      </c>
      <c r="V62" s="80">
        <f t="shared" si="33"/>
        <v>0</v>
      </c>
      <c r="X62" s="200"/>
    </row>
    <row r="63" spans="1:24" ht="12.75" customHeight="1">
      <c r="A63" s="2" t="s">
        <v>394</v>
      </c>
      <c r="B63" s="35"/>
      <c r="C63" s="179">
        <v>12350.191994254033</v>
      </c>
      <c r="D63" s="80">
        <f t="shared" si="24"/>
        <v>1.3722435549171148E-2</v>
      </c>
      <c r="E63" s="179">
        <v>6205.8563630629051</v>
      </c>
      <c r="F63" s="80">
        <f t="shared" si="25"/>
        <v>7.7573204538286316E-3</v>
      </c>
      <c r="G63" s="179">
        <v>7264.4770633086036</v>
      </c>
      <c r="H63" s="80">
        <f t="shared" si="26"/>
        <v>8.9025454207213289E-3</v>
      </c>
      <c r="I63" s="179">
        <v>7344.9411360944214</v>
      </c>
      <c r="J63" s="80">
        <f t="shared" si="27"/>
        <v>8.8246601500557732E-3</v>
      </c>
      <c r="K63" s="179">
        <v>7405.5616443650761</v>
      </c>
      <c r="L63" s="80">
        <f t="shared" si="28"/>
        <v>8.723032671687685E-3</v>
      </c>
      <c r="M63" s="179">
        <v>7537.7950636516289</v>
      </c>
      <c r="N63" s="80">
        <f t="shared" si="29"/>
        <v>8.7046968648497435E-3</v>
      </c>
      <c r="O63" s="179">
        <v>7672.8136718161977</v>
      </c>
      <c r="P63" s="80">
        <f t="shared" si="30"/>
        <v>8.686879675810168E-3</v>
      </c>
      <c r="Q63" s="179">
        <v>7810.4067643119679</v>
      </c>
      <c r="R63" s="80">
        <f t="shared" si="31"/>
        <v>8.669272112428102E-3</v>
      </c>
      <c r="S63" s="179">
        <v>7950.3655178424642</v>
      </c>
      <c r="T63" s="80">
        <f t="shared" si="32"/>
        <v>8.6515895315735451E-3</v>
      </c>
      <c r="U63" s="179">
        <v>15248.02548457655</v>
      </c>
      <c r="V63" s="80">
        <f t="shared" si="33"/>
        <v>8.9641537240308933E-3</v>
      </c>
      <c r="X63" s="200"/>
    </row>
    <row r="64" spans="1:24" ht="12.75" customHeight="1">
      <c r="A64" s="2" t="s">
        <v>395</v>
      </c>
      <c r="B64" s="35"/>
      <c r="C64" s="179">
        <v>4319.9999999999991</v>
      </c>
      <c r="D64" s="80">
        <f t="shared" si="24"/>
        <v>4.7999999999999987E-3</v>
      </c>
      <c r="E64" s="179">
        <v>3840</v>
      </c>
      <c r="F64" s="80">
        <f t="shared" si="25"/>
        <v>4.7999999999999996E-3</v>
      </c>
      <c r="G64" s="179">
        <v>3916.7999999999993</v>
      </c>
      <c r="H64" s="80">
        <f t="shared" si="26"/>
        <v>4.7999999999999987E-3</v>
      </c>
      <c r="I64" s="179">
        <v>3995.1359999999995</v>
      </c>
      <c r="J64" s="80">
        <f t="shared" si="27"/>
        <v>4.7999999999999996E-3</v>
      </c>
      <c r="K64" s="179">
        <v>4075.0387199999991</v>
      </c>
      <c r="L64" s="80">
        <f t="shared" si="28"/>
        <v>4.7999999999999987E-3</v>
      </c>
      <c r="M64" s="179">
        <v>4156.5394944</v>
      </c>
      <c r="N64" s="80">
        <f t="shared" si="29"/>
        <v>4.7999999999999996E-3</v>
      </c>
      <c r="O64" s="179">
        <v>4239.6702842880004</v>
      </c>
      <c r="P64" s="80">
        <f t="shared" si="30"/>
        <v>4.8000000000000004E-3</v>
      </c>
      <c r="Q64" s="179">
        <v>4324.4636899737588</v>
      </c>
      <c r="R64" s="80">
        <f t="shared" si="31"/>
        <v>4.7999999999999987E-3</v>
      </c>
      <c r="S64" s="179">
        <v>4410.9529637732358</v>
      </c>
      <c r="T64" s="80">
        <f t="shared" si="32"/>
        <v>4.8000000000000004E-3</v>
      </c>
      <c r="U64" s="179">
        <v>8164.7999999999993</v>
      </c>
      <c r="V64" s="80">
        <f t="shared" si="33"/>
        <v>4.7999999999999996E-3</v>
      </c>
      <c r="X64" s="200"/>
    </row>
    <row r="65" spans="1:24" ht="12.75" customHeight="1">
      <c r="A65" s="2" t="s">
        <v>396</v>
      </c>
      <c r="B65" s="35"/>
      <c r="C65" s="179">
        <v>449.99999999999994</v>
      </c>
      <c r="D65" s="80">
        <f t="shared" si="24"/>
        <v>4.999999999999999E-4</v>
      </c>
      <c r="E65" s="179">
        <v>400.00000000000006</v>
      </c>
      <c r="F65" s="80">
        <f t="shared" si="25"/>
        <v>5.0000000000000012E-4</v>
      </c>
      <c r="G65" s="179">
        <v>408</v>
      </c>
      <c r="H65" s="80">
        <f t="shared" si="26"/>
        <v>5.0000000000000001E-4</v>
      </c>
      <c r="I65" s="179">
        <v>416.16</v>
      </c>
      <c r="J65" s="80">
        <f t="shared" si="27"/>
        <v>5.0000000000000001E-4</v>
      </c>
      <c r="K65" s="179">
        <v>424.48320000000001</v>
      </c>
      <c r="L65" s="80">
        <f t="shared" si="28"/>
        <v>5.0000000000000001E-4</v>
      </c>
      <c r="M65" s="179">
        <v>432.97286400000002</v>
      </c>
      <c r="N65" s="80">
        <f t="shared" si="29"/>
        <v>5.0000000000000001E-4</v>
      </c>
      <c r="O65" s="179">
        <v>441.63232128000004</v>
      </c>
      <c r="P65" s="80">
        <f t="shared" si="30"/>
        <v>5.0000000000000001E-4</v>
      </c>
      <c r="Q65" s="179">
        <v>450.46496770560003</v>
      </c>
      <c r="R65" s="80">
        <f t="shared" si="31"/>
        <v>5.0000000000000001E-4</v>
      </c>
      <c r="S65" s="179">
        <v>459.47426705971202</v>
      </c>
      <c r="T65" s="80">
        <f t="shared" si="32"/>
        <v>5.0000000000000001E-4</v>
      </c>
      <c r="U65" s="179">
        <v>850.5</v>
      </c>
      <c r="V65" s="80">
        <f t="shared" si="33"/>
        <v>5.0000000000000001E-4</v>
      </c>
      <c r="X65" s="200"/>
    </row>
    <row r="66" spans="1:24" ht="12.75" customHeight="1">
      <c r="A66" s="2" t="s">
        <v>397</v>
      </c>
      <c r="B66" s="35"/>
      <c r="C66" s="179">
        <v>2520</v>
      </c>
      <c r="D66" s="80">
        <f t="shared" si="24"/>
        <v>2.8E-3</v>
      </c>
      <c r="E66" s="179">
        <v>2240</v>
      </c>
      <c r="F66" s="80">
        <f t="shared" si="25"/>
        <v>2.8E-3</v>
      </c>
      <c r="G66" s="179">
        <v>2284.8000000000002</v>
      </c>
      <c r="H66" s="80">
        <f t="shared" si="26"/>
        <v>2.8000000000000004E-3</v>
      </c>
      <c r="I66" s="179">
        <v>2330.4960000000001</v>
      </c>
      <c r="J66" s="80">
        <f t="shared" si="27"/>
        <v>2.8E-3</v>
      </c>
      <c r="K66" s="179">
        <v>2377.10592</v>
      </c>
      <c r="L66" s="80">
        <f t="shared" si="28"/>
        <v>2.8E-3</v>
      </c>
      <c r="M66" s="179">
        <v>2424.6480384000001</v>
      </c>
      <c r="N66" s="80">
        <f t="shared" si="29"/>
        <v>2.8E-3</v>
      </c>
      <c r="O66" s="179">
        <v>2473.1409991680002</v>
      </c>
      <c r="P66" s="80">
        <f t="shared" si="30"/>
        <v>2.8E-3</v>
      </c>
      <c r="Q66" s="179">
        <v>2522.6038191513599</v>
      </c>
      <c r="R66" s="80">
        <f t="shared" si="31"/>
        <v>2.7999999999999995E-3</v>
      </c>
      <c r="S66" s="179">
        <v>2573.0558955343872</v>
      </c>
      <c r="T66" s="80">
        <f t="shared" si="32"/>
        <v>2.8E-3</v>
      </c>
      <c r="U66" s="179">
        <v>4762.8</v>
      </c>
      <c r="V66" s="80">
        <f t="shared" si="33"/>
        <v>2.8E-3</v>
      </c>
      <c r="X66" s="200"/>
    </row>
    <row r="67" spans="1:24" ht="12.75" customHeight="1">
      <c r="A67" s="2" t="s">
        <v>398</v>
      </c>
      <c r="B67" s="35"/>
      <c r="C67" s="179">
        <v>13499.999999999998</v>
      </c>
      <c r="D67" s="80">
        <f t="shared" si="24"/>
        <v>1.4999999999999998E-2</v>
      </c>
      <c r="E67" s="179">
        <v>12000</v>
      </c>
      <c r="F67" s="80">
        <f t="shared" si="25"/>
        <v>1.4999999999999999E-2</v>
      </c>
      <c r="G67" s="179">
        <v>12240</v>
      </c>
      <c r="H67" s="80">
        <f t="shared" si="26"/>
        <v>1.4999999999999999E-2</v>
      </c>
      <c r="I67" s="179">
        <v>12484.8</v>
      </c>
      <c r="J67" s="80">
        <f t="shared" si="27"/>
        <v>1.4999999999999999E-2</v>
      </c>
      <c r="K67" s="179">
        <v>12734.496000000001</v>
      </c>
      <c r="L67" s="80">
        <f t="shared" si="28"/>
        <v>1.5000000000000001E-2</v>
      </c>
      <c r="M67" s="179">
        <v>12989.18592</v>
      </c>
      <c r="N67" s="80">
        <f t="shared" si="29"/>
        <v>1.4999999999999999E-2</v>
      </c>
      <c r="O67" s="179">
        <v>13248.969638400002</v>
      </c>
      <c r="P67" s="80">
        <f t="shared" si="30"/>
        <v>1.5000000000000001E-2</v>
      </c>
      <c r="Q67" s="179">
        <v>13513.949031168</v>
      </c>
      <c r="R67" s="80">
        <f t="shared" si="31"/>
        <v>1.4999999999999999E-2</v>
      </c>
      <c r="S67" s="179">
        <v>13784.228011791361</v>
      </c>
      <c r="T67" s="80">
        <f t="shared" si="32"/>
        <v>1.5000000000000001E-2</v>
      </c>
      <c r="U67" s="179">
        <v>25515</v>
      </c>
      <c r="V67" s="80">
        <f t="shared" si="33"/>
        <v>1.4999999999999999E-2</v>
      </c>
      <c r="X67" s="200"/>
    </row>
    <row r="68" spans="1:24" ht="12.75" customHeight="1">
      <c r="A68" s="2" t="s">
        <v>399</v>
      </c>
      <c r="B68" s="35"/>
      <c r="C68" s="179">
        <v>1530</v>
      </c>
      <c r="D68" s="80">
        <f t="shared" si="24"/>
        <v>1.6999999999999999E-3</v>
      </c>
      <c r="E68" s="179">
        <v>1360</v>
      </c>
      <c r="F68" s="80">
        <f t="shared" si="25"/>
        <v>1.6999999999999999E-3</v>
      </c>
      <c r="G68" s="179">
        <v>1387.2</v>
      </c>
      <c r="H68" s="80">
        <f t="shared" si="26"/>
        <v>1.7000000000000001E-3</v>
      </c>
      <c r="I68" s="179">
        <v>1414.944</v>
      </c>
      <c r="J68" s="80">
        <f t="shared" si="27"/>
        <v>1.6999999999999999E-3</v>
      </c>
      <c r="K68" s="179">
        <v>1443.24288</v>
      </c>
      <c r="L68" s="80">
        <f t="shared" si="28"/>
        <v>1.6999999999999999E-3</v>
      </c>
      <c r="M68" s="179">
        <v>1472.1077376000001</v>
      </c>
      <c r="N68" s="80">
        <f t="shared" si="29"/>
        <v>1.7000000000000001E-3</v>
      </c>
      <c r="O68" s="179">
        <v>1501.5498923520001</v>
      </c>
      <c r="P68" s="80">
        <f t="shared" si="30"/>
        <v>1.7000000000000001E-3</v>
      </c>
      <c r="Q68" s="179">
        <v>1531.5808901990399</v>
      </c>
      <c r="R68" s="80">
        <f t="shared" si="31"/>
        <v>1.6999999999999999E-3</v>
      </c>
      <c r="S68" s="179">
        <v>1562.2125080030207</v>
      </c>
      <c r="T68" s="80">
        <f t="shared" si="32"/>
        <v>1.6999999999999999E-3</v>
      </c>
      <c r="U68" s="179">
        <v>2891.7</v>
      </c>
      <c r="V68" s="80">
        <f t="shared" si="33"/>
        <v>1.6999999999999999E-3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4"/>
        <v>0</v>
      </c>
      <c r="E69" s="179">
        <v>0</v>
      </c>
      <c r="F69" s="80">
        <f t="shared" si="25"/>
        <v>0</v>
      </c>
      <c r="G69" s="179">
        <v>0</v>
      </c>
      <c r="H69" s="80">
        <f t="shared" si="26"/>
        <v>0</v>
      </c>
      <c r="I69" s="179">
        <v>0</v>
      </c>
      <c r="J69" s="80">
        <f t="shared" si="27"/>
        <v>0</v>
      </c>
      <c r="K69" s="179">
        <v>0</v>
      </c>
      <c r="L69" s="80">
        <f t="shared" si="28"/>
        <v>0</v>
      </c>
      <c r="M69" s="179">
        <v>0</v>
      </c>
      <c r="N69" s="80">
        <f t="shared" si="29"/>
        <v>0</v>
      </c>
      <c r="O69" s="179">
        <v>0</v>
      </c>
      <c r="P69" s="80">
        <f t="shared" si="30"/>
        <v>0</v>
      </c>
      <c r="Q69" s="179">
        <v>0</v>
      </c>
      <c r="R69" s="80">
        <f t="shared" si="31"/>
        <v>0</v>
      </c>
      <c r="S69" s="179">
        <v>0</v>
      </c>
      <c r="T69" s="80">
        <f t="shared" si="32"/>
        <v>0</v>
      </c>
      <c r="U69" s="179">
        <v>0</v>
      </c>
      <c r="V69" s="80">
        <f t="shared" si="33"/>
        <v>0</v>
      </c>
      <c r="X69" s="200"/>
    </row>
    <row r="70" spans="1:24" ht="12.75" customHeight="1">
      <c r="A70" s="2" t="s">
        <v>401</v>
      </c>
      <c r="B70" s="35"/>
      <c r="C70" s="179">
        <v>90</v>
      </c>
      <c r="D70" s="80">
        <f t="shared" si="24"/>
        <v>1E-4</v>
      </c>
      <c r="E70" s="179">
        <v>80</v>
      </c>
      <c r="F70" s="80">
        <f t="shared" si="25"/>
        <v>1E-4</v>
      </c>
      <c r="G70" s="179">
        <v>81.599999999999994</v>
      </c>
      <c r="H70" s="80">
        <f t="shared" si="26"/>
        <v>9.9999999999999991E-5</v>
      </c>
      <c r="I70" s="179">
        <v>83.231999999999999</v>
      </c>
      <c r="J70" s="80">
        <f t="shared" si="27"/>
        <v>1E-4</v>
      </c>
      <c r="K70" s="179">
        <v>84.896640000000005</v>
      </c>
      <c r="L70" s="80">
        <f t="shared" si="28"/>
        <v>1E-4</v>
      </c>
      <c r="M70" s="179">
        <v>86.594572800000009</v>
      </c>
      <c r="N70" s="80">
        <f t="shared" si="29"/>
        <v>1E-4</v>
      </c>
      <c r="O70" s="179">
        <v>88.326464256000023</v>
      </c>
      <c r="P70" s="80">
        <f t="shared" si="30"/>
        <v>1.0000000000000002E-4</v>
      </c>
      <c r="Q70" s="179">
        <v>90.092993541120009</v>
      </c>
      <c r="R70" s="80">
        <f t="shared" si="31"/>
        <v>1E-4</v>
      </c>
      <c r="S70" s="179">
        <v>91.894853411942407</v>
      </c>
      <c r="T70" s="80">
        <f t="shared" si="32"/>
        <v>1E-4</v>
      </c>
      <c r="U70" s="179">
        <v>170.10000000000002</v>
      </c>
      <c r="V70" s="80">
        <f t="shared" si="33"/>
        <v>1.0000000000000002E-4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4"/>
        <v>0</v>
      </c>
      <c r="E71" s="179">
        <v>0</v>
      </c>
      <c r="F71" s="80">
        <f t="shared" si="25"/>
        <v>0</v>
      </c>
      <c r="G71" s="179">
        <v>0</v>
      </c>
      <c r="H71" s="80">
        <f t="shared" si="26"/>
        <v>0</v>
      </c>
      <c r="I71" s="179">
        <v>0</v>
      </c>
      <c r="J71" s="80">
        <f t="shared" si="27"/>
        <v>0</v>
      </c>
      <c r="K71" s="179">
        <v>0</v>
      </c>
      <c r="L71" s="80">
        <f t="shared" si="28"/>
        <v>0</v>
      </c>
      <c r="M71" s="179">
        <v>0</v>
      </c>
      <c r="N71" s="80">
        <f t="shared" si="29"/>
        <v>0</v>
      </c>
      <c r="O71" s="179">
        <v>0</v>
      </c>
      <c r="P71" s="80">
        <f t="shared" si="30"/>
        <v>0</v>
      </c>
      <c r="Q71" s="179">
        <v>0</v>
      </c>
      <c r="R71" s="80">
        <f t="shared" si="31"/>
        <v>0</v>
      </c>
      <c r="S71" s="179">
        <v>0</v>
      </c>
      <c r="T71" s="80">
        <f t="shared" si="32"/>
        <v>0</v>
      </c>
      <c r="U71" s="179">
        <v>0</v>
      </c>
      <c r="V71" s="80">
        <f t="shared" si="33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4"/>
        <v>0</v>
      </c>
      <c r="E72" s="179">
        <v>0</v>
      </c>
      <c r="F72" s="80">
        <f t="shared" si="25"/>
        <v>0</v>
      </c>
      <c r="G72" s="179">
        <v>0</v>
      </c>
      <c r="H72" s="80">
        <f t="shared" si="26"/>
        <v>0</v>
      </c>
      <c r="I72" s="179">
        <v>0</v>
      </c>
      <c r="J72" s="80">
        <f t="shared" si="27"/>
        <v>0</v>
      </c>
      <c r="K72" s="179">
        <v>0</v>
      </c>
      <c r="L72" s="80">
        <f t="shared" si="28"/>
        <v>0</v>
      </c>
      <c r="M72" s="179">
        <v>0</v>
      </c>
      <c r="N72" s="80">
        <f t="shared" si="29"/>
        <v>0</v>
      </c>
      <c r="O72" s="179">
        <v>0</v>
      </c>
      <c r="P72" s="80">
        <f t="shared" si="30"/>
        <v>0</v>
      </c>
      <c r="Q72" s="179">
        <v>0</v>
      </c>
      <c r="R72" s="80">
        <f t="shared" si="31"/>
        <v>0</v>
      </c>
      <c r="S72" s="179">
        <v>0</v>
      </c>
      <c r="T72" s="80">
        <f t="shared" si="32"/>
        <v>0</v>
      </c>
      <c r="U72" s="179">
        <v>0</v>
      </c>
      <c r="V72" s="80">
        <f t="shared" si="33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4"/>
        <v>0</v>
      </c>
      <c r="E73" s="179">
        <v>0</v>
      </c>
      <c r="F73" s="80">
        <f t="shared" si="25"/>
        <v>0</v>
      </c>
      <c r="G73" s="179">
        <v>0</v>
      </c>
      <c r="H73" s="80">
        <f t="shared" si="26"/>
        <v>0</v>
      </c>
      <c r="I73" s="179">
        <v>0</v>
      </c>
      <c r="J73" s="80">
        <f t="shared" si="27"/>
        <v>0</v>
      </c>
      <c r="K73" s="179">
        <v>0</v>
      </c>
      <c r="L73" s="80">
        <f t="shared" si="28"/>
        <v>0</v>
      </c>
      <c r="M73" s="179">
        <v>0</v>
      </c>
      <c r="N73" s="80">
        <f t="shared" si="29"/>
        <v>0</v>
      </c>
      <c r="O73" s="179">
        <v>0</v>
      </c>
      <c r="P73" s="80">
        <f t="shared" si="30"/>
        <v>0</v>
      </c>
      <c r="Q73" s="179">
        <v>0</v>
      </c>
      <c r="R73" s="80">
        <f t="shared" si="31"/>
        <v>0</v>
      </c>
      <c r="S73" s="179">
        <v>0</v>
      </c>
      <c r="T73" s="80">
        <f t="shared" si="32"/>
        <v>0</v>
      </c>
      <c r="U73" s="179">
        <v>0</v>
      </c>
      <c r="V73" s="80">
        <f t="shared" si="33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4"/>
        <v>0</v>
      </c>
      <c r="E74" s="179">
        <v>0</v>
      </c>
      <c r="F74" s="80">
        <f t="shared" si="25"/>
        <v>0</v>
      </c>
      <c r="G74" s="179">
        <v>0</v>
      </c>
      <c r="H74" s="80">
        <f t="shared" si="26"/>
        <v>0</v>
      </c>
      <c r="I74" s="179">
        <v>0</v>
      </c>
      <c r="J74" s="80">
        <f t="shared" si="27"/>
        <v>0</v>
      </c>
      <c r="K74" s="179">
        <v>0</v>
      </c>
      <c r="L74" s="80">
        <f t="shared" si="28"/>
        <v>0</v>
      </c>
      <c r="M74" s="179">
        <v>0</v>
      </c>
      <c r="N74" s="80">
        <f t="shared" si="29"/>
        <v>0</v>
      </c>
      <c r="O74" s="179">
        <v>0</v>
      </c>
      <c r="P74" s="80">
        <f t="shared" si="30"/>
        <v>0</v>
      </c>
      <c r="Q74" s="179">
        <v>0</v>
      </c>
      <c r="R74" s="80">
        <f t="shared" si="31"/>
        <v>0</v>
      </c>
      <c r="S74" s="179">
        <v>0</v>
      </c>
      <c r="T74" s="80">
        <f t="shared" si="32"/>
        <v>0</v>
      </c>
      <c r="U74" s="179">
        <v>0</v>
      </c>
      <c r="V74" s="80">
        <f t="shared" si="33"/>
        <v>0</v>
      </c>
      <c r="X74" s="200"/>
    </row>
    <row r="75" spans="1:24" ht="12.75" customHeight="1">
      <c r="A75" s="2" t="s">
        <v>406</v>
      </c>
      <c r="B75" s="35"/>
      <c r="C75" s="179">
        <v>4500</v>
      </c>
      <c r="D75" s="80">
        <f t="shared" si="24"/>
        <v>5.0000000000000001E-3</v>
      </c>
      <c r="E75" s="179">
        <v>4000</v>
      </c>
      <c r="F75" s="80">
        <f t="shared" si="25"/>
        <v>5.0000000000000001E-3</v>
      </c>
      <c r="G75" s="179">
        <v>4080</v>
      </c>
      <c r="H75" s="80">
        <f t="shared" si="26"/>
        <v>5.0000000000000001E-3</v>
      </c>
      <c r="I75" s="179">
        <v>4161.6000000000004</v>
      </c>
      <c r="J75" s="80">
        <f t="shared" si="27"/>
        <v>5.0000000000000001E-3</v>
      </c>
      <c r="K75" s="179">
        <v>4244.8320000000003</v>
      </c>
      <c r="L75" s="80">
        <f t="shared" si="28"/>
        <v>5.0000000000000001E-3</v>
      </c>
      <c r="M75" s="179">
        <v>4329.7286400000003</v>
      </c>
      <c r="N75" s="80">
        <f t="shared" si="29"/>
        <v>5.0000000000000001E-3</v>
      </c>
      <c r="O75" s="179">
        <v>4416.3232128000009</v>
      </c>
      <c r="P75" s="80">
        <f t="shared" si="30"/>
        <v>5.000000000000001E-3</v>
      </c>
      <c r="Q75" s="179">
        <v>4504.6496770559997</v>
      </c>
      <c r="R75" s="80">
        <f t="shared" si="31"/>
        <v>4.9999999999999992E-3</v>
      </c>
      <c r="S75" s="179">
        <v>4594.7426705971202</v>
      </c>
      <c r="T75" s="80">
        <f t="shared" si="32"/>
        <v>5.0000000000000001E-3</v>
      </c>
      <c r="U75" s="179">
        <v>8505</v>
      </c>
      <c r="V75" s="80">
        <f t="shared" si="33"/>
        <v>5.0000000000000001E-3</v>
      </c>
      <c r="X75" s="200"/>
    </row>
    <row r="76" spans="1:24" ht="12.75" customHeight="1">
      <c r="A76" s="2" t="s">
        <v>407</v>
      </c>
      <c r="B76" s="35"/>
      <c r="C76" s="179">
        <v>360</v>
      </c>
      <c r="D76" s="80">
        <f t="shared" si="24"/>
        <v>4.0000000000000002E-4</v>
      </c>
      <c r="E76" s="179">
        <v>320</v>
      </c>
      <c r="F76" s="80">
        <f t="shared" si="25"/>
        <v>4.0000000000000002E-4</v>
      </c>
      <c r="G76" s="179">
        <v>326.39999999999998</v>
      </c>
      <c r="H76" s="80">
        <f t="shared" si="26"/>
        <v>3.9999999999999996E-4</v>
      </c>
      <c r="I76" s="179">
        <v>332.928</v>
      </c>
      <c r="J76" s="80">
        <f t="shared" si="27"/>
        <v>4.0000000000000002E-4</v>
      </c>
      <c r="K76" s="179">
        <v>339.58656000000002</v>
      </c>
      <c r="L76" s="80">
        <f t="shared" si="28"/>
        <v>4.0000000000000002E-4</v>
      </c>
      <c r="M76" s="179">
        <v>346.37829120000004</v>
      </c>
      <c r="N76" s="80">
        <f t="shared" si="29"/>
        <v>4.0000000000000002E-4</v>
      </c>
      <c r="O76" s="179">
        <v>353.30585702400009</v>
      </c>
      <c r="P76" s="80">
        <f t="shared" si="30"/>
        <v>4.0000000000000007E-4</v>
      </c>
      <c r="Q76" s="179">
        <v>360.37197416448004</v>
      </c>
      <c r="R76" s="80">
        <f t="shared" si="31"/>
        <v>4.0000000000000002E-4</v>
      </c>
      <c r="S76" s="179">
        <v>367.57941364776963</v>
      </c>
      <c r="T76" s="80">
        <f t="shared" si="32"/>
        <v>4.0000000000000002E-4</v>
      </c>
      <c r="U76" s="179">
        <v>680.40000000000009</v>
      </c>
      <c r="V76" s="80">
        <f t="shared" si="33"/>
        <v>4.0000000000000007E-4</v>
      </c>
      <c r="X76" s="200"/>
    </row>
    <row r="77" spans="1:24" ht="12.75" customHeight="1">
      <c r="A77" s="2" t="s">
        <v>408</v>
      </c>
      <c r="B77" s="35"/>
      <c r="C77" s="179">
        <v>1169.9999999999998</v>
      </c>
      <c r="D77" s="80">
        <f t="shared" si="24"/>
        <v>1.2999999999999997E-3</v>
      </c>
      <c r="E77" s="179">
        <v>1040</v>
      </c>
      <c r="F77" s="80">
        <f t="shared" si="25"/>
        <v>1.2999999999999999E-3</v>
      </c>
      <c r="G77" s="179">
        <v>1060.8</v>
      </c>
      <c r="H77" s="80">
        <f t="shared" si="26"/>
        <v>1.2999999999999999E-3</v>
      </c>
      <c r="I77" s="179">
        <v>1082.0160000000001</v>
      </c>
      <c r="J77" s="80">
        <f t="shared" si="27"/>
        <v>1.3000000000000002E-3</v>
      </c>
      <c r="K77" s="179">
        <v>1103.6563199999998</v>
      </c>
      <c r="L77" s="80">
        <f t="shared" si="28"/>
        <v>1.2999999999999997E-3</v>
      </c>
      <c r="M77" s="179">
        <v>1125.7294463999999</v>
      </c>
      <c r="N77" s="80">
        <f t="shared" si="29"/>
        <v>1.2999999999999999E-3</v>
      </c>
      <c r="O77" s="179">
        <v>1148.2440353280001</v>
      </c>
      <c r="P77" s="80">
        <f t="shared" si="30"/>
        <v>1.2999999999999999E-3</v>
      </c>
      <c r="Q77" s="179">
        <v>1171.2089160345599</v>
      </c>
      <c r="R77" s="80">
        <f t="shared" si="31"/>
        <v>1.2999999999999999E-3</v>
      </c>
      <c r="S77" s="179">
        <v>1194.6330943552512</v>
      </c>
      <c r="T77" s="80">
        <f t="shared" si="32"/>
        <v>1.2999999999999999E-3</v>
      </c>
      <c r="U77" s="179">
        <v>2211.3000000000002</v>
      </c>
      <c r="V77" s="80">
        <f t="shared" si="33"/>
        <v>1.3000000000000002E-3</v>
      </c>
      <c r="X77" s="200"/>
    </row>
    <row r="78" spans="1:24" ht="12.75" customHeight="1">
      <c r="A78" s="2" t="s">
        <v>409</v>
      </c>
      <c r="B78" s="35"/>
      <c r="C78" s="179">
        <v>19799.999999999996</v>
      </c>
      <c r="D78" s="80">
        <f t="shared" si="24"/>
        <v>2.1999999999999995E-2</v>
      </c>
      <c r="E78" s="179">
        <v>17600</v>
      </c>
      <c r="F78" s="80">
        <f t="shared" si="25"/>
        <v>2.1999999999999999E-2</v>
      </c>
      <c r="G78" s="179">
        <v>17951.999999999996</v>
      </c>
      <c r="H78" s="80">
        <f t="shared" si="26"/>
        <v>2.1999999999999995E-2</v>
      </c>
      <c r="I78" s="179">
        <v>18311.039999999997</v>
      </c>
      <c r="J78" s="80">
        <f t="shared" si="27"/>
        <v>2.1999999999999995E-2</v>
      </c>
      <c r="K78" s="179">
        <v>18677.2608</v>
      </c>
      <c r="L78" s="80">
        <f t="shared" si="28"/>
        <v>2.1999999999999999E-2</v>
      </c>
      <c r="M78" s="179">
        <v>19050.806016000002</v>
      </c>
      <c r="N78" s="80">
        <f t="shared" si="29"/>
        <v>2.2000000000000002E-2</v>
      </c>
      <c r="O78" s="179">
        <v>19431.822136319999</v>
      </c>
      <c r="P78" s="80">
        <f t="shared" si="30"/>
        <v>2.1999999999999999E-2</v>
      </c>
      <c r="Q78" s="179">
        <v>19820.458579046397</v>
      </c>
      <c r="R78" s="80">
        <f t="shared" si="31"/>
        <v>2.1999999999999995E-2</v>
      </c>
      <c r="S78" s="179">
        <v>20216.867750627327</v>
      </c>
      <c r="T78" s="80">
        <f t="shared" si="32"/>
        <v>2.1999999999999999E-2</v>
      </c>
      <c r="U78" s="179">
        <v>37422</v>
      </c>
      <c r="V78" s="80">
        <f t="shared" si="33"/>
        <v>2.1999999999999999E-2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4"/>
        <v>0</v>
      </c>
      <c r="E79" s="179">
        <v>0</v>
      </c>
      <c r="F79" s="80">
        <f t="shared" si="25"/>
        <v>0</v>
      </c>
      <c r="G79" s="179">
        <v>0</v>
      </c>
      <c r="H79" s="80">
        <f t="shared" si="26"/>
        <v>0</v>
      </c>
      <c r="I79" s="179">
        <v>0</v>
      </c>
      <c r="J79" s="80">
        <f t="shared" si="27"/>
        <v>0</v>
      </c>
      <c r="K79" s="179">
        <v>0</v>
      </c>
      <c r="L79" s="80">
        <f t="shared" si="28"/>
        <v>0</v>
      </c>
      <c r="M79" s="179">
        <v>0</v>
      </c>
      <c r="N79" s="80">
        <f t="shared" si="29"/>
        <v>0</v>
      </c>
      <c r="O79" s="179">
        <v>0</v>
      </c>
      <c r="P79" s="80">
        <f t="shared" si="30"/>
        <v>0</v>
      </c>
      <c r="Q79" s="179">
        <v>0</v>
      </c>
      <c r="R79" s="80">
        <f t="shared" si="31"/>
        <v>0</v>
      </c>
      <c r="S79" s="179">
        <v>0</v>
      </c>
      <c r="T79" s="80">
        <f t="shared" si="32"/>
        <v>0</v>
      </c>
      <c r="U79" s="179">
        <v>0</v>
      </c>
      <c r="V79" s="80">
        <f t="shared" si="33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4"/>
        <v>0</v>
      </c>
      <c r="E80" s="179">
        <v>0</v>
      </c>
      <c r="F80" s="80">
        <f t="shared" si="25"/>
        <v>0</v>
      </c>
      <c r="G80" s="179">
        <v>0</v>
      </c>
      <c r="H80" s="80">
        <f t="shared" si="26"/>
        <v>0</v>
      </c>
      <c r="I80" s="179">
        <v>0</v>
      </c>
      <c r="J80" s="80">
        <f t="shared" si="27"/>
        <v>0</v>
      </c>
      <c r="K80" s="179">
        <v>0</v>
      </c>
      <c r="L80" s="80">
        <f t="shared" si="28"/>
        <v>0</v>
      </c>
      <c r="M80" s="179">
        <v>0</v>
      </c>
      <c r="N80" s="80">
        <f t="shared" si="29"/>
        <v>0</v>
      </c>
      <c r="O80" s="179">
        <v>0</v>
      </c>
      <c r="P80" s="80">
        <f t="shared" si="30"/>
        <v>0</v>
      </c>
      <c r="Q80" s="179">
        <v>0</v>
      </c>
      <c r="R80" s="80">
        <f t="shared" si="31"/>
        <v>0</v>
      </c>
      <c r="S80" s="179">
        <v>0</v>
      </c>
      <c r="T80" s="80">
        <f t="shared" si="32"/>
        <v>0</v>
      </c>
      <c r="U80" s="179">
        <v>0</v>
      </c>
      <c r="V80" s="80">
        <f t="shared" si="33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4"/>
        <v>0</v>
      </c>
      <c r="E81" s="179">
        <v>0</v>
      </c>
      <c r="F81" s="80">
        <f t="shared" si="25"/>
        <v>0</v>
      </c>
      <c r="G81" s="179">
        <v>0</v>
      </c>
      <c r="H81" s="80">
        <f t="shared" si="26"/>
        <v>0</v>
      </c>
      <c r="I81" s="179">
        <v>0</v>
      </c>
      <c r="J81" s="80">
        <f t="shared" si="27"/>
        <v>0</v>
      </c>
      <c r="K81" s="179">
        <v>0</v>
      </c>
      <c r="L81" s="80">
        <f t="shared" si="28"/>
        <v>0</v>
      </c>
      <c r="M81" s="179">
        <v>0</v>
      </c>
      <c r="N81" s="80">
        <f t="shared" si="29"/>
        <v>0</v>
      </c>
      <c r="O81" s="179">
        <v>0</v>
      </c>
      <c r="P81" s="80">
        <f t="shared" si="30"/>
        <v>0</v>
      </c>
      <c r="Q81" s="179">
        <v>0</v>
      </c>
      <c r="R81" s="80">
        <f t="shared" si="31"/>
        <v>0</v>
      </c>
      <c r="S81" s="179">
        <v>0</v>
      </c>
      <c r="T81" s="80">
        <f t="shared" si="32"/>
        <v>0</v>
      </c>
      <c r="U81" s="179">
        <v>0</v>
      </c>
      <c r="V81" s="80">
        <f t="shared" si="33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4"/>
        <v>0</v>
      </c>
      <c r="E82" s="179">
        <v>0</v>
      </c>
      <c r="F82" s="80">
        <f t="shared" si="25"/>
        <v>0</v>
      </c>
      <c r="G82" s="179">
        <v>0</v>
      </c>
      <c r="H82" s="80">
        <f t="shared" si="26"/>
        <v>0</v>
      </c>
      <c r="I82" s="179">
        <v>0</v>
      </c>
      <c r="J82" s="80">
        <f t="shared" si="27"/>
        <v>0</v>
      </c>
      <c r="K82" s="179">
        <v>0</v>
      </c>
      <c r="L82" s="80">
        <f t="shared" si="28"/>
        <v>0</v>
      </c>
      <c r="M82" s="179">
        <v>0</v>
      </c>
      <c r="N82" s="80">
        <f t="shared" si="29"/>
        <v>0</v>
      </c>
      <c r="O82" s="179">
        <v>0</v>
      </c>
      <c r="P82" s="80">
        <f t="shared" si="30"/>
        <v>0</v>
      </c>
      <c r="Q82" s="179">
        <v>0</v>
      </c>
      <c r="R82" s="80">
        <f t="shared" si="31"/>
        <v>0</v>
      </c>
      <c r="S82" s="179">
        <v>0</v>
      </c>
      <c r="T82" s="80">
        <f t="shared" si="32"/>
        <v>0</v>
      </c>
      <c r="U82" s="179">
        <v>0</v>
      </c>
      <c r="V82" s="80">
        <f t="shared" si="33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4"/>
        <v>0</v>
      </c>
      <c r="E83" s="179">
        <v>0</v>
      </c>
      <c r="F83" s="80">
        <f t="shared" si="25"/>
        <v>0</v>
      </c>
      <c r="G83" s="179">
        <v>0</v>
      </c>
      <c r="H83" s="80">
        <f t="shared" si="26"/>
        <v>0</v>
      </c>
      <c r="I83" s="179">
        <v>0</v>
      </c>
      <c r="J83" s="80">
        <f t="shared" si="27"/>
        <v>0</v>
      </c>
      <c r="K83" s="179">
        <v>0</v>
      </c>
      <c r="L83" s="80">
        <f t="shared" si="28"/>
        <v>0</v>
      </c>
      <c r="M83" s="179">
        <v>0</v>
      </c>
      <c r="N83" s="80">
        <f t="shared" si="29"/>
        <v>0</v>
      </c>
      <c r="O83" s="179">
        <v>0</v>
      </c>
      <c r="P83" s="80">
        <f t="shared" si="30"/>
        <v>0</v>
      </c>
      <c r="Q83" s="179">
        <v>0</v>
      </c>
      <c r="R83" s="80">
        <f t="shared" si="31"/>
        <v>0</v>
      </c>
      <c r="S83" s="179">
        <v>0</v>
      </c>
      <c r="T83" s="80">
        <f t="shared" si="32"/>
        <v>0</v>
      </c>
      <c r="U83" s="179">
        <v>0</v>
      </c>
      <c r="V83" s="80">
        <f t="shared" si="33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4"/>
        <v>0</v>
      </c>
      <c r="E84" s="179">
        <v>0</v>
      </c>
      <c r="F84" s="80">
        <f t="shared" si="25"/>
        <v>0</v>
      </c>
      <c r="G84" s="179">
        <v>0</v>
      </c>
      <c r="H84" s="80">
        <f t="shared" si="26"/>
        <v>0</v>
      </c>
      <c r="I84" s="179">
        <v>0</v>
      </c>
      <c r="J84" s="80">
        <f t="shared" si="27"/>
        <v>0</v>
      </c>
      <c r="K84" s="179">
        <v>0</v>
      </c>
      <c r="L84" s="80">
        <f t="shared" si="28"/>
        <v>0</v>
      </c>
      <c r="M84" s="179">
        <v>0</v>
      </c>
      <c r="N84" s="80">
        <f t="shared" si="29"/>
        <v>0</v>
      </c>
      <c r="O84" s="179">
        <v>0</v>
      </c>
      <c r="P84" s="80">
        <f t="shared" si="30"/>
        <v>0</v>
      </c>
      <c r="Q84" s="179">
        <v>0</v>
      </c>
      <c r="R84" s="80">
        <f t="shared" si="31"/>
        <v>0</v>
      </c>
      <c r="S84" s="179">
        <v>0</v>
      </c>
      <c r="T84" s="80">
        <f t="shared" si="32"/>
        <v>0</v>
      </c>
      <c r="U84" s="179">
        <v>0</v>
      </c>
      <c r="V84" s="80">
        <f t="shared" si="33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4"/>
        <v>0</v>
      </c>
      <c r="E85" s="179">
        <v>0</v>
      </c>
      <c r="F85" s="80">
        <f t="shared" si="25"/>
        <v>0</v>
      </c>
      <c r="G85" s="179">
        <v>0</v>
      </c>
      <c r="H85" s="80">
        <f t="shared" si="26"/>
        <v>0</v>
      </c>
      <c r="I85" s="179">
        <v>0</v>
      </c>
      <c r="J85" s="80">
        <f t="shared" si="27"/>
        <v>0</v>
      </c>
      <c r="K85" s="179">
        <v>0</v>
      </c>
      <c r="L85" s="80">
        <f t="shared" si="28"/>
        <v>0</v>
      </c>
      <c r="M85" s="179">
        <v>0</v>
      </c>
      <c r="N85" s="80">
        <f t="shared" si="29"/>
        <v>0</v>
      </c>
      <c r="O85" s="179">
        <v>0</v>
      </c>
      <c r="P85" s="80">
        <f t="shared" si="30"/>
        <v>0</v>
      </c>
      <c r="Q85" s="179">
        <v>0</v>
      </c>
      <c r="R85" s="80">
        <f t="shared" si="31"/>
        <v>0</v>
      </c>
      <c r="S85" s="179">
        <v>0</v>
      </c>
      <c r="T85" s="80">
        <f t="shared" si="32"/>
        <v>0</v>
      </c>
      <c r="U85" s="179">
        <v>0</v>
      </c>
      <c r="V85" s="80">
        <f t="shared" si="33"/>
        <v>0</v>
      </c>
      <c r="X85" s="200"/>
    </row>
    <row r="86" spans="1:24" ht="12.75" customHeight="1">
      <c r="A86" s="2" t="s">
        <v>417</v>
      </c>
      <c r="B86" s="35"/>
      <c r="C86" s="179">
        <v>3599.9999999999995</v>
      </c>
      <c r="D86" s="80">
        <f t="shared" si="24"/>
        <v>3.9999999999999992E-3</v>
      </c>
      <c r="E86" s="179">
        <v>3200.0000000000005</v>
      </c>
      <c r="F86" s="80">
        <f t="shared" si="25"/>
        <v>4.000000000000001E-3</v>
      </c>
      <c r="G86" s="179">
        <v>3264</v>
      </c>
      <c r="H86" s="80">
        <f t="shared" si="26"/>
        <v>4.0000000000000001E-3</v>
      </c>
      <c r="I86" s="179">
        <v>3329.28</v>
      </c>
      <c r="J86" s="80">
        <f t="shared" si="27"/>
        <v>4.0000000000000001E-3</v>
      </c>
      <c r="K86" s="179">
        <v>3395.8656000000001</v>
      </c>
      <c r="L86" s="80">
        <f t="shared" si="28"/>
        <v>4.0000000000000001E-3</v>
      </c>
      <c r="M86" s="179">
        <v>3463.7829120000001</v>
      </c>
      <c r="N86" s="80">
        <f t="shared" si="29"/>
        <v>4.0000000000000001E-3</v>
      </c>
      <c r="O86" s="179">
        <v>3533.0585702400003</v>
      </c>
      <c r="P86" s="80">
        <f t="shared" si="30"/>
        <v>4.0000000000000001E-3</v>
      </c>
      <c r="Q86" s="179">
        <v>3603.7197416448003</v>
      </c>
      <c r="R86" s="80">
        <f t="shared" si="31"/>
        <v>4.0000000000000001E-3</v>
      </c>
      <c r="S86" s="179">
        <v>3675.7941364776962</v>
      </c>
      <c r="T86" s="80">
        <f t="shared" si="32"/>
        <v>4.0000000000000001E-3</v>
      </c>
      <c r="U86" s="179">
        <v>6804</v>
      </c>
      <c r="V86" s="80">
        <f t="shared" si="33"/>
        <v>4.0000000000000001E-3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4"/>
        <v>0</v>
      </c>
      <c r="E87" s="179">
        <v>0</v>
      </c>
      <c r="F87" s="80">
        <f t="shared" si="25"/>
        <v>0</v>
      </c>
      <c r="G87" s="179">
        <v>0</v>
      </c>
      <c r="H87" s="80">
        <f t="shared" si="26"/>
        <v>0</v>
      </c>
      <c r="I87" s="179">
        <v>0</v>
      </c>
      <c r="J87" s="80">
        <f t="shared" si="27"/>
        <v>0</v>
      </c>
      <c r="K87" s="179">
        <v>0</v>
      </c>
      <c r="L87" s="80">
        <f t="shared" si="28"/>
        <v>0</v>
      </c>
      <c r="M87" s="179">
        <v>0</v>
      </c>
      <c r="N87" s="80">
        <f t="shared" si="29"/>
        <v>0</v>
      </c>
      <c r="O87" s="179">
        <v>0</v>
      </c>
      <c r="P87" s="80">
        <f t="shared" si="30"/>
        <v>0</v>
      </c>
      <c r="Q87" s="179">
        <v>0</v>
      </c>
      <c r="R87" s="80">
        <f t="shared" si="31"/>
        <v>0</v>
      </c>
      <c r="S87" s="179">
        <v>0</v>
      </c>
      <c r="T87" s="80">
        <f t="shared" si="32"/>
        <v>0</v>
      </c>
      <c r="U87" s="179">
        <v>0</v>
      </c>
      <c r="V87" s="80">
        <f t="shared" si="33"/>
        <v>0</v>
      </c>
      <c r="X87" s="200"/>
    </row>
    <row r="88" spans="1:24" ht="12.75" customHeight="1">
      <c r="A88" s="2" t="s">
        <v>419</v>
      </c>
      <c r="B88" s="35"/>
      <c r="C88" s="179">
        <v>4590</v>
      </c>
      <c r="D88" s="80">
        <f t="shared" si="24"/>
        <v>5.1000000000000004E-3</v>
      </c>
      <c r="E88" s="179">
        <v>4080.0000000000005</v>
      </c>
      <c r="F88" s="80">
        <f t="shared" si="25"/>
        <v>5.1000000000000004E-3</v>
      </c>
      <c r="G88" s="179">
        <v>4161.6000000000004</v>
      </c>
      <c r="H88" s="80">
        <f t="shared" si="26"/>
        <v>5.1000000000000004E-3</v>
      </c>
      <c r="I88" s="179">
        <v>4244.8320000000003</v>
      </c>
      <c r="J88" s="80">
        <f t="shared" si="27"/>
        <v>5.1000000000000004E-3</v>
      </c>
      <c r="K88" s="179">
        <v>4329.7286400000003</v>
      </c>
      <c r="L88" s="80">
        <f t="shared" si="28"/>
        <v>5.1000000000000004E-3</v>
      </c>
      <c r="M88" s="179">
        <v>4416.3232128000009</v>
      </c>
      <c r="N88" s="80">
        <f t="shared" si="29"/>
        <v>5.1000000000000012E-3</v>
      </c>
      <c r="O88" s="179">
        <v>4504.6496770560007</v>
      </c>
      <c r="P88" s="80">
        <f t="shared" si="30"/>
        <v>5.1000000000000004E-3</v>
      </c>
      <c r="Q88" s="179">
        <v>4594.7426705971202</v>
      </c>
      <c r="R88" s="80">
        <f t="shared" si="31"/>
        <v>5.1000000000000004E-3</v>
      </c>
      <c r="S88" s="179">
        <v>4686.6375240090629</v>
      </c>
      <c r="T88" s="80">
        <f t="shared" si="32"/>
        <v>5.1000000000000004E-3</v>
      </c>
      <c r="U88" s="179">
        <v>8675.1000000000022</v>
      </c>
      <c r="V88" s="80">
        <f t="shared" si="33"/>
        <v>5.1000000000000012E-3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4"/>
        <v>0</v>
      </c>
      <c r="E89" s="179">
        <v>0</v>
      </c>
      <c r="F89" s="80">
        <f t="shared" si="25"/>
        <v>0</v>
      </c>
      <c r="G89" s="179">
        <v>0</v>
      </c>
      <c r="H89" s="80">
        <f t="shared" si="26"/>
        <v>0</v>
      </c>
      <c r="I89" s="179">
        <v>0</v>
      </c>
      <c r="J89" s="80">
        <f t="shared" si="27"/>
        <v>0</v>
      </c>
      <c r="K89" s="179">
        <v>0</v>
      </c>
      <c r="L89" s="80">
        <f t="shared" si="28"/>
        <v>0</v>
      </c>
      <c r="M89" s="179">
        <v>0</v>
      </c>
      <c r="N89" s="80">
        <f t="shared" si="29"/>
        <v>0</v>
      </c>
      <c r="O89" s="179">
        <v>0</v>
      </c>
      <c r="P89" s="80">
        <f t="shared" si="30"/>
        <v>0</v>
      </c>
      <c r="Q89" s="179">
        <v>0</v>
      </c>
      <c r="R89" s="80">
        <f t="shared" si="31"/>
        <v>0</v>
      </c>
      <c r="S89" s="179">
        <v>0</v>
      </c>
      <c r="T89" s="80">
        <f t="shared" si="32"/>
        <v>0</v>
      </c>
      <c r="U89" s="179">
        <v>0</v>
      </c>
      <c r="V89" s="80">
        <f t="shared" si="33"/>
        <v>0</v>
      </c>
      <c r="X89" s="200"/>
    </row>
    <row r="90" spans="1:24" ht="12.75" customHeight="1">
      <c r="A90" s="2" t="s">
        <v>421</v>
      </c>
      <c r="B90" s="35"/>
      <c r="C90" s="179">
        <v>180</v>
      </c>
      <c r="D90" s="80">
        <f t="shared" si="24"/>
        <v>2.0000000000000001E-4</v>
      </c>
      <c r="E90" s="179">
        <v>160</v>
      </c>
      <c r="F90" s="80">
        <f t="shared" si="25"/>
        <v>2.0000000000000001E-4</v>
      </c>
      <c r="G90" s="179">
        <v>163.19999999999999</v>
      </c>
      <c r="H90" s="80">
        <f t="shared" si="26"/>
        <v>1.9999999999999998E-4</v>
      </c>
      <c r="I90" s="179">
        <v>166.464</v>
      </c>
      <c r="J90" s="80">
        <f t="shared" si="27"/>
        <v>2.0000000000000001E-4</v>
      </c>
      <c r="K90" s="179">
        <v>169.79328000000001</v>
      </c>
      <c r="L90" s="80">
        <f t="shared" si="28"/>
        <v>2.0000000000000001E-4</v>
      </c>
      <c r="M90" s="179">
        <v>173.18914560000002</v>
      </c>
      <c r="N90" s="80">
        <f t="shared" si="29"/>
        <v>2.0000000000000001E-4</v>
      </c>
      <c r="O90" s="179">
        <v>176.65292851200005</v>
      </c>
      <c r="P90" s="80">
        <f t="shared" si="30"/>
        <v>2.0000000000000004E-4</v>
      </c>
      <c r="Q90" s="179">
        <v>180.18598708224002</v>
      </c>
      <c r="R90" s="80">
        <f t="shared" si="31"/>
        <v>2.0000000000000001E-4</v>
      </c>
      <c r="S90" s="179">
        <v>183.78970682388481</v>
      </c>
      <c r="T90" s="80">
        <f t="shared" si="32"/>
        <v>2.0000000000000001E-4</v>
      </c>
      <c r="U90" s="179">
        <v>340.20000000000005</v>
      </c>
      <c r="V90" s="80">
        <f t="shared" si="33"/>
        <v>2.0000000000000004E-4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24"/>
        <v>0</v>
      </c>
      <c r="E91" s="179">
        <v>0</v>
      </c>
      <c r="F91" s="80">
        <f t="shared" si="25"/>
        <v>0</v>
      </c>
      <c r="G91" s="179">
        <v>0</v>
      </c>
      <c r="H91" s="80">
        <f t="shared" si="26"/>
        <v>0</v>
      </c>
      <c r="I91" s="179">
        <v>0</v>
      </c>
      <c r="J91" s="80">
        <f t="shared" si="27"/>
        <v>0</v>
      </c>
      <c r="K91" s="179">
        <v>0</v>
      </c>
      <c r="L91" s="80">
        <f t="shared" si="28"/>
        <v>0</v>
      </c>
      <c r="M91" s="179">
        <v>0</v>
      </c>
      <c r="N91" s="80">
        <f t="shared" si="29"/>
        <v>0</v>
      </c>
      <c r="O91" s="179">
        <v>0</v>
      </c>
      <c r="P91" s="80">
        <f t="shared" si="30"/>
        <v>0</v>
      </c>
      <c r="Q91" s="179">
        <v>0</v>
      </c>
      <c r="R91" s="80">
        <f t="shared" si="31"/>
        <v>0</v>
      </c>
      <c r="S91" s="179">
        <v>0</v>
      </c>
      <c r="T91" s="80">
        <f t="shared" si="32"/>
        <v>0</v>
      </c>
      <c r="U91" s="179">
        <v>0</v>
      </c>
      <c r="V91" s="80">
        <f t="shared" si="33"/>
        <v>0</v>
      </c>
      <c r="X91" s="200"/>
    </row>
    <row r="92" spans="1:24" ht="12.75" customHeight="1">
      <c r="A92" s="2" t="s">
        <v>423</v>
      </c>
      <c r="B92" s="35"/>
      <c r="C92" s="179">
        <v>4679.9999999999991</v>
      </c>
      <c r="D92" s="80">
        <f t="shared" si="24"/>
        <v>5.1999999999999989E-3</v>
      </c>
      <c r="E92" s="179">
        <v>4160</v>
      </c>
      <c r="F92" s="80">
        <f t="shared" si="25"/>
        <v>5.1999999999999998E-3</v>
      </c>
      <c r="G92" s="179">
        <v>4243.2</v>
      </c>
      <c r="H92" s="80">
        <f t="shared" si="26"/>
        <v>5.1999999999999998E-3</v>
      </c>
      <c r="I92" s="179">
        <v>4328.0640000000003</v>
      </c>
      <c r="J92" s="80">
        <f t="shared" si="27"/>
        <v>5.2000000000000006E-3</v>
      </c>
      <c r="K92" s="179">
        <v>4414.6252799999993</v>
      </c>
      <c r="L92" s="80">
        <f t="shared" si="28"/>
        <v>5.1999999999999989E-3</v>
      </c>
      <c r="M92" s="179">
        <v>4502.9177855999997</v>
      </c>
      <c r="N92" s="80">
        <f t="shared" si="29"/>
        <v>5.1999999999999998E-3</v>
      </c>
      <c r="O92" s="179">
        <v>4592.9761413120004</v>
      </c>
      <c r="P92" s="80">
        <f t="shared" si="30"/>
        <v>5.1999999999999998E-3</v>
      </c>
      <c r="Q92" s="179">
        <v>4684.8356641382397</v>
      </c>
      <c r="R92" s="80">
        <f t="shared" si="31"/>
        <v>5.1999999999999998E-3</v>
      </c>
      <c r="S92" s="179">
        <v>4778.5323774210046</v>
      </c>
      <c r="T92" s="80">
        <f t="shared" si="32"/>
        <v>5.1999999999999998E-3</v>
      </c>
      <c r="U92" s="179">
        <v>8845.2000000000007</v>
      </c>
      <c r="V92" s="80">
        <f t="shared" si="33"/>
        <v>5.2000000000000006E-3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4"/>
        <v>0</v>
      </c>
      <c r="E93" s="179">
        <v>0</v>
      </c>
      <c r="F93" s="80">
        <f t="shared" si="25"/>
        <v>0</v>
      </c>
      <c r="G93" s="179">
        <v>0</v>
      </c>
      <c r="H93" s="80">
        <f t="shared" si="26"/>
        <v>0</v>
      </c>
      <c r="I93" s="179">
        <v>0</v>
      </c>
      <c r="J93" s="80">
        <f t="shared" si="27"/>
        <v>0</v>
      </c>
      <c r="K93" s="179">
        <v>0</v>
      </c>
      <c r="L93" s="80">
        <f t="shared" si="28"/>
        <v>0</v>
      </c>
      <c r="M93" s="179">
        <v>0</v>
      </c>
      <c r="N93" s="80">
        <f t="shared" si="29"/>
        <v>0</v>
      </c>
      <c r="O93" s="179">
        <v>0</v>
      </c>
      <c r="P93" s="80">
        <f t="shared" si="30"/>
        <v>0</v>
      </c>
      <c r="Q93" s="179">
        <v>0</v>
      </c>
      <c r="R93" s="80">
        <f t="shared" si="31"/>
        <v>0</v>
      </c>
      <c r="S93" s="179">
        <v>0</v>
      </c>
      <c r="T93" s="80">
        <f t="shared" si="32"/>
        <v>0</v>
      </c>
      <c r="U93" s="179">
        <v>0</v>
      </c>
      <c r="V93" s="80">
        <f t="shared" si="33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4"/>
        <v>0</v>
      </c>
      <c r="E94" s="179">
        <v>0</v>
      </c>
      <c r="F94" s="80">
        <f t="shared" si="25"/>
        <v>0</v>
      </c>
      <c r="G94" s="179">
        <v>0</v>
      </c>
      <c r="H94" s="80">
        <f t="shared" si="26"/>
        <v>0</v>
      </c>
      <c r="I94" s="179">
        <v>0</v>
      </c>
      <c r="J94" s="80">
        <f t="shared" si="27"/>
        <v>0</v>
      </c>
      <c r="K94" s="179">
        <v>0</v>
      </c>
      <c r="L94" s="80">
        <f t="shared" si="28"/>
        <v>0</v>
      </c>
      <c r="M94" s="179">
        <v>0</v>
      </c>
      <c r="N94" s="80">
        <f t="shared" si="29"/>
        <v>0</v>
      </c>
      <c r="O94" s="179">
        <v>0</v>
      </c>
      <c r="P94" s="80">
        <f t="shared" si="30"/>
        <v>0</v>
      </c>
      <c r="Q94" s="179">
        <v>0</v>
      </c>
      <c r="R94" s="80">
        <f t="shared" si="31"/>
        <v>0</v>
      </c>
      <c r="S94" s="179">
        <v>0</v>
      </c>
      <c r="T94" s="80">
        <f t="shared" si="32"/>
        <v>0</v>
      </c>
      <c r="U94" s="179">
        <v>0</v>
      </c>
      <c r="V94" s="80">
        <f t="shared" si="33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4"/>
        <v>0</v>
      </c>
      <c r="E95" s="179">
        <v>0</v>
      </c>
      <c r="F95" s="80">
        <f t="shared" si="25"/>
        <v>0</v>
      </c>
      <c r="G95" s="179">
        <v>0</v>
      </c>
      <c r="H95" s="80">
        <f t="shared" si="26"/>
        <v>0</v>
      </c>
      <c r="I95" s="179">
        <v>0</v>
      </c>
      <c r="J95" s="80">
        <f t="shared" si="27"/>
        <v>0</v>
      </c>
      <c r="K95" s="179">
        <v>0</v>
      </c>
      <c r="L95" s="80">
        <f t="shared" si="28"/>
        <v>0</v>
      </c>
      <c r="M95" s="179">
        <v>0</v>
      </c>
      <c r="N95" s="80">
        <f t="shared" si="29"/>
        <v>0</v>
      </c>
      <c r="O95" s="179">
        <v>0</v>
      </c>
      <c r="P95" s="80">
        <f t="shared" si="30"/>
        <v>0</v>
      </c>
      <c r="Q95" s="179">
        <v>0</v>
      </c>
      <c r="R95" s="80">
        <f t="shared" si="31"/>
        <v>0</v>
      </c>
      <c r="S95" s="179">
        <v>0</v>
      </c>
      <c r="T95" s="80">
        <f t="shared" si="32"/>
        <v>0</v>
      </c>
      <c r="U95" s="179">
        <v>0</v>
      </c>
      <c r="V95" s="80">
        <f t="shared" si="33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4"/>
        <v>0</v>
      </c>
      <c r="E96" s="179">
        <v>0</v>
      </c>
      <c r="F96" s="80">
        <f t="shared" si="25"/>
        <v>0</v>
      </c>
      <c r="G96" s="179">
        <v>0</v>
      </c>
      <c r="H96" s="80">
        <f t="shared" si="26"/>
        <v>0</v>
      </c>
      <c r="I96" s="179">
        <v>0</v>
      </c>
      <c r="J96" s="80">
        <f t="shared" si="27"/>
        <v>0</v>
      </c>
      <c r="K96" s="179">
        <v>0</v>
      </c>
      <c r="L96" s="80">
        <f t="shared" si="28"/>
        <v>0</v>
      </c>
      <c r="M96" s="179">
        <v>0</v>
      </c>
      <c r="N96" s="80">
        <f t="shared" si="29"/>
        <v>0</v>
      </c>
      <c r="O96" s="179">
        <v>0</v>
      </c>
      <c r="P96" s="80">
        <f t="shared" si="30"/>
        <v>0</v>
      </c>
      <c r="Q96" s="179">
        <v>0</v>
      </c>
      <c r="R96" s="80">
        <f t="shared" si="31"/>
        <v>0</v>
      </c>
      <c r="S96" s="179">
        <v>0</v>
      </c>
      <c r="T96" s="80">
        <f t="shared" si="32"/>
        <v>0</v>
      </c>
      <c r="U96" s="179">
        <v>0</v>
      </c>
      <c r="V96" s="80">
        <f t="shared" si="33"/>
        <v>0</v>
      </c>
      <c r="X96" s="200"/>
    </row>
    <row r="97" spans="1:24" ht="12.75" customHeight="1">
      <c r="A97" s="2" t="s">
        <v>428</v>
      </c>
      <c r="B97" s="35"/>
      <c r="C97" s="179">
        <v>5137.1608999999999</v>
      </c>
      <c r="D97" s="80">
        <f t="shared" si="24"/>
        <v>5.7079565555555557E-3</v>
      </c>
      <c r="E97" s="179">
        <v>5712.5229208000001</v>
      </c>
      <c r="F97" s="80">
        <f t="shared" si="25"/>
        <v>7.1406536509999998E-3</v>
      </c>
      <c r="G97" s="179">
        <v>5912.461223027999</v>
      </c>
      <c r="H97" s="80">
        <f t="shared" si="26"/>
        <v>7.2456632635147051E-3</v>
      </c>
      <c r="I97" s="179">
        <v>6101.659982164897</v>
      </c>
      <c r="J97" s="80">
        <f t="shared" si="27"/>
        <v>7.3309063607325271E-3</v>
      </c>
      <c r="K97" s="179">
        <v>6254.2014817190175</v>
      </c>
      <c r="L97" s="80">
        <f t="shared" si="28"/>
        <v>7.3668421762263115E-3</v>
      </c>
      <c r="M97" s="179">
        <v>6410.5565187619923</v>
      </c>
      <c r="N97" s="80">
        <f t="shared" si="29"/>
        <v>7.4029541476784005E-3</v>
      </c>
      <c r="O97" s="179">
        <v>6570.8204317310419</v>
      </c>
      <c r="P97" s="80">
        <f t="shared" si="30"/>
        <v>7.4392431385983922E-3</v>
      </c>
      <c r="Q97" s="179">
        <v>6735.0909425243171</v>
      </c>
      <c r="R97" s="80">
        <f t="shared" si="31"/>
        <v>7.4757100167287755E-3</v>
      </c>
      <c r="S97" s="179">
        <v>6903.4682160874236</v>
      </c>
      <c r="T97" s="80">
        <f t="shared" si="32"/>
        <v>7.5123556540656802E-3</v>
      </c>
      <c r="U97" s="179">
        <v>7076.05492148961</v>
      </c>
      <c r="V97" s="80">
        <f t="shared" si="33"/>
        <v>4.1599382254495065E-3</v>
      </c>
      <c r="X97" s="200"/>
    </row>
    <row r="98" spans="1:24" ht="12.75" customHeight="1">
      <c r="A98" s="117" t="s">
        <v>431</v>
      </c>
      <c r="B98" s="35"/>
      <c r="C98" s="179">
        <v>1079.9999999999998</v>
      </c>
      <c r="D98" s="80">
        <f t="shared" si="24"/>
        <v>1.1999999999999997E-3</v>
      </c>
      <c r="E98" s="179">
        <v>960</v>
      </c>
      <c r="F98" s="80">
        <f t="shared" si="25"/>
        <v>1.1999999999999999E-3</v>
      </c>
      <c r="G98" s="179">
        <v>979.19999999999982</v>
      </c>
      <c r="H98" s="80">
        <f t="shared" si="26"/>
        <v>1.1999999999999997E-3</v>
      </c>
      <c r="I98" s="179">
        <v>998.78399999999988</v>
      </c>
      <c r="J98" s="80">
        <f t="shared" si="27"/>
        <v>1.1999999999999999E-3</v>
      </c>
      <c r="K98" s="179">
        <v>1018.7596799999998</v>
      </c>
      <c r="L98" s="80">
        <f t="shared" si="28"/>
        <v>1.1999999999999997E-3</v>
      </c>
      <c r="M98" s="179">
        <v>1039.1348736</v>
      </c>
      <c r="N98" s="80">
        <f t="shared" si="29"/>
        <v>1.1999999999999999E-3</v>
      </c>
      <c r="O98" s="179">
        <v>1059.9175710720001</v>
      </c>
      <c r="P98" s="80">
        <f t="shared" si="30"/>
        <v>1.2000000000000001E-3</v>
      </c>
      <c r="Q98" s="179">
        <v>1081.1159224934397</v>
      </c>
      <c r="R98" s="80">
        <f t="shared" si="31"/>
        <v>1.1999999999999997E-3</v>
      </c>
      <c r="S98" s="179">
        <v>1102.7382409433089</v>
      </c>
      <c r="T98" s="80">
        <f t="shared" si="32"/>
        <v>1.2000000000000001E-3</v>
      </c>
      <c r="U98" s="179">
        <v>2041.1999999999998</v>
      </c>
      <c r="V98" s="80">
        <f t="shared" si="33"/>
        <v>1.1999999999999999E-3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4"/>
        <v>0</v>
      </c>
      <c r="E99" s="179">
        <v>0</v>
      </c>
      <c r="F99" s="80">
        <f t="shared" si="25"/>
        <v>0</v>
      </c>
      <c r="G99" s="179">
        <v>0</v>
      </c>
      <c r="H99" s="80">
        <f t="shared" si="26"/>
        <v>0</v>
      </c>
      <c r="I99" s="179">
        <v>0</v>
      </c>
      <c r="J99" s="80">
        <f t="shared" si="27"/>
        <v>0</v>
      </c>
      <c r="K99" s="179">
        <v>0</v>
      </c>
      <c r="L99" s="80">
        <f t="shared" si="28"/>
        <v>0</v>
      </c>
      <c r="M99" s="179">
        <v>0</v>
      </c>
      <c r="N99" s="80">
        <f t="shared" si="29"/>
        <v>0</v>
      </c>
      <c r="O99" s="179">
        <v>0</v>
      </c>
      <c r="P99" s="80">
        <f t="shared" si="30"/>
        <v>0</v>
      </c>
      <c r="Q99" s="179">
        <v>0</v>
      </c>
      <c r="R99" s="80">
        <f t="shared" si="31"/>
        <v>0</v>
      </c>
      <c r="S99" s="179">
        <v>0</v>
      </c>
      <c r="T99" s="80">
        <f t="shared" si="32"/>
        <v>0</v>
      </c>
      <c r="U99" s="179">
        <v>0</v>
      </c>
      <c r="V99" s="80">
        <f t="shared" si="33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4"/>
        <v>0</v>
      </c>
      <c r="E100" s="179">
        <v>0</v>
      </c>
      <c r="F100" s="80">
        <f t="shared" si="25"/>
        <v>0</v>
      </c>
      <c r="G100" s="179">
        <v>0</v>
      </c>
      <c r="H100" s="80">
        <f t="shared" si="26"/>
        <v>0</v>
      </c>
      <c r="I100" s="179">
        <v>0</v>
      </c>
      <c r="J100" s="80">
        <f t="shared" si="27"/>
        <v>0</v>
      </c>
      <c r="K100" s="179">
        <v>0</v>
      </c>
      <c r="L100" s="80">
        <f t="shared" si="28"/>
        <v>0</v>
      </c>
      <c r="M100" s="179">
        <v>0</v>
      </c>
      <c r="N100" s="80">
        <f t="shared" si="29"/>
        <v>0</v>
      </c>
      <c r="O100" s="179">
        <v>0</v>
      </c>
      <c r="P100" s="80">
        <f t="shared" si="30"/>
        <v>0</v>
      </c>
      <c r="Q100" s="179">
        <v>0</v>
      </c>
      <c r="R100" s="80">
        <f t="shared" si="31"/>
        <v>0</v>
      </c>
      <c r="S100" s="179">
        <v>0</v>
      </c>
      <c r="T100" s="80">
        <f t="shared" si="32"/>
        <v>0</v>
      </c>
      <c r="U100" s="179">
        <v>0</v>
      </c>
      <c r="V100" s="80">
        <f t="shared" si="33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4"/>
        <v>0</v>
      </c>
      <c r="E101" s="179"/>
      <c r="F101" s="80">
        <f t="shared" si="25"/>
        <v>0</v>
      </c>
      <c r="G101" s="179"/>
      <c r="H101" s="80">
        <f t="shared" si="26"/>
        <v>0</v>
      </c>
      <c r="I101" s="179">
        <v>0</v>
      </c>
      <c r="J101" s="80">
        <f t="shared" si="27"/>
        <v>0</v>
      </c>
      <c r="K101" s="179">
        <v>0</v>
      </c>
      <c r="L101" s="80">
        <f t="shared" si="28"/>
        <v>0</v>
      </c>
      <c r="M101" s="179">
        <v>0</v>
      </c>
      <c r="N101" s="80">
        <f t="shared" si="29"/>
        <v>0</v>
      </c>
      <c r="O101" s="179">
        <v>0</v>
      </c>
      <c r="P101" s="80">
        <f t="shared" si="30"/>
        <v>0</v>
      </c>
      <c r="Q101" s="179">
        <v>0</v>
      </c>
      <c r="R101" s="80">
        <f t="shared" si="31"/>
        <v>0</v>
      </c>
      <c r="S101" s="179">
        <v>0</v>
      </c>
      <c r="T101" s="80">
        <f t="shared" si="32"/>
        <v>0</v>
      </c>
      <c r="U101" s="179">
        <v>0</v>
      </c>
      <c r="V101" s="80">
        <f t="shared" si="33"/>
        <v>0</v>
      </c>
      <c r="X101" s="200"/>
    </row>
    <row r="102" spans="1:24" ht="12.75" customHeight="1">
      <c r="A102" s="117" t="s">
        <v>433</v>
      </c>
      <c r="B102" s="35"/>
      <c r="C102" s="179">
        <v>9000</v>
      </c>
      <c r="D102" s="80">
        <f t="shared" si="24"/>
        <v>0.01</v>
      </c>
      <c r="E102" s="179">
        <v>8000</v>
      </c>
      <c r="F102" s="80">
        <f t="shared" si="25"/>
        <v>0.01</v>
      </c>
      <c r="G102" s="179">
        <v>8160</v>
      </c>
      <c r="H102" s="80">
        <f t="shared" si="26"/>
        <v>0.01</v>
      </c>
      <c r="I102" s="179">
        <v>8323.2000000000007</v>
      </c>
      <c r="J102" s="80">
        <f t="shared" si="27"/>
        <v>0.01</v>
      </c>
      <c r="K102" s="179">
        <v>8489.6640000000007</v>
      </c>
      <c r="L102" s="80">
        <f t="shared" si="28"/>
        <v>0.01</v>
      </c>
      <c r="M102" s="179">
        <v>8659.4572800000005</v>
      </c>
      <c r="N102" s="80">
        <f t="shared" si="29"/>
        <v>0.01</v>
      </c>
      <c r="O102" s="179">
        <v>8832.6464256000017</v>
      </c>
      <c r="P102" s="80">
        <f t="shared" si="30"/>
        <v>1.0000000000000002E-2</v>
      </c>
      <c r="Q102" s="179">
        <v>9009.2993541119995</v>
      </c>
      <c r="R102" s="80">
        <f t="shared" si="31"/>
        <v>9.9999999999999985E-3</v>
      </c>
      <c r="S102" s="179">
        <v>9189.4853411942404</v>
      </c>
      <c r="T102" s="80">
        <f t="shared" si="32"/>
        <v>0.01</v>
      </c>
      <c r="U102" s="179">
        <v>17010</v>
      </c>
      <c r="V102" s="80">
        <f t="shared" si="33"/>
        <v>0.01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4"/>
        <v>0</v>
      </c>
      <c r="E103" s="179">
        <v>0</v>
      </c>
      <c r="F103" s="80">
        <f t="shared" si="25"/>
        <v>0</v>
      </c>
      <c r="G103" s="179">
        <v>0</v>
      </c>
      <c r="H103" s="80">
        <f t="shared" si="26"/>
        <v>0</v>
      </c>
      <c r="I103" s="179">
        <v>0</v>
      </c>
      <c r="J103" s="80">
        <f t="shared" si="27"/>
        <v>0</v>
      </c>
      <c r="K103" s="179">
        <v>0</v>
      </c>
      <c r="L103" s="80">
        <f t="shared" si="28"/>
        <v>0</v>
      </c>
      <c r="M103" s="179">
        <v>0</v>
      </c>
      <c r="N103" s="80">
        <f t="shared" si="29"/>
        <v>0</v>
      </c>
      <c r="O103" s="179">
        <v>0</v>
      </c>
      <c r="P103" s="80">
        <f t="shared" si="30"/>
        <v>0</v>
      </c>
      <c r="Q103" s="179">
        <v>0</v>
      </c>
      <c r="R103" s="80">
        <f t="shared" si="31"/>
        <v>0</v>
      </c>
      <c r="S103" s="179">
        <v>0</v>
      </c>
      <c r="T103" s="80">
        <f t="shared" si="32"/>
        <v>0</v>
      </c>
      <c r="U103" s="179">
        <v>0</v>
      </c>
      <c r="V103" s="80">
        <f t="shared" si="33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4"/>
        <v>0</v>
      </c>
      <c r="E104" s="179">
        <v>0</v>
      </c>
      <c r="F104" s="80">
        <f t="shared" si="25"/>
        <v>0</v>
      </c>
      <c r="G104" s="179">
        <v>0</v>
      </c>
      <c r="H104" s="80">
        <f t="shared" si="26"/>
        <v>0</v>
      </c>
      <c r="I104" s="179">
        <v>0</v>
      </c>
      <c r="J104" s="80">
        <f t="shared" si="27"/>
        <v>0</v>
      </c>
      <c r="K104" s="179">
        <v>0</v>
      </c>
      <c r="L104" s="80">
        <f t="shared" si="28"/>
        <v>0</v>
      </c>
      <c r="M104" s="179">
        <v>0</v>
      </c>
      <c r="N104" s="80">
        <f t="shared" si="29"/>
        <v>0</v>
      </c>
      <c r="O104" s="179">
        <v>0</v>
      </c>
      <c r="P104" s="80">
        <f t="shared" si="30"/>
        <v>0</v>
      </c>
      <c r="Q104" s="179">
        <v>0</v>
      </c>
      <c r="R104" s="80">
        <f t="shared" si="31"/>
        <v>0</v>
      </c>
      <c r="S104" s="179">
        <v>0</v>
      </c>
      <c r="T104" s="80">
        <f t="shared" si="32"/>
        <v>0</v>
      </c>
      <c r="U104" s="179">
        <v>0</v>
      </c>
      <c r="V104" s="80">
        <f t="shared" si="33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152946.35289425403</v>
      </c>
      <c r="D105" s="83">
        <f t="shared" ref="D105" si="34">IFERROR(C105/C$28,0)</f>
        <v>0.1699403921047267</v>
      </c>
      <c r="E105" s="82">
        <f>SUM(E52:E104)</f>
        <v>132326.37928386292</v>
      </c>
      <c r="F105" s="83">
        <f t="shared" ref="F105" si="35">IFERROR(E105/E$28,0)</f>
        <v>0.16540797410482866</v>
      </c>
      <c r="G105" s="82">
        <f>SUM(G52:G104)</f>
        <v>135993.09828633661</v>
      </c>
      <c r="H105" s="83">
        <f t="shared" ref="H105" si="36">IFERROR(G105/G$28,0)</f>
        <v>0.16665820868423603</v>
      </c>
      <c r="I105" s="82">
        <f>SUM(I52:I104)</f>
        <v>138719.08431825935</v>
      </c>
      <c r="J105" s="83">
        <f t="shared" ref="J105" si="37">IFERROR(I105/I$28,0)</f>
        <v>0.16666556651078834</v>
      </c>
      <c r="K105" s="82">
        <f>SUM(K52:K104)</f>
        <v>141437.69599008409</v>
      </c>
      <c r="L105" s="83">
        <f t="shared" ref="L105" si="38">IFERROR(K105/K$28,0)</f>
        <v>0.166599874847914</v>
      </c>
      <c r="M105" s="82">
        <f>SUM(M52:M104)</f>
        <v>144281.84310369362</v>
      </c>
      <c r="N105" s="83">
        <f t="shared" ref="N105" si="39">IFERROR(M105/M$28,0)</f>
        <v>0.16661765101252815</v>
      </c>
      <c r="O105" s="82">
        <f>SUM(O52:O104)</f>
        <v>147183.79545525284</v>
      </c>
      <c r="P105" s="83">
        <f t="shared" ref="P105" si="40">IFERROR(O105/O$28,0)</f>
        <v>0.16663612281440854</v>
      </c>
      <c r="Q105" s="82">
        <f>SUM(Q52:Q104)</f>
        <v>150144.46228557601</v>
      </c>
      <c r="R105" s="83">
        <f t="shared" ref="R105" si="41">IFERROR(Q105/Q$28,0)</f>
        <v>0.16665498212915689</v>
      </c>
      <c r="S105" s="82">
        <f>SUM(S52:S104)</f>
        <v>153164.77760424442</v>
      </c>
      <c r="T105" s="83">
        <f t="shared" ref="T105" si="42">IFERROR(S105/S$28,0)</f>
        <v>0.16667394518563924</v>
      </c>
      <c r="U105" s="82">
        <f>SUM(U52:U104)</f>
        <v>223763.07421554837</v>
      </c>
      <c r="V105" s="83">
        <f t="shared" si="33"/>
        <v>0.13154795662289734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316005.93710574601</v>
      </c>
      <c r="D107" s="83">
        <f>IFERROR(C107/C$28,0)</f>
        <v>0.35111770789527336</v>
      </c>
      <c r="E107" s="82">
        <f>E28-E33-E46-E105</f>
        <v>254612.56719613713</v>
      </c>
      <c r="F107" s="83">
        <f>IFERROR(E107/E$28,0)</f>
        <v>0.31826570899517143</v>
      </c>
      <c r="G107" s="82">
        <f>G28-G33-G46-G105</f>
        <v>256448.71132046342</v>
      </c>
      <c r="H107" s="83">
        <f>IFERROR(G107/G$28,0)</f>
        <v>0.31427538152017576</v>
      </c>
      <c r="I107" s="82">
        <f>I28-I33-I46-I105</f>
        <v>259720.2231959581</v>
      </c>
      <c r="J107" s="83">
        <f>IFERROR(I107/I$28,0)</f>
        <v>0.31204371299014572</v>
      </c>
      <c r="K107" s="82">
        <f>K28-K33-K46-K105</f>
        <v>264174.32221198897</v>
      </c>
      <c r="L107" s="83">
        <f>IFERROR(K107/K$28,0)</f>
        <v>0.31117170504273073</v>
      </c>
      <c r="M107" s="82">
        <f>M28-M33-M46-M105</f>
        <v>268626.43811343133</v>
      </c>
      <c r="N107" s="83">
        <f>IFERROR(M107/M$28,0)</f>
        <v>0.31021163270111002</v>
      </c>
      <c r="O107" s="82">
        <f>O28-O33-O46-O105</f>
        <v>273146.27460350015</v>
      </c>
      <c r="P107" s="83">
        <f>IFERROR(O107/O$28,0)</f>
        <v>0.30924624562331593</v>
      </c>
      <c r="Q107" s="82">
        <f>Q28-Q33-Q46-Q105</f>
        <v>277734.92297206982</v>
      </c>
      <c r="R107" s="83">
        <f>IFERROR(Q107/Q$28,0)</f>
        <v>0.30827582929110553</v>
      </c>
      <c r="S107" s="82">
        <f>S28-S33-S46-S105</f>
        <v>282393.47700121516</v>
      </c>
      <c r="T107" s="83">
        <f>IFERROR(S107/S$28,0)</f>
        <v>0.30730064472197749</v>
      </c>
      <c r="U107" s="82">
        <f>U28-U33-U46-U105</f>
        <v>731266.23094853328</v>
      </c>
      <c r="V107" s="83">
        <f>IFERROR(U107/U$28,0)</f>
        <v>0.42990372189802073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3">IFERROR(C111/C$28,0)</f>
        <v>0</v>
      </c>
      <c r="E111" s="79">
        <f>E59</f>
        <v>0</v>
      </c>
      <c r="F111" s="80">
        <f t="shared" ref="F111:F116" si="44">IFERROR(E111/E$28,0)</f>
        <v>0</v>
      </c>
      <c r="G111" s="79">
        <f>G59</f>
        <v>0</v>
      </c>
      <c r="H111" s="80">
        <f t="shared" ref="H111:H116" si="45">IFERROR(G111/G$28,0)</f>
        <v>0</v>
      </c>
      <c r="I111" s="79">
        <f>I59</f>
        <v>0</v>
      </c>
      <c r="J111" s="80">
        <f t="shared" ref="J111:J116" si="46">IFERROR(I111/I$28,0)</f>
        <v>0</v>
      </c>
      <c r="K111" s="79">
        <f>K59</f>
        <v>0</v>
      </c>
      <c r="L111" s="80">
        <f t="shared" ref="L111:L116" si="47">IFERROR(K111/K$28,0)</f>
        <v>0</v>
      </c>
      <c r="M111" s="79">
        <f>M59</f>
        <v>0</v>
      </c>
      <c r="N111" s="80">
        <f t="shared" ref="N111:N116" si="48">IFERROR(M111/M$28,0)</f>
        <v>0</v>
      </c>
      <c r="O111" s="79">
        <f>O59</f>
        <v>0</v>
      </c>
      <c r="P111" s="80">
        <f t="shared" ref="P111:P116" si="49">IFERROR(O111/O$28,0)</f>
        <v>0</v>
      </c>
      <c r="Q111" s="79">
        <f>Q59</f>
        <v>0</v>
      </c>
      <c r="R111" s="80">
        <f t="shared" ref="R111:R116" si="50">IFERROR(Q111/Q$28,0)</f>
        <v>0</v>
      </c>
      <c r="S111" s="79">
        <f>S59</f>
        <v>0</v>
      </c>
      <c r="T111" s="80">
        <f t="shared" ref="T111:T116" si="51">IFERROR(S111/S$28,0)</f>
        <v>0</v>
      </c>
      <c r="U111" s="79">
        <f>U59</f>
        <v>0</v>
      </c>
      <c r="V111" s="80">
        <f t="shared" ref="V111:V116" si="52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3"/>
        <v>0</v>
      </c>
      <c r="E112" s="79">
        <f>E62</f>
        <v>0</v>
      </c>
      <c r="F112" s="80">
        <f t="shared" si="44"/>
        <v>0</v>
      </c>
      <c r="G112" s="79">
        <f>G62</f>
        <v>0</v>
      </c>
      <c r="H112" s="80">
        <f t="shared" si="45"/>
        <v>0</v>
      </c>
      <c r="I112" s="79">
        <f>I62</f>
        <v>0</v>
      </c>
      <c r="J112" s="80">
        <f t="shared" si="46"/>
        <v>0</v>
      </c>
      <c r="K112" s="79">
        <f>K62</f>
        <v>0</v>
      </c>
      <c r="L112" s="80">
        <f t="shared" si="47"/>
        <v>0</v>
      </c>
      <c r="M112" s="79">
        <f>M62</f>
        <v>0</v>
      </c>
      <c r="N112" s="80">
        <f t="shared" si="48"/>
        <v>0</v>
      </c>
      <c r="O112" s="79">
        <f>O62</f>
        <v>0</v>
      </c>
      <c r="P112" s="80">
        <f t="shared" si="49"/>
        <v>0</v>
      </c>
      <c r="Q112" s="79">
        <f>Q62</f>
        <v>0</v>
      </c>
      <c r="R112" s="80">
        <f t="shared" si="50"/>
        <v>0</v>
      </c>
      <c r="S112" s="79">
        <f>S62</f>
        <v>0</v>
      </c>
      <c r="T112" s="80">
        <f t="shared" si="51"/>
        <v>0</v>
      </c>
      <c r="U112" s="79">
        <f>U62</f>
        <v>0</v>
      </c>
      <c r="V112" s="80">
        <f t="shared" si="52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3"/>
        <v>0</v>
      </c>
      <c r="E113" s="111">
        <v>0</v>
      </c>
      <c r="F113" s="80">
        <f t="shared" si="44"/>
        <v>0</v>
      </c>
      <c r="G113" s="111">
        <v>0</v>
      </c>
      <c r="H113" s="80">
        <f t="shared" si="45"/>
        <v>0</v>
      </c>
      <c r="I113" s="111">
        <v>0</v>
      </c>
      <c r="J113" s="80">
        <f t="shared" si="46"/>
        <v>0</v>
      </c>
      <c r="K113" s="111">
        <v>0</v>
      </c>
      <c r="L113" s="80">
        <f t="shared" si="47"/>
        <v>0</v>
      </c>
      <c r="M113" s="111">
        <v>0</v>
      </c>
      <c r="N113" s="80">
        <f t="shared" si="48"/>
        <v>0</v>
      </c>
      <c r="O113" s="111">
        <v>0</v>
      </c>
      <c r="P113" s="80">
        <f t="shared" si="49"/>
        <v>0</v>
      </c>
      <c r="Q113" s="111">
        <v>0</v>
      </c>
      <c r="R113" s="80">
        <f t="shared" si="50"/>
        <v>0</v>
      </c>
      <c r="S113" s="111">
        <v>0</v>
      </c>
      <c r="T113" s="80">
        <f t="shared" si="51"/>
        <v>0</v>
      </c>
      <c r="U113" s="111">
        <v>0</v>
      </c>
      <c r="V113" s="80">
        <f t="shared" si="52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3"/>
        <v>0</v>
      </c>
      <c r="E114" s="111">
        <v>0</v>
      </c>
      <c r="F114" s="80">
        <f t="shared" si="44"/>
        <v>0</v>
      </c>
      <c r="G114" s="111">
        <v>0</v>
      </c>
      <c r="H114" s="80">
        <f t="shared" si="45"/>
        <v>0</v>
      </c>
      <c r="I114" s="111">
        <v>0</v>
      </c>
      <c r="J114" s="80">
        <f t="shared" si="46"/>
        <v>0</v>
      </c>
      <c r="K114" s="111">
        <v>0</v>
      </c>
      <c r="L114" s="80">
        <f t="shared" si="47"/>
        <v>0</v>
      </c>
      <c r="M114" s="111">
        <v>0</v>
      </c>
      <c r="N114" s="80">
        <f t="shared" si="48"/>
        <v>0</v>
      </c>
      <c r="O114" s="111">
        <v>0</v>
      </c>
      <c r="P114" s="80">
        <f t="shared" si="49"/>
        <v>0</v>
      </c>
      <c r="Q114" s="111">
        <v>0</v>
      </c>
      <c r="R114" s="80">
        <f t="shared" si="50"/>
        <v>0</v>
      </c>
      <c r="S114" s="111">
        <v>0</v>
      </c>
      <c r="T114" s="80">
        <f t="shared" si="51"/>
        <v>0</v>
      </c>
      <c r="U114" s="111">
        <v>0</v>
      </c>
      <c r="V114" s="80">
        <f t="shared" si="52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3"/>
        <v>0</v>
      </c>
      <c r="E115" s="112">
        <v>0</v>
      </c>
      <c r="F115" s="80">
        <f t="shared" si="44"/>
        <v>0</v>
      </c>
      <c r="G115" s="112">
        <v>0</v>
      </c>
      <c r="H115" s="80">
        <f t="shared" si="45"/>
        <v>0</v>
      </c>
      <c r="I115" s="112">
        <v>0</v>
      </c>
      <c r="J115" s="80">
        <f t="shared" si="46"/>
        <v>0</v>
      </c>
      <c r="K115" s="112">
        <v>0</v>
      </c>
      <c r="L115" s="80">
        <f t="shared" si="47"/>
        <v>0</v>
      </c>
      <c r="M115" s="112">
        <v>0</v>
      </c>
      <c r="N115" s="80">
        <f t="shared" si="48"/>
        <v>0</v>
      </c>
      <c r="O115" s="112">
        <v>0</v>
      </c>
      <c r="P115" s="80">
        <f t="shared" si="49"/>
        <v>0</v>
      </c>
      <c r="Q115" s="112">
        <v>0</v>
      </c>
      <c r="R115" s="80">
        <f t="shared" si="50"/>
        <v>0</v>
      </c>
      <c r="S115" s="112">
        <v>0</v>
      </c>
      <c r="T115" s="80">
        <f t="shared" si="51"/>
        <v>0</v>
      </c>
      <c r="U115" s="112">
        <v>0</v>
      </c>
      <c r="V115" s="80">
        <f t="shared" si="52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3"/>
        <v>0</v>
      </c>
      <c r="E116" s="85">
        <f>SUM(E111:E115)</f>
        <v>0</v>
      </c>
      <c r="F116" s="83">
        <f t="shared" si="44"/>
        <v>0</v>
      </c>
      <c r="G116" s="85">
        <f>SUM(G111:G115)</f>
        <v>0</v>
      </c>
      <c r="H116" s="83">
        <f t="shared" si="45"/>
        <v>0</v>
      </c>
      <c r="I116" s="85">
        <f>SUM(I111:I115)</f>
        <v>0</v>
      </c>
      <c r="J116" s="83">
        <f t="shared" si="46"/>
        <v>0</v>
      </c>
      <c r="K116" s="85">
        <f>SUM(K111:K115)</f>
        <v>0</v>
      </c>
      <c r="L116" s="83">
        <f t="shared" si="47"/>
        <v>0</v>
      </c>
      <c r="M116" s="85">
        <f>SUM(M111:M115)</f>
        <v>0</v>
      </c>
      <c r="N116" s="83">
        <f t="shared" si="48"/>
        <v>0</v>
      </c>
      <c r="O116" s="85">
        <f>SUM(O111:O115)</f>
        <v>0</v>
      </c>
      <c r="P116" s="83">
        <f t="shared" si="49"/>
        <v>0</v>
      </c>
      <c r="Q116" s="85">
        <f>SUM(Q111:Q115)</f>
        <v>0</v>
      </c>
      <c r="R116" s="83">
        <f t="shared" si="50"/>
        <v>0</v>
      </c>
      <c r="S116" s="85">
        <f>SUM(S111:S115)</f>
        <v>0</v>
      </c>
      <c r="T116" s="83">
        <f t="shared" si="51"/>
        <v>0</v>
      </c>
      <c r="U116" s="85">
        <f>SUM(U111:U115)</f>
        <v>0</v>
      </c>
      <c r="V116" s="83">
        <f t="shared" si="52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461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7" tint="0.59999389629810485"/>
  </sheetPr>
  <dimension ref="A1:X119"/>
  <sheetViews>
    <sheetView topLeftCell="A36" zoomScale="70" zoomScaleNormal="70" workbookViewId="0" xr3:uid="{D979DC6D-665A-5B40-B235-9A07D260EAB6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38.285156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54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Moe's Southwest Grill (Parking Garage 5)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190</v>
      </c>
      <c r="E8" s="109">
        <f>+C8</f>
        <v>190</v>
      </c>
      <c r="G8" s="109">
        <f>+E8</f>
        <v>190</v>
      </c>
      <c r="I8" s="109">
        <f>+G8</f>
        <v>190</v>
      </c>
      <c r="K8" s="109">
        <f>+I8</f>
        <v>190</v>
      </c>
      <c r="M8" s="109">
        <f>+K8</f>
        <v>190</v>
      </c>
      <c r="O8" s="109">
        <f>+M8</f>
        <v>190</v>
      </c>
      <c r="Q8" s="109">
        <f>+O8</f>
        <v>190</v>
      </c>
      <c r="S8" s="109">
        <f>+Q8</f>
        <v>190</v>
      </c>
      <c r="U8" s="109">
        <f>+S8</f>
        <v>190</v>
      </c>
    </row>
    <row r="10" spans="1:22" ht="12.75" customHeight="1">
      <c r="A10" s="2" t="s">
        <v>449</v>
      </c>
      <c r="C10" s="209">
        <f>+C14/C8/C12</f>
        <v>423.23049001814877</v>
      </c>
      <c r="D10" s="186"/>
      <c r="E10" s="209">
        <f>+E14/E8/E12</f>
        <v>461.97223828802777</v>
      </c>
      <c r="F10" s="186"/>
      <c r="G10" s="209">
        <f>+G14/G8/G12</f>
        <v>496.07603139174887</v>
      </c>
      <c r="H10" s="186"/>
      <c r="I10" s="209">
        <f>+I14/I8/I12</f>
        <v>504.61693114094925</v>
      </c>
      <c r="J10" s="186"/>
      <c r="K10" s="209">
        <f>+K14/K8/K12</f>
        <v>512.61127002288322</v>
      </c>
      <c r="L10" s="186"/>
      <c r="M10" s="209">
        <f>+M14/M8/M12</f>
        <v>520.74091019158186</v>
      </c>
      <c r="N10" s="186"/>
      <c r="O10" s="209">
        <f t="shared" ref="O10" si="0">+O14/O8/O12</f>
        <v>529.00819849624065</v>
      </c>
      <c r="P10" s="186"/>
      <c r="Q10" s="209">
        <f t="shared" ref="Q10" si="1">+Q14/Q8/Q12</f>
        <v>537.41552342267744</v>
      </c>
      <c r="R10" s="186"/>
      <c r="S10" s="209">
        <f>+S14/S8/S12</f>
        <v>545.96531584076558</v>
      </c>
      <c r="T10" s="186"/>
      <c r="U10" s="209">
        <f>+U14/U8/U12</f>
        <v>553.92246991206184</v>
      </c>
    </row>
    <row r="12" spans="1:22" ht="12.75" customHeight="1">
      <c r="A12" s="2" t="s">
        <v>450</v>
      </c>
      <c r="C12" s="110">
        <v>7.25</v>
      </c>
      <c r="E12" s="110">
        <v>7.28</v>
      </c>
      <c r="G12" s="110">
        <v>7.31</v>
      </c>
      <c r="I12" s="110">
        <v>7.33</v>
      </c>
      <c r="K12" s="110">
        <v>7.36</v>
      </c>
      <c r="M12" s="110">
        <v>7.39</v>
      </c>
      <c r="O12" s="110">
        <v>7.42</v>
      </c>
      <c r="Q12" s="110">
        <v>7.45</v>
      </c>
      <c r="S12" s="110">
        <v>7.48</v>
      </c>
      <c r="U12" s="110">
        <v>7.52</v>
      </c>
    </row>
    <row r="14" spans="1:22" ht="12.75" customHeight="1">
      <c r="A14" s="2" t="s">
        <v>451</v>
      </c>
      <c r="C14" s="206">
        <v>583000</v>
      </c>
      <c r="D14" s="12"/>
      <c r="E14" s="206">
        <v>639000</v>
      </c>
      <c r="F14" s="12"/>
      <c r="G14" s="206">
        <v>689000</v>
      </c>
      <c r="H14" s="12"/>
      <c r="I14" s="206">
        <f>+G14*1.02</f>
        <v>702780</v>
      </c>
      <c r="J14" s="12"/>
      <c r="K14" s="206">
        <f>+I14*1.02</f>
        <v>716835.6</v>
      </c>
      <c r="L14" s="12"/>
      <c r="M14" s="206">
        <f>+K14*1.02</f>
        <v>731172.31200000003</v>
      </c>
      <c r="N14" s="12"/>
      <c r="O14" s="206">
        <f>+M14*1.02</f>
        <v>745795.75824</v>
      </c>
      <c r="P14" s="12"/>
      <c r="Q14" s="206">
        <f>+O14*1.02</f>
        <v>760711.67340480001</v>
      </c>
      <c r="R14" s="12"/>
      <c r="S14" s="206">
        <f>+Q14*1.02</f>
        <v>775925.90687289601</v>
      </c>
      <c r="T14" s="12"/>
      <c r="U14" s="206">
        <f>+S14*1.02</f>
        <v>791444.42501035391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+C14-C20-C21</f>
        <v>496249.59999999998</v>
      </c>
      <c r="D19" s="80">
        <f>IFERROR(C19/C$28,0)</f>
        <v>0.85119999999999996</v>
      </c>
      <c r="E19" s="208">
        <f>+E14-E20-E21</f>
        <v>282629.69999999995</v>
      </c>
      <c r="F19" s="80">
        <f>IFERROR(E19/E$28,0)</f>
        <v>0.44229999999999992</v>
      </c>
      <c r="G19" s="208">
        <f>+G14-G20-G21</f>
        <v>324571.79399999994</v>
      </c>
      <c r="H19" s="80">
        <f>IFERROR(G19/G$28,0)</f>
        <v>0.47107662409288814</v>
      </c>
      <c r="I19" s="208">
        <f>+I14-I20-I21</f>
        <v>331063.22987999994</v>
      </c>
      <c r="J19" s="80">
        <f>IFERROR(I19/I$28,0)</f>
        <v>0.47107662409288814</v>
      </c>
      <c r="K19" s="208">
        <f>+K14-K20-K21</f>
        <v>337684.49447759992</v>
      </c>
      <c r="L19" s="80">
        <f>IFERROR(K19/K$28,0)</f>
        <v>0.47107662409288814</v>
      </c>
      <c r="M19" s="208">
        <f>+M14-M20-M21</f>
        <v>344438.18436715199</v>
      </c>
      <c r="N19" s="80">
        <f>IFERROR(M19/M$28,0)</f>
        <v>0.4710766240928882</v>
      </c>
      <c r="O19" s="208">
        <f>+O14-O20-O21</f>
        <v>351326.94805449503</v>
      </c>
      <c r="P19" s="80">
        <f>IFERROR(O19/O$28,0)</f>
        <v>0.47107662409288825</v>
      </c>
      <c r="Q19" s="208">
        <f>+Q14-Q20-Q21</f>
        <v>358353.48701558489</v>
      </c>
      <c r="R19" s="80">
        <f>IFERROR(Q19/Q$28,0)</f>
        <v>0.4710766240928882</v>
      </c>
      <c r="S19" s="208">
        <f>+S14-S20-S21</f>
        <v>365520.5567558966</v>
      </c>
      <c r="T19" s="80">
        <f>IFERROR(S19/S$28,0)</f>
        <v>0.4710766240928882</v>
      </c>
      <c r="U19" s="208">
        <f>+U14-U20-U21</f>
        <v>372830.96789101453</v>
      </c>
      <c r="V19" s="80">
        <f>IFERROR(U19/U$28,0)</f>
        <v>0.47107662409288814</v>
      </c>
    </row>
    <row r="20" spans="1:24" ht="12.75" customHeight="1">
      <c r="A20" s="2" t="s">
        <v>357</v>
      </c>
      <c r="B20" s="35"/>
      <c r="C20" s="111">
        <f>+C14*12.38%</f>
        <v>72175.400000000009</v>
      </c>
      <c r="D20" s="80">
        <f>IFERROR(C20/C$28,0)</f>
        <v>0.12380000000000002</v>
      </c>
      <c r="E20" s="111">
        <f>+E14*53.27%</f>
        <v>340395.30000000005</v>
      </c>
      <c r="F20" s="80">
        <f>IFERROR(E20/E$28,0)</f>
        <v>0.53270000000000006</v>
      </c>
      <c r="G20" s="111">
        <f t="shared" ref="G20:U20" si="2">E20*1.02</f>
        <v>347203.20600000006</v>
      </c>
      <c r="H20" s="80">
        <f>IFERROR(G20/G$28,0)</f>
        <v>0.50392337590711189</v>
      </c>
      <c r="I20" s="111">
        <f t="shared" si="2"/>
        <v>354147.27012000006</v>
      </c>
      <c r="J20" s="80">
        <f>IFERROR(I20/I$28,0)</f>
        <v>0.50392337590711189</v>
      </c>
      <c r="K20" s="111">
        <f t="shared" si="2"/>
        <v>361230.21552240005</v>
      </c>
      <c r="L20" s="80">
        <f>IFERROR(K20/K$28,0)</f>
        <v>0.50392337590711178</v>
      </c>
      <c r="M20" s="111">
        <f t="shared" si="2"/>
        <v>368454.81983284804</v>
      </c>
      <c r="N20" s="80">
        <f>IFERROR(M20/M$28,0)</f>
        <v>0.50392337590711178</v>
      </c>
      <c r="O20" s="111">
        <f t="shared" si="2"/>
        <v>375823.91622950498</v>
      </c>
      <c r="P20" s="80">
        <f>IFERROR(O20/O$28,0)</f>
        <v>0.50392337590711178</v>
      </c>
      <c r="Q20" s="111">
        <f t="shared" si="2"/>
        <v>383340.39455409511</v>
      </c>
      <c r="R20" s="80">
        <f>IFERROR(Q20/Q$28,0)</f>
        <v>0.50392337590711178</v>
      </c>
      <c r="S20" s="111">
        <f t="shared" si="2"/>
        <v>391007.20244517701</v>
      </c>
      <c r="T20" s="80">
        <f>IFERROR(S20/S$28,0)</f>
        <v>0.50392337590711178</v>
      </c>
      <c r="U20" s="111">
        <f t="shared" si="2"/>
        <v>398827.34649408056</v>
      </c>
      <c r="V20" s="80">
        <f>IFERROR(U20/U$28,0)</f>
        <v>0.50392337590711178</v>
      </c>
    </row>
    <row r="21" spans="1:24" ht="12.75" customHeight="1">
      <c r="A21" s="191" t="s">
        <v>358</v>
      </c>
      <c r="B21" s="203"/>
      <c r="C21" s="111">
        <f>+C14*0.025</f>
        <v>14575</v>
      </c>
      <c r="D21" s="80">
        <f>IFERROR(C21/C$28,0)</f>
        <v>2.5000000000000001E-2</v>
      </c>
      <c r="E21" s="111">
        <f>+E14*0.025</f>
        <v>15975</v>
      </c>
      <c r="F21" s="80">
        <f>IFERROR(E21/E$28,0)</f>
        <v>2.5000000000000001E-2</v>
      </c>
      <c r="G21" s="111">
        <f>+G14*0.025</f>
        <v>17225</v>
      </c>
      <c r="H21" s="80">
        <f>IFERROR(G21/G$28,0)</f>
        <v>2.5000000000000001E-2</v>
      </c>
      <c r="I21" s="111">
        <f>+I14*0.025</f>
        <v>17569.5</v>
      </c>
      <c r="J21" s="80">
        <f>IFERROR(I21/I$28,0)</f>
        <v>2.5000000000000001E-2</v>
      </c>
      <c r="K21" s="111">
        <f>+K14*0.025</f>
        <v>17920.89</v>
      </c>
      <c r="L21" s="80">
        <f>IFERROR(K21/K$28,0)</f>
        <v>2.5000000000000001E-2</v>
      </c>
      <c r="M21" s="111">
        <f>+M14*0.025</f>
        <v>18279.307800000002</v>
      </c>
      <c r="N21" s="80">
        <f>IFERROR(M21/M$28,0)</f>
        <v>2.5000000000000001E-2</v>
      </c>
      <c r="O21" s="111">
        <f>+O14*0.025</f>
        <v>18644.893956</v>
      </c>
      <c r="P21" s="80">
        <f>IFERROR(O21/O$28,0)</f>
        <v>2.5000000000000001E-2</v>
      </c>
      <c r="Q21" s="111">
        <f>+Q14*0.025</f>
        <v>19017.791835120002</v>
      </c>
      <c r="R21" s="80">
        <f>IFERROR(Q21/Q$28,0)</f>
        <v>2.5000000000000001E-2</v>
      </c>
      <c r="S21" s="111">
        <f>+S14*0.025</f>
        <v>19398.1476718224</v>
      </c>
      <c r="T21" s="80">
        <f>IFERROR(S21/S$28,0)</f>
        <v>2.5000000000000001E-2</v>
      </c>
      <c r="U21" s="111">
        <f>+U14*0.025</f>
        <v>19786.110625258851</v>
      </c>
      <c r="V21" s="80">
        <f>IFERROR(U21/U$28,0)</f>
        <v>2.5000000000000001E-2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3">IFERROR(C23/C$28,0)</f>
        <v>0</v>
      </c>
      <c r="E23" s="79"/>
      <c r="F23" s="80">
        <f t="shared" ref="F23:F28" si="4">IFERROR(E23/E$28,0)</f>
        <v>0</v>
      </c>
      <c r="G23" s="79"/>
      <c r="H23" s="80">
        <f t="shared" ref="H23:H28" si="5">IFERROR(G23/G$28,0)</f>
        <v>0</v>
      </c>
      <c r="I23" s="79"/>
      <c r="J23" s="80">
        <f t="shared" ref="J23:J28" si="6">IFERROR(I23/I$28,0)</f>
        <v>0</v>
      </c>
      <c r="K23" s="79"/>
      <c r="L23" s="80">
        <f t="shared" ref="L23:L28" si="7">IFERROR(K23/K$28,0)</f>
        <v>0</v>
      </c>
      <c r="M23" s="79"/>
      <c r="N23" s="80">
        <f t="shared" ref="N23:N28" si="8">IFERROR(M23/M$28,0)</f>
        <v>0</v>
      </c>
      <c r="O23" s="79"/>
      <c r="P23" s="80">
        <f t="shared" ref="P23:P28" si="9">IFERROR(O23/O$28,0)</f>
        <v>0</v>
      </c>
      <c r="Q23" s="79"/>
      <c r="R23" s="80">
        <f t="shared" ref="R23:R28" si="10">IFERROR(Q23/Q$28,0)</f>
        <v>0</v>
      </c>
      <c r="S23" s="79"/>
      <c r="T23" s="80">
        <f t="shared" ref="T23:T28" si="11">IFERROR(S23/S$28,0)</f>
        <v>0</v>
      </c>
      <c r="U23" s="79"/>
      <c r="V23" s="80">
        <f t="shared" ref="V23:V28" si="12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3"/>
        <v>0</v>
      </c>
      <c r="E24" s="79"/>
      <c r="F24" s="80">
        <f t="shared" si="4"/>
        <v>0</v>
      </c>
      <c r="G24" s="79"/>
      <c r="H24" s="80">
        <f t="shared" si="5"/>
        <v>0</v>
      </c>
      <c r="I24" s="79"/>
      <c r="J24" s="80">
        <f t="shared" si="6"/>
        <v>0</v>
      </c>
      <c r="K24" s="79"/>
      <c r="L24" s="80">
        <f t="shared" si="7"/>
        <v>0</v>
      </c>
      <c r="M24" s="79"/>
      <c r="N24" s="80">
        <f t="shared" si="8"/>
        <v>0</v>
      </c>
      <c r="O24" s="79"/>
      <c r="P24" s="80">
        <f t="shared" si="9"/>
        <v>0</v>
      </c>
      <c r="Q24" s="79"/>
      <c r="R24" s="80">
        <f t="shared" si="10"/>
        <v>0</v>
      </c>
      <c r="S24" s="79"/>
      <c r="T24" s="80">
        <f t="shared" si="11"/>
        <v>0</v>
      </c>
      <c r="U24" s="79"/>
      <c r="V24" s="80">
        <f t="shared" si="12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3"/>
        <v>0</v>
      </c>
      <c r="E25" s="111"/>
      <c r="F25" s="80">
        <f t="shared" si="4"/>
        <v>0</v>
      </c>
      <c r="G25" s="111"/>
      <c r="H25" s="80">
        <f t="shared" si="5"/>
        <v>0</v>
      </c>
      <c r="I25" s="111"/>
      <c r="J25" s="80">
        <f t="shared" si="6"/>
        <v>0</v>
      </c>
      <c r="K25" s="111"/>
      <c r="L25" s="80">
        <f t="shared" si="7"/>
        <v>0</v>
      </c>
      <c r="M25" s="111"/>
      <c r="N25" s="80">
        <f t="shared" si="8"/>
        <v>0</v>
      </c>
      <c r="O25" s="111"/>
      <c r="P25" s="80">
        <f t="shared" si="9"/>
        <v>0</v>
      </c>
      <c r="Q25" s="111"/>
      <c r="R25" s="80">
        <f t="shared" si="10"/>
        <v>0</v>
      </c>
      <c r="S25" s="111"/>
      <c r="T25" s="80">
        <f t="shared" si="11"/>
        <v>0</v>
      </c>
      <c r="U25" s="111"/>
      <c r="V25" s="80">
        <f t="shared" si="12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3"/>
        <v>0</v>
      </c>
      <c r="E26" s="79"/>
      <c r="F26" s="80">
        <f t="shared" si="4"/>
        <v>0</v>
      </c>
      <c r="G26" s="79"/>
      <c r="H26" s="80">
        <f t="shared" si="5"/>
        <v>0</v>
      </c>
      <c r="I26" s="79"/>
      <c r="J26" s="80">
        <f t="shared" si="6"/>
        <v>0</v>
      </c>
      <c r="K26" s="79"/>
      <c r="L26" s="80">
        <f t="shared" si="7"/>
        <v>0</v>
      </c>
      <c r="M26" s="79"/>
      <c r="N26" s="80">
        <f t="shared" si="8"/>
        <v>0</v>
      </c>
      <c r="O26" s="79"/>
      <c r="P26" s="80">
        <f t="shared" si="9"/>
        <v>0</v>
      </c>
      <c r="Q26" s="79"/>
      <c r="R26" s="80">
        <f t="shared" si="10"/>
        <v>0</v>
      </c>
      <c r="S26" s="79"/>
      <c r="T26" s="80">
        <f t="shared" si="11"/>
        <v>0</v>
      </c>
      <c r="U26" s="79"/>
      <c r="V26" s="80">
        <f t="shared" si="12"/>
        <v>0</v>
      </c>
    </row>
    <row r="27" spans="1:24" ht="12.75" customHeight="1">
      <c r="A27" s="2" t="s">
        <v>364</v>
      </c>
      <c r="B27" s="35"/>
      <c r="C27" s="112"/>
      <c r="D27" s="80">
        <f t="shared" si="3"/>
        <v>0</v>
      </c>
      <c r="E27" s="112"/>
      <c r="F27" s="80">
        <f t="shared" si="4"/>
        <v>0</v>
      </c>
      <c r="G27" s="112"/>
      <c r="H27" s="80">
        <f t="shared" si="5"/>
        <v>0</v>
      </c>
      <c r="I27" s="112"/>
      <c r="J27" s="80">
        <f t="shared" si="6"/>
        <v>0</v>
      </c>
      <c r="K27" s="112"/>
      <c r="L27" s="80">
        <f t="shared" si="7"/>
        <v>0</v>
      </c>
      <c r="M27" s="112"/>
      <c r="N27" s="80">
        <f t="shared" si="8"/>
        <v>0</v>
      </c>
      <c r="O27" s="112"/>
      <c r="P27" s="80">
        <f t="shared" si="9"/>
        <v>0</v>
      </c>
      <c r="Q27" s="112"/>
      <c r="R27" s="80">
        <f t="shared" si="10"/>
        <v>0</v>
      </c>
      <c r="S27" s="112"/>
      <c r="T27" s="80">
        <f t="shared" si="11"/>
        <v>0</v>
      </c>
      <c r="U27" s="112"/>
      <c r="V27" s="80">
        <f t="shared" si="12"/>
        <v>0</v>
      </c>
    </row>
    <row r="28" spans="1:24" ht="12.75" customHeight="1">
      <c r="A28" s="1" t="s">
        <v>365</v>
      </c>
      <c r="B28" s="53"/>
      <c r="C28" s="82">
        <f>SUM(C19:C27)</f>
        <v>583000</v>
      </c>
      <c r="D28" s="83">
        <f t="shared" si="3"/>
        <v>1</v>
      </c>
      <c r="E28" s="82">
        <f>SUM(E19:E27)</f>
        <v>639000</v>
      </c>
      <c r="F28" s="83">
        <f t="shared" si="4"/>
        <v>1</v>
      </c>
      <c r="G28" s="82">
        <f>SUM(G19:G27)</f>
        <v>689000</v>
      </c>
      <c r="H28" s="83">
        <f t="shared" si="5"/>
        <v>1</v>
      </c>
      <c r="I28" s="82">
        <f>SUM(I19:I27)</f>
        <v>702780</v>
      </c>
      <c r="J28" s="83">
        <f t="shared" si="6"/>
        <v>1</v>
      </c>
      <c r="K28" s="82">
        <f>SUM(K19:K27)</f>
        <v>716835.6</v>
      </c>
      <c r="L28" s="83">
        <f t="shared" si="7"/>
        <v>1</v>
      </c>
      <c r="M28" s="82">
        <f>SUM(M19:M27)</f>
        <v>731172.31200000003</v>
      </c>
      <c r="N28" s="83">
        <f t="shared" si="8"/>
        <v>1</v>
      </c>
      <c r="O28" s="82">
        <f>SUM(O19:O27)</f>
        <v>745795.75824</v>
      </c>
      <c r="P28" s="83">
        <f t="shared" si="9"/>
        <v>1</v>
      </c>
      <c r="Q28" s="82">
        <f>SUM(Q19:Q27)</f>
        <v>760711.67340480001</v>
      </c>
      <c r="R28" s="83">
        <f t="shared" si="10"/>
        <v>1</v>
      </c>
      <c r="S28" s="82">
        <f>SUM(S19:S27)</f>
        <v>775925.90687289601</v>
      </c>
      <c r="T28" s="83">
        <f t="shared" si="11"/>
        <v>1</v>
      </c>
      <c r="U28" s="82">
        <f>SUM(U19:U27)</f>
        <v>791444.42501035403</v>
      </c>
      <c r="V28" s="83">
        <f t="shared" si="12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0.29899999999999999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174317</v>
      </c>
      <c r="D31" s="80">
        <f>IFERROR(C31/C$28,0)</f>
        <v>0.29899999999999999</v>
      </c>
      <c r="E31" s="179">
        <f>$C$30*E14</f>
        <v>191061</v>
      </c>
      <c r="F31" s="80">
        <f>IFERROR(E31/E$28,0)</f>
        <v>0.29899999999999999</v>
      </c>
      <c r="G31" s="179">
        <f>$C$30*G14</f>
        <v>206011</v>
      </c>
      <c r="H31" s="80">
        <f>IFERROR(G31/G$28,0)</f>
        <v>0.29899999999999999</v>
      </c>
      <c r="I31" s="179">
        <f>$C$30*I14</f>
        <v>210131.22</v>
      </c>
      <c r="J31" s="80">
        <f>IFERROR(I31/I$28,0)</f>
        <v>0.29899999999999999</v>
      </c>
      <c r="K31" s="179">
        <f>$C$30*K14</f>
        <v>214333.84439999997</v>
      </c>
      <c r="L31" s="80">
        <f>IFERROR(K31/K$28,0)</f>
        <v>0.29899999999999999</v>
      </c>
      <c r="M31" s="179">
        <f>$C$30*M14</f>
        <v>218620.52128799999</v>
      </c>
      <c r="N31" s="80">
        <f>IFERROR(M31/M$28,0)</f>
        <v>0.29899999999999999</v>
      </c>
      <c r="O31" s="179">
        <f>$C$30*O14</f>
        <v>222992.93171375999</v>
      </c>
      <c r="P31" s="80">
        <f>IFERROR(O31/O$28,0)</f>
        <v>0.29899999999999999</v>
      </c>
      <c r="Q31" s="179">
        <f>$C$30*Q14</f>
        <v>227452.7903480352</v>
      </c>
      <c r="R31" s="80">
        <f>IFERROR(Q31/Q$28,0)</f>
        <v>0.29899999999999999</v>
      </c>
      <c r="S31" s="179">
        <f>$C$30*S14</f>
        <v>232001.8461549959</v>
      </c>
      <c r="T31" s="80">
        <f>IFERROR(S31/S$28,0)</f>
        <v>0.29899999999999999</v>
      </c>
      <c r="U31" s="179">
        <f>$C$30*U14</f>
        <v>236641.88307809582</v>
      </c>
      <c r="V31" s="80">
        <f>IFERROR(U31/U$28,0)</f>
        <v>0.29899999999999999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174317</v>
      </c>
      <c r="D33" s="83">
        <f>IFERROR(C33/C$28,0)</f>
        <v>0.29899999999999999</v>
      </c>
      <c r="E33" s="82">
        <f>SUM(E31:E32)</f>
        <v>191061</v>
      </c>
      <c r="F33" s="83">
        <f>IFERROR(E33/E$28,0)</f>
        <v>0.29899999999999999</v>
      </c>
      <c r="G33" s="82">
        <f>SUM(G31:G32)</f>
        <v>206011</v>
      </c>
      <c r="H33" s="83">
        <f>IFERROR(G33/G$28,0)</f>
        <v>0.29899999999999999</v>
      </c>
      <c r="I33" s="82">
        <f>SUM(I31:I32)</f>
        <v>210131.22</v>
      </c>
      <c r="J33" s="83">
        <f>IFERROR(I33/I$28,0)</f>
        <v>0.29899999999999999</v>
      </c>
      <c r="K33" s="82">
        <f>SUM(K31:K32)</f>
        <v>214333.84439999997</v>
      </c>
      <c r="L33" s="83">
        <f>IFERROR(K33/K$28,0)</f>
        <v>0.29899999999999999</v>
      </c>
      <c r="M33" s="82">
        <f>SUM(M31:M32)</f>
        <v>218620.52128799999</v>
      </c>
      <c r="N33" s="83">
        <f>IFERROR(M33/M$28,0)</f>
        <v>0.29899999999999999</v>
      </c>
      <c r="O33" s="82">
        <f>SUM(O31:O32)</f>
        <v>222992.93171375999</v>
      </c>
      <c r="P33" s="83">
        <f>IFERROR(O33/O$28,0)</f>
        <v>0.29899999999999999</v>
      </c>
      <c r="Q33" s="82">
        <f>SUM(Q31:Q32)</f>
        <v>227452.7903480352</v>
      </c>
      <c r="R33" s="83">
        <f>IFERROR(Q33/Q$28,0)</f>
        <v>0.29899999999999999</v>
      </c>
      <c r="S33" s="82">
        <f>SUM(S31:S32)</f>
        <v>232001.8461549959</v>
      </c>
      <c r="T33" s="83">
        <f>IFERROR(S33/S$28,0)</f>
        <v>0.29899999999999999</v>
      </c>
      <c r="U33" s="82">
        <f>SUM(U31:U32)</f>
        <v>236641.88307809582</v>
      </c>
      <c r="V33" s="83">
        <f>IFERROR(U33/U$28,0)</f>
        <v>0.29899999999999999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>
        <v>63729</v>
      </c>
      <c r="D36" s="80">
        <f t="shared" ref="D36:D46" si="13">IFERROR(C36/C$28,0)</f>
        <v>0.10931217838765009</v>
      </c>
      <c r="E36" s="179">
        <f>+C36*1.025</f>
        <v>65322.224999999991</v>
      </c>
      <c r="F36" s="80">
        <f t="shared" ref="F36:F46" si="14">IFERROR(E36/E$28,0)</f>
        <v>0.1022257042253521</v>
      </c>
      <c r="G36" s="179">
        <f>+E36*1.025</f>
        <v>66955.280624999985</v>
      </c>
      <c r="H36" s="80">
        <f t="shared" ref="H36:H46" si="15">IFERROR(G36/G$28,0)</f>
        <v>9.7177475507982558E-2</v>
      </c>
      <c r="I36" s="179">
        <f>+G36*1.025</f>
        <v>68629.162640624985</v>
      </c>
      <c r="J36" s="80">
        <f t="shared" ref="J36:J46" si="16">IFERROR(I36/I$28,0)</f>
        <v>9.7653835682041307E-2</v>
      </c>
      <c r="K36" s="179">
        <f>+I36*1.025</f>
        <v>70344.891706640599</v>
      </c>
      <c r="L36" s="80">
        <f t="shared" ref="L36:L46" si="17">IFERROR(K36/K$28,0)</f>
        <v>9.813253095499247E-2</v>
      </c>
      <c r="M36" s="179">
        <f>+K36*1.025</f>
        <v>72103.513999306611</v>
      </c>
      <c r="N36" s="80">
        <f t="shared" ref="N36:N46" si="18">IFERROR(M36/M$28,0)</f>
        <v>9.8613572773399286E-2</v>
      </c>
      <c r="O36" s="179">
        <f>+M36*1.025</f>
        <v>73906.101849289276</v>
      </c>
      <c r="P36" s="80">
        <f t="shared" ref="P36:P46" si="19">IFERROR(O36/O$28,0)</f>
        <v>9.9096972639935568E-2</v>
      </c>
      <c r="Q36" s="179">
        <f>+O36*1.025</f>
        <v>75753.754395521508</v>
      </c>
      <c r="R36" s="80">
        <f t="shared" ref="R36:R46" si="20">IFERROR(Q36/Q$28,0)</f>
        <v>9.9582742113660735E-2</v>
      </c>
      <c r="S36" s="179">
        <f>+Q36*1.025</f>
        <v>77647.598255409539</v>
      </c>
      <c r="T36" s="80">
        <f t="shared" ref="T36:T46" si="21">IFERROR(S36/S$28,0)</f>
        <v>0.10007089281029631</v>
      </c>
      <c r="U36" s="179">
        <f>+S36*1.025</f>
        <v>79588.788211794774</v>
      </c>
      <c r="V36" s="80">
        <f t="shared" ref="V36:V46" si="22">IFERROR(U36/U$28,0)</f>
        <v>0.10056143640250363</v>
      </c>
    </row>
    <row r="37" spans="1:22" ht="12.75" customHeight="1">
      <c r="A37" s="2" t="s">
        <v>372</v>
      </c>
      <c r="B37" s="35"/>
      <c r="C37" s="179">
        <v>129272</v>
      </c>
      <c r="D37" s="80">
        <f t="shared" si="13"/>
        <v>0.22173584905660376</v>
      </c>
      <c r="E37" s="179">
        <f>+C37*1.112</f>
        <v>143750.46400000001</v>
      </c>
      <c r="F37" s="80">
        <f t="shared" si="14"/>
        <v>0.22496160250391237</v>
      </c>
      <c r="G37" s="179">
        <f>+E37*1.035-50000</f>
        <v>98781.730240000004</v>
      </c>
      <c r="H37" s="80">
        <f t="shared" si="15"/>
        <v>0.14336971007256893</v>
      </c>
      <c r="I37" s="179">
        <f>+G37*1.032</f>
        <v>101942.74560768</v>
      </c>
      <c r="J37" s="80">
        <f t="shared" si="16"/>
        <v>0.14505641254401092</v>
      </c>
      <c r="K37" s="179">
        <f>+I37*1.025</f>
        <v>104491.314247872</v>
      </c>
      <c r="L37" s="80">
        <f t="shared" si="17"/>
        <v>0.14576747338981491</v>
      </c>
      <c r="M37" s="179">
        <f>+K37*1.025</f>
        <v>107103.59710406879</v>
      </c>
      <c r="N37" s="80">
        <f t="shared" si="18"/>
        <v>0.14648201982800024</v>
      </c>
      <c r="O37" s="179">
        <f>+M37*1.025</f>
        <v>109781.1870316705</v>
      </c>
      <c r="P37" s="80">
        <f t="shared" si="19"/>
        <v>0.14720006894480417</v>
      </c>
      <c r="Q37" s="179">
        <f>+O37*1.025</f>
        <v>112525.71670746226</v>
      </c>
      <c r="R37" s="80">
        <f t="shared" si="20"/>
        <v>0.14792163791021987</v>
      </c>
      <c r="S37" s="179">
        <f>+Q37*1.025</f>
        <v>115338.85962514881</v>
      </c>
      <c r="T37" s="80">
        <f t="shared" si="21"/>
        <v>0.14864674397840721</v>
      </c>
      <c r="U37" s="179">
        <f>+S37*1.025</f>
        <v>118222.33111577752</v>
      </c>
      <c r="V37" s="80">
        <f t="shared" si="22"/>
        <v>0.14937540448810524</v>
      </c>
    </row>
    <row r="38" spans="1:22" ht="12.75" customHeight="1">
      <c r="A38" s="2" t="s">
        <v>373</v>
      </c>
      <c r="B38" s="35"/>
      <c r="C38" s="179">
        <v>75010</v>
      </c>
      <c r="D38" s="80">
        <f t="shared" si="13"/>
        <v>0.12866209262435677</v>
      </c>
      <c r="E38" s="179">
        <f t="shared" ref="E38:E39" si="23">+C38*1.112</f>
        <v>83411.12000000001</v>
      </c>
      <c r="F38" s="80">
        <f t="shared" si="14"/>
        <v>0.13053383411580596</v>
      </c>
      <c r="G38" s="179">
        <f>+E38*1.035-30000</f>
        <v>56330.5092</v>
      </c>
      <c r="H38" s="80">
        <f t="shared" si="15"/>
        <v>8.1756907402031925E-2</v>
      </c>
      <c r="I38" s="179">
        <f>+G38*1.032</f>
        <v>58133.085494400002</v>
      </c>
      <c r="J38" s="80">
        <f t="shared" si="16"/>
        <v>8.2718753371467599E-2</v>
      </c>
      <c r="K38" s="179">
        <f>+I38*1.025</f>
        <v>59586.412631759995</v>
      </c>
      <c r="L38" s="80">
        <f t="shared" si="17"/>
        <v>8.3124237456621855E-2</v>
      </c>
      <c r="M38" s="179">
        <f>+K38*1.025</f>
        <v>61076.072947553992</v>
      </c>
      <c r="N38" s="80">
        <f t="shared" si="18"/>
        <v>8.3531709208860175E-2</v>
      </c>
      <c r="O38" s="179">
        <f>+M38*1.025</f>
        <v>62602.974771242836</v>
      </c>
      <c r="P38" s="80">
        <f t="shared" si="19"/>
        <v>8.3941178371648703E-2</v>
      </c>
      <c r="Q38" s="179">
        <f>+O38*1.025</f>
        <v>64168.049140523901</v>
      </c>
      <c r="R38" s="80">
        <f t="shared" si="20"/>
        <v>8.4352654736215602E-2</v>
      </c>
      <c r="S38" s="179">
        <f>+Q38*1.025</f>
        <v>65772.250369036992</v>
      </c>
      <c r="T38" s="80">
        <f t="shared" si="21"/>
        <v>8.4766148141785277E-2</v>
      </c>
      <c r="U38" s="179">
        <f>+S38*1.025</f>
        <v>67416.556628262915</v>
      </c>
      <c r="V38" s="80">
        <f t="shared" si="22"/>
        <v>8.5181668475813627E-2</v>
      </c>
    </row>
    <row r="39" spans="1:22" ht="12.75" customHeight="1">
      <c r="A39" s="2" t="s">
        <v>374</v>
      </c>
      <c r="B39" s="35"/>
      <c r="C39" s="179">
        <v>34320</v>
      </c>
      <c r="D39" s="80">
        <f t="shared" si="13"/>
        <v>5.8867924528301883E-2</v>
      </c>
      <c r="E39" s="179">
        <f t="shared" si="23"/>
        <v>38163.840000000004</v>
      </c>
      <c r="F39" s="80">
        <f t="shared" si="14"/>
        <v>5.9724319248826298E-2</v>
      </c>
      <c r="G39" s="179">
        <f>+E39*1.035-15000</f>
        <v>24499.574399999998</v>
      </c>
      <c r="H39" s="80">
        <f t="shared" si="15"/>
        <v>3.5558163134978227E-2</v>
      </c>
      <c r="I39" s="179">
        <f>+G39*1.032</f>
        <v>25283.560780799999</v>
      </c>
      <c r="J39" s="80">
        <f t="shared" si="16"/>
        <v>3.5976494465977969E-2</v>
      </c>
      <c r="K39" s="179">
        <f>+I39*1.025</f>
        <v>25915.649800319996</v>
      </c>
      <c r="L39" s="80">
        <f t="shared" si="17"/>
        <v>3.6152849831007271E-2</v>
      </c>
      <c r="M39" s="179">
        <f>+K39*1.025</f>
        <v>26563.541045327995</v>
      </c>
      <c r="N39" s="80">
        <f t="shared" si="18"/>
        <v>3.6330069683120046E-2</v>
      </c>
      <c r="O39" s="179">
        <f>+M39*1.025</f>
        <v>27227.629571461192</v>
      </c>
      <c r="P39" s="80">
        <f t="shared" si="19"/>
        <v>3.6508158259998084E-2</v>
      </c>
      <c r="Q39" s="179">
        <f>+O39*1.025</f>
        <v>27908.32031074772</v>
      </c>
      <c r="R39" s="80">
        <f t="shared" si="20"/>
        <v>3.6687119820096113E-2</v>
      </c>
      <c r="S39" s="179">
        <f>+Q39*1.025</f>
        <v>28606.028318516412</v>
      </c>
      <c r="T39" s="80">
        <f t="shared" si="21"/>
        <v>3.6866958642743641E-2</v>
      </c>
      <c r="U39" s="179">
        <f>+S39*1.025</f>
        <v>29321.17902647932</v>
      </c>
      <c r="V39" s="80">
        <f t="shared" si="22"/>
        <v>3.704767902824728E-2</v>
      </c>
    </row>
    <row r="40" spans="1:22" ht="12.75" customHeight="1">
      <c r="A40" s="2" t="s">
        <v>375</v>
      </c>
      <c r="B40" s="35"/>
      <c r="C40" s="179">
        <f>C36*0.124</f>
        <v>7902.3959999999997</v>
      </c>
      <c r="D40" s="80">
        <f t="shared" si="13"/>
        <v>1.3554710120068611E-2</v>
      </c>
      <c r="E40" s="179">
        <f>E36*0.124</f>
        <v>8099.955899999999</v>
      </c>
      <c r="F40" s="80">
        <f t="shared" si="14"/>
        <v>1.267598732394366E-2</v>
      </c>
      <c r="G40" s="179">
        <f>G36*0.124</f>
        <v>8302.4547974999987</v>
      </c>
      <c r="H40" s="80">
        <f t="shared" si="15"/>
        <v>1.2050006962989839E-2</v>
      </c>
      <c r="I40" s="179">
        <f>I36*0.124</f>
        <v>8510.0161674374976</v>
      </c>
      <c r="J40" s="80">
        <f t="shared" si="16"/>
        <v>1.2109075624573121E-2</v>
      </c>
      <c r="K40" s="179">
        <f>K36*0.124</f>
        <v>8722.7665716234351</v>
      </c>
      <c r="L40" s="80">
        <f t="shared" si="17"/>
        <v>1.2168433838419068E-2</v>
      </c>
      <c r="M40" s="179">
        <f>M36*0.124</f>
        <v>8940.8357359140191</v>
      </c>
      <c r="N40" s="80">
        <f t="shared" si="18"/>
        <v>1.222808302390151E-2</v>
      </c>
      <c r="O40" s="179">
        <f>O36*0.124</f>
        <v>9164.3566293118711</v>
      </c>
      <c r="P40" s="80">
        <f t="shared" si="19"/>
        <v>1.2288024607352011E-2</v>
      </c>
      <c r="Q40" s="179">
        <f>Q36*0.124</f>
        <v>9393.4655450446662</v>
      </c>
      <c r="R40" s="80">
        <f t="shared" si="20"/>
        <v>1.2348260022093931E-2</v>
      </c>
      <c r="S40" s="179">
        <f>S36*0.124</f>
        <v>9628.3021836707831</v>
      </c>
      <c r="T40" s="80">
        <f t="shared" si="21"/>
        <v>1.2408790708476744E-2</v>
      </c>
      <c r="U40" s="179">
        <f>U36*0.124</f>
        <v>9869.0097382625518</v>
      </c>
      <c r="V40" s="80">
        <f t="shared" si="22"/>
        <v>1.2469618113910451E-2</v>
      </c>
    </row>
    <row r="41" spans="1:22" ht="12.75" customHeight="1">
      <c r="A41" s="2" t="s">
        <v>376</v>
      </c>
      <c r="B41" s="35"/>
      <c r="C41" s="179">
        <f>C37*0.124</f>
        <v>16029.727999999999</v>
      </c>
      <c r="D41" s="80">
        <f t="shared" si="13"/>
        <v>2.7495245283018867E-2</v>
      </c>
      <c r="E41" s="179">
        <f>E37*0.124</f>
        <v>17825.057536</v>
      </c>
      <c r="F41" s="80">
        <f t="shared" si="14"/>
        <v>2.7895238710485132E-2</v>
      </c>
      <c r="G41" s="179">
        <f>G37*0.124</f>
        <v>12248.934549760001</v>
      </c>
      <c r="H41" s="80">
        <f t="shared" si="15"/>
        <v>1.7777844048998549E-2</v>
      </c>
      <c r="I41" s="179">
        <f>I37*0.124</f>
        <v>12640.900455352319</v>
      </c>
      <c r="J41" s="80">
        <f t="shared" si="16"/>
        <v>1.7986995155457354E-2</v>
      </c>
      <c r="K41" s="179">
        <f>K37*0.124</f>
        <v>12956.922966736127</v>
      </c>
      <c r="L41" s="80">
        <f t="shared" si="17"/>
        <v>1.8075166700337045E-2</v>
      </c>
      <c r="M41" s="179">
        <f>M37*0.124</f>
        <v>13280.846040904529</v>
      </c>
      <c r="N41" s="80">
        <f t="shared" si="18"/>
        <v>1.816377045867203E-2</v>
      </c>
      <c r="O41" s="179">
        <f>O37*0.124</f>
        <v>13612.867191927142</v>
      </c>
      <c r="P41" s="80">
        <f t="shared" si="19"/>
        <v>1.8252808549155716E-2</v>
      </c>
      <c r="Q41" s="179">
        <f>Q37*0.124</f>
        <v>13953.18887172532</v>
      </c>
      <c r="R41" s="80">
        <f t="shared" si="20"/>
        <v>1.8342283100867263E-2</v>
      </c>
      <c r="S41" s="179">
        <f>S37*0.124</f>
        <v>14302.018593518451</v>
      </c>
      <c r="T41" s="80">
        <f t="shared" si="21"/>
        <v>1.8432196253322493E-2</v>
      </c>
      <c r="U41" s="179">
        <f>U37*0.124</f>
        <v>14659.569058356412</v>
      </c>
      <c r="V41" s="80">
        <f t="shared" si="22"/>
        <v>1.8522550156525052E-2</v>
      </c>
    </row>
    <row r="42" spans="1:22" ht="12.75" customHeight="1">
      <c r="A42" s="2" t="s">
        <v>377</v>
      </c>
      <c r="B42" s="35"/>
      <c r="C42" s="179"/>
      <c r="D42" s="80">
        <f t="shared" si="13"/>
        <v>0</v>
      </c>
      <c r="E42" s="179"/>
      <c r="F42" s="80">
        <f t="shared" si="14"/>
        <v>0</v>
      </c>
      <c r="G42" s="179"/>
      <c r="H42" s="80">
        <f t="shared" si="15"/>
        <v>0</v>
      </c>
      <c r="I42" s="179"/>
      <c r="J42" s="80">
        <f t="shared" si="16"/>
        <v>0</v>
      </c>
      <c r="K42" s="179"/>
      <c r="L42" s="80">
        <f t="shared" si="17"/>
        <v>0</v>
      </c>
      <c r="M42" s="179"/>
      <c r="N42" s="80">
        <f t="shared" si="18"/>
        <v>0</v>
      </c>
      <c r="O42" s="179"/>
      <c r="P42" s="80">
        <f t="shared" si="19"/>
        <v>0</v>
      </c>
      <c r="Q42" s="179"/>
      <c r="R42" s="80">
        <f t="shared" si="20"/>
        <v>0</v>
      </c>
      <c r="S42" s="179"/>
      <c r="T42" s="80">
        <f t="shared" si="21"/>
        <v>0</v>
      </c>
      <c r="U42" s="179"/>
      <c r="V42" s="80">
        <f t="shared" si="22"/>
        <v>0</v>
      </c>
    </row>
    <row r="43" spans="1:22" ht="12.75" customHeight="1">
      <c r="A43" s="2" t="s">
        <v>378</v>
      </c>
      <c r="B43" s="35"/>
      <c r="C43" s="179"/>
      <c r="D43" s="80">
        <f t="shared" si="13"/>
        <v>0</v>
      </c>
      <c r="E43" s="179"/>
      <c r="F43" s="80">
        <f t="shared" si="14"/>
        <v>0</v>
      </c>
      <c r="G43" s="179"/>
      <c r="H43" s="80">
        <f t="shared" si="15"/>
        <v>0</v>
      </c>
      <c r="I43" s="179"/>
      <c r="J43" s="80">
        <f t="shared" si="16"/>
        <v>0</v>
      </c>
      <c r="K43" s="179"/>
      <c r="L43" s="80">
        <f t="shared" si="17"/>
        <v>0</v>
      </c>
      <c r="M43" s="179"/>
      <c r="N43" s="80">
        <f t="shared" si="18"/>
        <v>0</v>
      </c>
      <c r="O43" s="179"/>
      <c r="P43" s="80">
        <f t="shared" si="19"/>
        <v>0</v>
      </c>
      <c r="Q43" s="179"/>
      <c r="R43" s="80">
        <f t="shared" si="20"/>
        <v>0</v>
      </c>
      <c r="S43" s="179"/>
      <c r="T43" s="80">
        <f t="shared" si="21"/>
        <v>0</v>
      </c>
      <c r="U43" s="179"/>
      <c r="V43" s="80">
        <f t="shared" si="22"/>
        <v>0</v>
      </c>
    </row>
    <row r="44" spans="1:22" ht="12.75" customHeight="1">
      <c r="A44" s="2" t="s">
        <v>379</v>
      </c>
      <c r="B44" s="35"/>
      <c r="C44" s="179"/>
      <c r="D44" s="80">
        <f t="shared" si="13"/>
        <v>0</v>
      </c>
      <c r="E44" s="179"/>
      <c r="F44" s="80">
        <f t="shared" si="14"/>
        <v>0</v>
      </c>
      <c r="G44" s="179"/>
      <c r="H44" s="80">
        <f t="shared" si="15"/>
        <v>0</v>
      </c>
      <c r="I44" s="179"/>
      <c r="J44" s="80">
        <f t="shared" si="16"/>
        <v>0</v>
      </c>
      <c r="K44" s="179"/>
      <c r="L44" s="80">
        <f t="shared" si="17"/>
        <v>0</v>
      </c>
      <c r="M44" s="179"/>
      <c r="N44" s="80">
        <f t="shared" si="18"/>
        <v>0</v>
      </c>
      <c r="O44" s="179"/>
      <c r="P44" s="80">
        <f t="shared" si="19"/>
        <v>0</v>
      </c>
      <c r="Q44" s="179"/>
      <c r="R44" s="80">
        <f t="shared" si="20"/>
        <v>0</v>
      </c>
      <c r="S44" s="179"/>
      <c r="T44" s="80">
        <f t="shared" si="21"/>
        <v>0</v>
      </c>
      <c r="U44" s="179"/>
      <c r="V44" s="80">
        <f t="shared" si="22"/>
        <v>0</v>
      </c>
    </row>
    <row r="45" spans="1:22" ht="12.75" customHeight="1">
      <c r="A45" s="2" t="s">
        <v>380</v>
      </c>
      <c r="B45" s="35"/>
      <c r="C45" s="182">
        <f>SUM(C36:C39)*0.094</f>
        <v>28419.114000000001</v>
      </c>
      <c r="D45" s="80">
        <f t="shared" si="13"/>
        <v>4.8746336192109781E-2</v>
      </c>
      <c r="E45" s="182">
        <f>SUM(E36:E39)*0.094</f>
        <v>31080.879006000003</v>
      </c>
      <c r="F45" s="80">
        <f t="shared" si="14"/>
        <v>4.8639873248826293E-2</v>
      </c>
      <c r="G45" s="182">
        <f>SUM(G36:G39)*0.094</f>
        <v>23177.306879709999</v>
      </c>
      <c r="H45" s="80">
        <f t="shared" si="15"/>
        <v>3.3639052075050795E-2</v>
      </c>
      <c r="I45" s="182">
        <f>SUM(I36:I39)*0.094</f>
        <v>23874.924125209469</v>
      </c>
      <c r="J45" s="80">
        <f t="shared" si="16"/>
        <v>3.3972116629968796E-2</v>
      </c>
      <c r="K45" s="182">
        <f>SUM(K36:K39)*0.094</f>
        <v>24471.797228339699</v>
      </c>
      <c r="L45" s="80">
        <f t="shared" si="17"/>
        <v>3.4138646613449022E-2</v>
      </c>
      <c r="M45" s="182">
        <f>SUM(M36:M39)*0.094</f>
        <v>25083.592159048196</v>
      </c>
      <c r="N45" s="80">
        <f t="shared" si="18"/>
        <v>3.4305992920377698E-2</v>
      </c>
      <c r="O45" s="182">
        <f>SUM(O36:O39)*0.094</f>
        <v>25710.681963024395</v>
      </c>
      <c r="P45" s="80">
        <f t="shared" si="19"/>
        <v>3.447415955234033E-2</v>
      </c>
      <c r="Q45" s="182">
        <f>SUM(Q36:Q39)*0.094</f>
        <v>26353.449012100002</v>
      </c>
      <c r="R45" s="80">
        <f t="shared" si="20"/>
        <v>3.4643150530538069E-2</v>
      </c>
      <c r="S45" s="182">
        <f>SUM(S36:S39)*0.094</f>
        <v>27012.285237402499</v>
      </c>
      <c r="T45" s="80">
        <f t="shared" si="21"/>
        <v>3.4812969895883845E-2</v>
      </c>
      <c r="U45" s="182">
        <f>SUM(U36:U39)*0.094</f>
        <v>27687.592368337566</v>
      </c>
      <c r="V45" s="80">
        <f t="shared" si="22"/>
        <v>3.498362170909896E-2</v>
      </c>
    </row>
    <row r="46" spans="1:22" ht="12.75" customHeight="1">
      <c r="A46" s="1" t="s">
        <v>381</v>
      </c>
      <c r="B46" s="53"/>
      <c r="C46" s="82">
        <f>SUM(C36:C45)</f>
        <v>354682.23800000001</v>
      </c>
      <c r="D46" s="83">
        <f t="shared" si="13"/>
        <v>0.60837433619210979</v>
      </c>
      <c r="E46" s="82">
        <f>SUM(E36:E45)</f>
        <v>387653.54144200002</v>
      </c>
      <c r="F46" s="83">
        <f t="shared" si="14"/>
        <v>0.60665655937715179</v>
      </c>
      <c r="G46" s="82">
        <f>SUM(G36:G45)</f>
        <v>290295.79069196997</v>
      </c>
      <c r="H46" s="83">
        <f t="shared" si="15"/>
        <v>0.42132915920460084</v>
      </c>
      <c r="I46" s="82">
        <f>SUM(I36:I45)</f>
        <v>299014.39527150424</v>
      </c>
      <c r="J46" s="83">
        <f t="shared" si="16"/>
        <v>0.42547368347349701</v>
      </c>
      <c r="K46" s="82">
        <f>SUM(K36:K45)</f>
        <v>306489.75515329186</v>
      </c>
      <c r="L46" s="83">
        <f t="shared" si="17"/>
        <v>0.42755933878464164</v>
      </c>
      <c r="M46" s="82">
        <f>SUM(M36:M45)</f>
        <v>314151.99903212412</v>
      </c>
      <c r="N46" s="83">
        <f t="shared" si="18"/>
        <v>0.42965521789633099</v>
      </c>
      <c r="O46" s="82">
        <f>SUM(O36:O45)</f>
        <v>322005.79900792718</v>
      </c>
      <c r="P46" s="83">
        <f t="shared" si="19"/>
        <v>0.43176137092523453</v>
      </c>
      <c r="Q46" s="82">
        <f>SUM(Q36:Q45)</f>
        <v>330055.94398312538</v>
      </c>
      <c r="R46" s="83">
        <f t="shared" si="20"/>
        <v>0.43387784823369158</v>
      </c>
      <c r="S46" s="82">
        <f>SUM(S36:S45)</f>
        <v>338307.34258270345</v>
      </c>
      <c r="T46" s="83">
        <f t="shared" si="21"/>
        <v>0.43600470043091549</v>
      </c>
      <c r="U46" s="82">
        <f>SUM(U36:U45)</f>
        <v>346765.02614727104</v>
      </c>
      <c r="V46" s="83">
        <f t="shared" si="22"/>
        <v>0.43814197837420421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4">IFERROR(C52/C$28,0)</f>
        <v>0</v>
      </c>
      <c r="E52" s="179">
        <v>0</v>
      </c>
      <c r="F52" s="80">
        <f t="shared" ref="F52:F104" si="25">IFERROR(E52/E$28,0)</f>
        <v>0</v>
      </c>
      <c r="G52" s="179">
        <v>0</v>
      </c>
      <c r="H52" s="80">
        <f t="shared" ref="H52:H104" si="26">IFERROR(G52/G$28,0)</f>
        <v>0</v>
      </c>
      <c r="I52" s="179">
        <v>0</v>
      </c>
      <c r="J52" s="80">
        <f t="shared" ref="J52:J104" si="27">IFERROR(I52/I$28,0)</f>
        <v>0</v>
      </c>
      <c r="K52" s="179">
        <v>0</v>
      </c>
      <c r="L52" s="80">
        <f t="shared" ref="L52:L104" si="28">IFERROR(K52/K$28,0)</f>
        <v>0</v>
      </c>
      <c r="M52" s="179">
        <v>0</v>
      </c>
      <c r="N52" s="80">
        <f t="shared" ref="N52:N104" si="29">IFERROR(M52/M$28,0)</f>
        <v>0</v>
      </c>
      <c r="O52" s="179">
        <v>0</v>
      </c>
      <c r="P52" s="80">
        <f t="shared" ref="P52:P104" si="30">IFERROR(O52/O$28,0)</f>
        <v>0</v>
      </c>
      <c r="Q52" s="179">
        <v>0</v>
      </c>
      <c r="R52" s="80">
        <f t="shared" ref="R52:R104" si="31">IFERROR(Q52/Q$28,0)</f>
        <v>0</v>
      </c>
      <c r="S52" s="179">
        <v>0</v>
      </c>
      <c r="T52" s="80">
        <f t="shared" ref="T52:T104" si="32">IFERROR(S52/S$28,0)</f>
        <v>0</v>
      </c>
      <c r="U52" s="179">
        <v>0</v>
      </c>
      <c r="V52" s="80">
        <f t="shared" ref="V52:V105" si="33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4"/>
        <v>0</v>
      </c>
      <c r="E53" s="179">
        <v>0</v>
      </c>
      <c r="F53" s="80">
        <f t="shared" si="25"/>
        <v>0</v>
      </c>
      <c r="G53" s="179">
        <v>0</v>
      </c>
      <c r="H53" s="80">
        <f t="shared" si="26"/>
        <v>0</v>
      </c>
      <c r="I53" s="179">
        <v>0</v>
      </c>
      <c r="J53" s="80">
        <f t="shared" si="27"/>
        <v>0</v>
      </c>
      <c r="K53" s="179">
        <v>0</v>
      </c>
      <c r="L53" s="80">
        <f t="shared" si="28"/>
        <v>0</v>
      </c>
      <c r="M53" s="179">
        <v>0</v>
      </c>
      <c r="N53" s="80">
        <f t="shared" si="29"/>
        <v>0</v>
      </c>
      <c r="O53" s="179">
        <v>0</v>
      </c>
      <c r="P53" s="80">
        <f t="shared" si="30"/>
        <v>0</v>
      </c>
      <c r="Q53" s="179">
        <v>0</v>
      </c>
      <c r="R53" s="80">
        <f t="shared" si="31"/>
        <v>0</v>
      </c>
      <c r="S53" s="179">
        <v>0</v>
      </c>
      <c r="T53" s="80">
        <f t="shared" si="32"/>
        <v>0</v>
      </c>
      <c r="U53" s="179">
        <v>0</v>
      </c>
      <c r="V53" s="80">
        <f t="shared" si="33"/>
        <v>0</v>
      </c>
      <c r="X53" s="200"/>
    </row>
    <row r="54" spans="1:24" ht="12.75" customHeight="1">
      <c r="A54" s="2" t="s">
        <v>385</v>
      </c>
      <c r="B54" s="35"/>
      <c r="C54" s="179">
        <v>408.09999999999997</v>
      </c>
      <c r="D54" s="80">
        <f t="shared" si="24"/>
        <v>6.9999999999999999E-4</v>
      </c>
      <c r="E54" s="179">
        <v>447.3</v>
      </c>
      <c r="F54" s="80">
        <f t="shared" si="25"/>
        <v>6.9999999999999999E-4</v>
      </c>
      <c r="G54" s="179">
        <v>482.3</v>
      </c>
      <c r="H54" s="80">
        <f t="shared" si="26"/>
        <v>6.9999999999999999E-4</v>
      </c>
      <c r="I54" s="179">
        <v>491.94599999999997</v>
      </c>
      <c r="J54" s="80">
        <f t="shared" si="27"/>
        <v>6.9999999999999999E-4</v>
      </c>
      <c r="K54" s="179">
        <v>501.78492</v>
      </c>
      <c r="L54" s="80">
        <f t="shared" si="28"/>
        <v>6.9999999999999999E-4</v>
      </c>
      <c r="M54" s="179">
        <v>511.8206184</v>
      </c>
      <c r="N54" s="80">
        <f t="shared" si="29"/>
        <v>6.9999999999999999E-4</v>
      </c>
      <c r="O54" s="179">
        <v>522.057030768</v>
      </c>
      <c r="P54" s="80">
        <f t="shared" si="30"/>
        <v>6.9999999999999999E-4</v>
      </c>
      <c r="Q54" s="179">
        <v>532.49817138336005</v>
      </c>
      <c r="R54" s="80">
        <f t="shared" si="31"/>
        <v>7.000000000000001E-4</v>
      </c>
      <c r="S54" s="179">
        <v>543.14813481102715</v>
      </c>
      <c r="T54" s="80">
        <f t="shared" si="32"/>
        <v>6.9999999999999988E-4</v>
      </c>
      <c r="U54" s="179">
        <v>554.01109750724777</v>
      </c>
      <c r="V54" s="80">
        <f t="shared" si="33"/>
        <v>6.9999999999999988E-4</v>
      </c>
      <c r="X54" s="200"/>
    </row>
    <row r="55" spans="1:24" ht="12.75" customHeight="1">
      <c r="A55" s="2" t="s">
        <v>386</v>
      </c>
      <c r="B55" s="35"/>
      <c r="C55" s="179">
        <v>40810.000000000007</v>
      </c>
      <c r="D55" s="80">
        <f t="shared" si="24"/>
        <v>7.0000000000000007E-2</v>
      </c>
      <c r="E55" s="179">
        <v>44730.000000000007</v>
      </c>
      <c r="F55" s="80">
        <f t="shared" si="25"/>
        <v>7.0000000000000007E-2</v>
      </c>
      <c r="G55" s="179">
        <v>48230.000000000007</v>
      </c>
      <c r="H55" s="80">
        <f t="shared" si="26"/>
        <v>7.0000000000000007E-2</v>
      </c>
      <c r="I55" s="179">
        <v>49194.600000000006</v>
      </c>
      <c r="J55" s="80">
        <f t="shared" si="27"/>
        <v>7.0000000000000007E-2</v>
      </c>
      <c r="K55" s="179">
        <v>50178.492000000006</v>
      </c>
      <c r="L55" s="80">
        <f t="shared" si="28"/>
        <v>7.0000000000000007E-2</v>
      </c>
      <c r="M55" s="179">
        <v>51182.061840000009</v>
      </c>
      <c r="N55" s="80">
        <f t="shared" si="29"/>
        <v>7.0000000000000007E-2</v>
      </c>
      <c r="O55" s="179">
        <v>52205.703076800004</v>
      </c>
      <c r="P55" s="80">
        <f t="shared" si="30"/>
        <v>7.0000000000000007E-2</v>
      </c>
      <c r="Q55" s="179">
        <v>53249.817138336002</v>
      </c>
      <c r="R55" s="80">
        <f t="shared" si="31"/>
        <v>7.0000000000000007E-2</v>
      </c>
      <c r="S55" s="179">
        <v>54314.813481102727</v>
      </c>
      <c r="T55" s="80">
        <f t="shared" si="32"/>
        <v>7.0000000000000007E-2</v>
      </c>
      <c r="U55" s="179">
        <v>55401.109750724791</v>
      </c>
      <c r="V55" s="80">
        <f t="shared" si="33"/>
        <v>7.0000000000000007E-2</v>
      </c>
      <c r="X55" s="200"/>
    </row>
    <row r="56" spans="1:24" ht="12.75" customHeight="1">
      <c r="A56" s="2" t="s">
        <v>387</v>
      </c>
      <c r="B56" s="35"/>
      <c r="C56" s="179">
        <v>297.33000000000004</v>
      </c>
      <c r="D56" s="80">
        <f t="shared" si="24"/>
        <v>5.1000000000000004E-4</v>
      </c>
      <c r="E56" s="179">
        <v>325.89000000000004</v>
      </c>
      <c r="F56" s="80">
        <f t="shared" si="25"/>
        <v>5.1000000000000004E-4</v>
      </c>
      <c r="G56" s="179">
        <v>351.39</v>
      </c>
      <c r="H56" s="80">
        <f t="shared" si="26"/>
        <v>5.0999999999999993E-4</v>
      </c>
      <c r="I56" s="179">
        <v>358.41780000000006</v>
      </c>
      <c r="J56" s="80">
        <f t="shared" si="27"/>
        <v>5.1000000000000004E-4</v>
      </c>
      <c r="K56" s="179">
        <v>365.58615600000002</v>
      </c>
      <c r="L56" s="80">
        <f t="shared" si="28"/>
        <v>5.1000000000000004E-4</v>
      </c>
      <c r="M56" s="179">
        <v>372.89787912000003</v>
      </c>
      <c r="N56" s="80">
        <f t="shared" si="29"/>
        <v>5.1000000000000004E-4</v>
      </c>
      <c r="O56" s="179">
        <v>380.35583670240004</v>
      </c>
      <c r="P56" s="80">
        <f t="shared" si="30"/>
        <v>5.1000000000000004E-4</v>
      </c>
      <c r="Q56" s="179">
        <v>387.96295343644806</v>
      </c>
      <c r="R56" s="80">
        <f t="shared" si="31"/>
        <v>5.1000000000000004E-4</v>
      </c>
      <c r="S56" s="179">
        <v>395.72221250517697</v>
      </c>
      <c r="T56" s="80">
        <f t="shared" si="32"/>
        <v>5.1000000000000004E-4</v>
      </c>
      <c r="U56" s="179">
        <v>403.63665675528057</v>
      </c>
      <c r="V56" s="80">
        <f t="shared" si="33"/>
        <v>5.1000000000000004E-4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4"/>
        <v>0</v>
      </c>
      <c r="E57" s="179">
        <v>0</v>
      </c>
      <c r="F57" s="80">
        <f t="shared" si="25"/>
        <v>0</v>
      </c>
      <c r="G57" s="179">
        <v>0</v>
      </c>
      <c r="H57" s="80">
        <f t="shared" si="26"/>
        <v>0</v>
      </c>
      <c r="I57" s="179">
        <v>0</v>
      </c>
      <c r="J57" s="80">
        <f t="shared" si="27"/>
        <v>0</v>
      </c>
      <c r="K57" s="179">
        <v>0</v>
      </c>
      <c r="L57" s="80">
        <f t="shared" si="28"/>
        <v>0</v>
      </c>
      <c r="M57" s="179">
        <v>0</v>
      </c>
      <c r="N57" s="80">
        <f t="shared" si="29"/>
        <v>0</v>
      </c>
      <c r="O57" s="179">
        <v>0</v>
      </c>
      <c r="P57" s="80">
        <f t="shared" si="30"/>
        <v>0</v>
      </c>
      <c r="Q57" s="179">
        <v>0</v>
      </c>
      <c r="R57" s="80">
        <f t="shared" si="31"/>
        <v>0</v>
      </c>
      <c r="S57" s="179">
        <v>0</v>
      </c>
      <c r="T57" s="80">
        <f t="shared" si="32"/>
        <v>0</v>
      </c>
      <c r="U57" s="179">
        <v>0</v>
      </c>
      <c r="V57" s="80">
        <f t="shared" si="33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4"/>
        <v>0</v>
      </c>
      <c r="E58" s="179">
        <v>0</v>
      </c>
      <c r="F58" s="80">
        <f t="shared" si="25"/>
        <v>0</v>
      </c>
      <c r="G58" s="179">
        <v>0</v>
      </c>
      <c r="H58" s="80">
        <f t="shared" si="26"/>
        <v>0</v>
      </c>
      <c r="I58" s="179">
        <v>0</v>
      </c>
      <c r="J58" s="80">
        <f t="shared" si="27"/>
        <v>0</v>
      </c>
      <c r="K58" s="179">
        <v>0</v>
      </c>
      <c r="L58" s="80">
        <f t="shared" si="28"/>
        <v>0</v>
      </c>
      <c r="M58" s="179">
        <v>0</v>
      </c>
      <c r="N58" s="80">
        <f t="shared" si="29"/>
        <v>0</v>
      </c>
      <c r="O58" s="179">
        <v>0</v>
      </c>
      <c r="P58" s="80">
        <f t="shared" si="30"/>
        <v>0</v>
      </c>
      <c r="Q58" s="179">
        <v>0</v>
      </c>
      <c r="R58" s="80">
        <f t="shared" si="31"/>
        <v>0</v>
      </c>
      <c r="S58" s="179">
        <v>0</v>
      </c>
      <c r="T58" s="80">
        <f t="shared" si="32"/>
        <v>0</v>
      </c>
      <c r="U58" s="179">
        <v>0</v>
      </c>
      <c r="V58" s="80">
        <f t="shared" si="33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4"/>
        <v>0</v>
      </c>
      <c r="E59" s="179">
        <v>0</v>
      </c>
      <c r="F59" s="80">
        <f t="shared" si="25"/>
        <v>0</v>
      </c>
      <c r="G59" s="179">
        <v>0</v>
      </c>
      <c r="H59" s="80">
        <f t="shared" si="26"/>
        <v>0</v>
      </c>
      <c r="I59" s="179">
        <v>0</v>
      </c>
      <c r="J59" s="80">
        <f t="shared" si="27"/>
        <v>0</v>
      </c>
      <c r="K59" s="179">
        <v>0</v>
      </c>
      <c r="L59" s="80">
        <f t="shared" si="28"/>
        <v>0</v>
      </c>
      <c r="M59" s="179">
        <v>0</v>
      </c>
      <c r="N59" s="80">
        <f t="shared" si="29"/>
        <v>0</v>
      </c>
      <c r="O59" s="179">
        <v>0</v>
      </c>
      <c r="P59" s="80">
        <f t="shared" si="30"/>
        <v>0</v>
      </c>
      <c r="Q59" s="179">
        <v>0</v>
      </c>
      <c r="R59" s="80">
        <f t="shared" si="31"/>
        <v>0</v>
      </c>
      <c r="S59" s="179">
        <v>0</v>
      </c>
      <c r="T59" s="80">
        <f t="shared" si="32"/>
        <v>0</v>
      </c>
      <c r="U59" s="179">
        <v>0</v>
      </c>
      <c r="V59" s="80">
        <f t="shared" si="33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4"/>
        <v>0</v>
      </c>
      <c r="E60" s="179">
        <v>0</v>
      </c>
      <c r="F60" s="80">
        <f t="shared" si="25"/>
        <v>0</v>
      </c>
      <c r="G60" s="179">
        <v>0</v>
      </c>
      <c r="H60" s="80">
        <f t="shared" si="26"/>
        <v>0</v>
      </c>
      <c r="I60" s="179">
        <v>0</v>
      </c>
      <c r="J60" s="80">
        <f t="shared" si="27"/>
        <v>0</v>
      </c>
      <c r="K60" s="179">
        <v>0</v>
      </c>
      <c r="L60" s="80">
        <f t="shared" si="28"/>
        <v>0</v>
      </c>
      <c r="M60" s="179">
        <v>0</v>
      </c>
      <c r="N60" s="80">
        <f t="shared" si="29"/>
        <v>0</v>
      </c>
      <c r="O60" s="179">
        <v>0</v>
      </c>
      <c r="P60" s="80">
        <f t="shared" si="30"/>
        <v>0</v>
      </c>
      <c r="Q60" s="179">
        <v>0</v>
      </c>
      <c r="R60" s="80">
        <f t="shared" si="31"/>
        <v>0</v>
      </c>
      <c r="S60" s="179">
        <v>0</v>
      </c>
      <c r="T60" s="80">
        <f t="shared" si="32"/>
        <v>0</v>
      </c>
      <c r="U60" s="179">
        <v>0</v>
      </c>
      <c r="V60" s="80">
        <f t="shared" si="33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4"/>
        <v>0</v>
      </c>
      <c r="E61" s="179">
        <v>0</v>
      </c>
      <c r="F61" s="80">
        <f t="shared" si="25"/>
        <v>0</v>
      </c>
      <c r="G61" s="179">
        <v>0</v>
      </c>
      <c r="H61" s="80">
        <f t="shared" si="26"/>
        <v>0</v>
      </c>
      <c r="I61" s="179">
        <v>0</v>
      </c>
      <c r="J61" s="80">
        <f t="shared" si="27"/>
        <v>0</v>
      </c>
      <c r="K61" s="179">
        <v>0</v>
      </c>
      <c r="L61" s="80">
        <f t="shared" si="28"/>
        <v>0</v>
      </c>
      <c r="M61" s="179">
        <v>0</v>
      </c>
      <c r="N61" s="80">
        <f t="shared" si="29"/>
        <v>0</v>
      </c>
      <c r="O61" s="179">
        <v>0</v>
      </c>
      <c r="P61" s="80">
        <f t="shared" si="30"/>
        <v>0</v>
      </c>
      <c r="Q61" s="179">
        <v>0</v>
      </c>
      <c r="R61" s="80">
        <f t="shared" si="31"/>
        <v>0</v>
      </c>
      <c r="S61" s="179">
        <v>0</v>
      </c>
      <c r="T61" s="80">
        <f t="shared" si="32"/>
        <v>0</v>
      </c>
      <c r="U61" s="179">
        <v>0</v>
      </c>
      <c r="V61" s="80">
        <f t="shared" si="33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4"/>
        <v>0</v>
      </c>
      <c r="E62" s="179">
        <v>0</v>
      </c>
      <c r="F62" s="80">
        <f t="shared" si="25"/>
        <v>0</v>
      </c>
      <c r="G62" s="179">
        <v>0</v>
      </c>
      <c r="H62" s="80">
        <f t="shared" si="26"/>
        <v>0</v>
      </c>
      <c r="I62" s="179">
        <v>0</v>
      </c>
      <c r="J62" s="80">
        <f t="shared" si="27"/>
        <v>0</v>
      </c>
      <c r="K62" s="179">
        <v>0</v>
      </c>
      <c r="L62" s="80">
        <f t="shared" si="28"/>
        <v>0</v>
      </c>
      <c r="M62" s="179">
        <v>0</v>
      </c>
      <c r="N62" s="80">
        <f t="shared" si="29"/>
        <v>0</v>
      </c>
      <c r="O62" s="179">
        <v>0</v>
      </c>
      <c r="P62" s="80">
        <f t="shared" si="30"/>
        <v>0</v>
      </c>
      <c r="Q62" s="179">
        <v>0</v>
      </c>
      <c r="R62" s="80">
        <f t="shared" si="31"/>
        <v>0</v>
      </c>
      <c r="S62" s="179">
        <v>0</v>
      </c>
      <c r="T62" s="80">
        <f t="shared" si="32"/>
        <v>0</v>
      </c>
      <c r="U62" s="179">
        <v>0</v>
      </c>
      <c r="V62" s="80">
        <f t="shared" si="33"/>
        <v>0</v>
      </c>
      <c r="X62" s="200"/>
    </row>
    <row r="63" spans="1:24" ht="12.75" customHeight="1">
      <c r="A63" s="2" t="s">
        <v>394</v>
      </c>
      <c r="B63" s="35"/>
      <c r="C63" s="179">
        <v>8000.179925166779</v>
      </c>
      <c r="D63" s="80">
        <f t="shared" si="24"/>
        <v>1.3722435549171148E-2</v>
      </c>
      <c r="E63" s="179">
        <v>4956.927769996495</v>
      </c>
      <c r="F63" s="80">
        <f t="shared" si="25"/>
        <v>7.7573204538286308E-3</v>
      </c>
      <c r="G63" s="179">
        <v>6133.8537948769954</v>
      </c>
      <c r="H63" s="80">
        <f t="shared" si="26"/>
        <v>8.9025454207213289E-3</v>
      </c>
      <c r="I63" s="179">
        <v>6201.7946602561969</v>
      </c>
      <c r="J63" s="80">
        <f t="shared" si="27"/>
        <v>8.8246601500557749E-3</v>
      </c>
      <c r="K63" s="179">
        <v>6252.9803590288448</v>
      </c>
      <c r="L63" s="80">
        <f t="shared" si="28"/>
        <v>8.723032671687685E-3</v>
      </c>
      <c r="M63" s="179">
        <v>6364.6333319313389</v>
      </c>
      <c r="N63" s="80">
        <f t="shared" si="29"/>
        <v>8.7046968648497435E-3</v>
      </c>
      <c r="O63" s="179">
        <v>6478.6380145604899</v>
      </c>
      <c r="P63" s="80">
        <f t="shared" si="30"/>
        <v>8.686879675810168E-3</v>
      </c>
      <c r="Q63" s="179">
        <v>6594.8164958467478</v>
      </c>
      <c r="R63" s="80">
        <f t="shared" si="31"/>
        <v>8.6692721124281037E-3</v>
      </c>
      <c r="S63" s="179">
        <v>6712.9924531782563</v>
      </c>
      <c r="T63" s="80">
        <f t="shared" si="32"/>
        <v>8.6515895315735451E-3</v>
      </c>
      <c r="U63" s="179">
        <v>7094.629489820054</v>
      </c>
      <c r="V63" s="80">
        <f t="shared" si="33"/>
        <v>8.9641537240308933E-3</v>
      </c>
      <c r="X63" s="200"/>
    </row>
    <row r="64" spans="1:24" ht="12.75" customHeight="1">
      <c r="A64" s="2" t="s">
        <v>395</v>
      </c>
      <c r="B64" s="35"/>
      <c r="C64" s="179">
        <v>2798.3999999999996</v>
      </c>
      <c r="D64" s="80">
        <f t="shared" si="24"/>
        <v>4.7999999999999996E-3</v>
      </c>
      <c r="E64" s="179">
        <v>3067.2</v>
      </c>
      <c r="F64" s="80">
        <f t="shared" si="25"/>
        <v>4.7999999999999996E-3</v>
      </c>
      <c r="G64" s="179">
        <v>3307.1999999999994</v>
      </c>
      <c r="H64" s="80">
        <f t="shared" si="26"/>
        <v>4.7999999999999987E-3</v>
      </c>
      <c r="I64" s="179">
        <v>3373.3439999999996</v>
      </c>
      <c r="J64" s="80">
        <f t="shared" si="27"/>
        <v>4.7999999999999996E-3</v>
      </c>
      <c r="K64" s="179">
        <v>3440.8108799999995</v>
      </c>
      <c r="L64" s="80">
        <f t="shared" si="28"/>
        <v>4.7999999999999996E-3</v>
      </c>
      <c r="M64" s="179">
        <v>3509.6270976000001</v>
      </c>
      <c r="N64" s="80">
        <f t="shared" si="29"/>
        <v>4.7999999999999996E-3</v>
      </c>
      <c r="O64" s="179">
        <v>3579.8196395519994</v>
      </c>
      <c r="P64" s="80">
        <f t="shared" si="30"/>
        <v>4.7999999999999996E-3</v>
      </c>
      <c r="Q64" s="179">
        <v>3651.4160323430397</v>
      </c>
      <c r="R64" s="80">
        <f t="shared" si="31"/>
        <v>4.7999999999999996E-3</v>
      </c>
      <c r="S64" s="179">
        <v>3724.4443529899004</v>
      </c>
      <c r="T64" s="80">
        <f t="shared" si="32"/>
        <v>4.7999999999999996E-3</v>
      </c>
      <c r="U64" s="179">
        <v>3798.9332400496987</v>
      </c>
      <c r="V64" s="80">
        <f t="shared" si="33"/>
        <v>4.7999999999999996E-3</v>
      </c>
      <c r="X64" s="200"/>
    </row>
    <row r="65" spans="1:24" ht="12.75" customHeight="1">
      <c r="A65" s="2" t="s">
        <v>396</v>
      </c>
      <c r="B65" s="35"/>
      <c r="C65" s="179">
        <v>291.5</v>
      </c>
      <c r="D65" s="80">
        <f t="shared" si="24"/>
        <v>5.0000000000000001E-4</v>
      </c>
      <c r="E65" s="179">
        <v>319.5</v>
      </c>
      <c r="F65" s="80">
        <f t="shared" si="25"/>
        <v>5.0000000000000001E-4</v>
      </c>
      <c r="G65" s="179">
        <v>344.5</v>
      </c>
      <c r="H65" s="80">
        <f t="shared" si="26"/>
        <v>5.0000000000000001E-4</v>
      </c>
      <c r="I65" s="179">
        <v>351.39000000000004</v>
      </c>
      <c r="J65" s="80">
        <f t="shared" si="27"/>
        <v>5.0000000000000001E-4</v>
      </c>
      <c r="K65" s="179">
        <v>358.4178</v>
      </c>
      <c r="L65" s="80">
        <f t="shared" si="28"/>
        <v>5.0000000000000001E-4</v>
      </c>
      <c r="M65" s="179">
        <v>365.58615600000002</v>
      </c>
      <c r="N65" s="80">
        <f t="shared" si="29"/>
        <v>5.0000000000000001E-4</v>
      </c>
      <c r="O65" s="179">
        <v>372.89787911999997</v>
      </c>
      <c r="P65" s="80">
        <f t="shared" si="30"/>
        <v>5.0000000000000001E-4</v>
      </c>
      <c r="Q65" s="179">
        <v>380.35583670240004</v>
      </c>
      <c r="R65" s="80">
        <f t="shared" si="31"/>
        <v>5.0000000000000001E-4</v>
      </c>
      <c r="S65" s="179">
        <v>387.962953436448</v>
      </c>
      <c r="T65" s="80">
        <f t="shared" si="32"/>
        <v>5.0000000000000001E-4</v>
      </c>
      <c r="U65" s="179">
        <v>395.72221250517703</v>
      </c>
      <c r="V65" s="80">
        <f t="shared" si="33"/>
        <v>5.0000000000000001E-4</v>
      </c>
      <c r="X65" s="200"/>
    </row>
    <row r="66" spans="1:24" ht="12.75" customHeight="1">
      <c r="A66" s="2" t="s">
        <v>397</v>
      </c>
      <c r="B66" s="35"/>
      <c r="C66" s="179">
        <v>1632.3999999999999</v>
      </c>
      <c r="D66" s="80">
        <f t="shared" si="24"/>
        <v>2.8E-3</v>
      </c>
      <c r="E66" s="179">
        <v>1789.2</v>
      </c>
      <c r="F66" s="80">
        <f t="shared" si="25"/>
        <v>2.8E-3</v>
      </c>
      <c r="G66" s="179">
        <v>1929.2</v>
      </c>
      <c r="H66" s="80">
        <f t="shared" si="26"/>
        <v>2.8E-3</v>
      </c>
      <c r="I66" s="179">
        <v>1967.7839999999999</v>
      </c>
      <c r="J66" s="80">
        <f t="shared" si="27"/>
        <v>2.8E-3</v>
      </c>
      <c r="K66" s="179">
        <v>2007.13968</v>
      </c>
      <c r="L66" s="80">
        <f t="shared" si="28"/>
        <v>2.8E-3</v>
      </c>
      <c r="M66" s="179">
        <v>2047.2824736</v>
      </c>
      <c r="N66" s="80">
        <f t="shared" si="29"/>
        <v>2.8E-3</v>
      </c>
      <c r="O66" s="179">
        <v>2088.228123072</v>
      </c>
      <c r="P66" s="80">
        <f t="shared" si="30"/>
        <v>2.8E-3</v>
      </c>
      <c r="Q66" s="179">
        <v>2129.9926855334402</v>
      </c>
      <c r="R66" s="80">
        <f t="shared" si="31"/>
        <v>2.8000000000000004E-3</v>
      </c>
      <c r="S66" s="179">
        <v>2172.5925392441086</v>
      </c>
      <c r="T66" s="80">
        <f t="shared" si="32"/>
        <v>2.7999999999999995E-3</v>
      </c>
      <c r="U66" s="179">
        <v>2216.0443900289911</v>
      </c>
      <c r="V66" s="80">
        <f t="shared" si="33"/>
        <v>2.7999999999999995E-3</v>
      </c>
      <c r="X66" s="200"/>
    </row>
    <row r="67" spans="1:24" ht="12.75" customHeight="1">
      <c r="A67" s="2" t="s">
        <v>398</v>
      </c>
      <c r="B67" s="35"/>
      <c r="C67" s="179">
        <v>8745</v>
      </c>
      <c r="D67" s="80">
        <f t="shared" si="24"/>
        <v>1.4999999999999999E-2</v>
      </c>
      <c r="E67" s="179">
        <v>9585</v>
      </c>
      <c r="F67" s="80">
        <f t="shared" si="25"/>
        <v>1.4999999999999999E-2</v>
      </c>
      <c r="G67" s="179">
        <v>10335</v>
      </c>
      <c r="H67" s="80">
        <f t="shared" si="26"/>
        <v>1.4999999999999999E-2</v>
      </c>
      <c r="I67" s="179">
        <v>10541.699999999999</v>
      </c>
      <c r="J67" s="80">
        <f t="shared" si="27"/>
        <v>1.4999999999999998E-2</v>
      </c>
      <c r="K67" s="179">
        <v>10752.534</v>
      </c>
      <c r="L67" s="80">
        <f t="shared" si="28"/>
        <v>1.4999999999999999E-2</v>
      </c>
      <c r="M67" s="179">
        <v>10967.58468</v>
      </c>
      <c r="N67" s="80">
        <f t="shared" si="29"/>
        <v>1.4999999999999999E-2</v>
      </c>
      <c r="O67" s="179">
        <v>11186.9363736</v>
      </c>
      <c r="P67" s="80">
        <f t="shared" si="30"/>
        <v>1.4999999999999999E-2</v>
      </c>
      <c r="Q67" s="179">
        <v>11410.675101072</v>
      </c>
      <c r="R67" s="80">
        <f t="shared" si="31"/>
        <v>1.4999999999999999E-2</v>
      </c>
      <c r="S67" s="179">
        <v>11638.888603093439</v>
      </c>
      <c r="T67" s="80">
        <f t="shared" si="32"/>
        <v>1.4999999999999999E-2</v>
      </c>
      <c r="U67" s="179">
        <v>11871.66637515531</v>
      </c>
      <c r="V67" s="80">
        <f t="shared" si="33"/>
        <v>1.4999999999999999E-2</v>
      </c>
      <c r="X67" s="200"/>
    </row>
    <row r="68" spans="1:24" ht="12.75" customHeight="1">
      <c r="A68" s="2" t="s">
        <v>399</v>
      </c>
      <c r="B68" s="35"/>
      <c r="C68" s="179">
        <v>991.09999999999991</v>
      </c>
      <c r="D68" s="80">
        <f t="shared" si="24"/>
        <v>1.6999999999999999E-3</v>
      </c>
      <c r="E68" s="179">
        <v>1086.3</v>
      </c>
      <c r="F68" s="80">
        <f t="shared" si="25"/>
        <v>1.6999999999999999E-3</v>
      </c>
      <c r="G68" s="179">
        <v>1171.3</v>
      </c>
      <c r="H68" s="80">
        <f t="shared" si="26"/>
        <v>1.6999999999999999E-3</v>
      </c>
      <c r="I68" s="179">
        <v>1194.7260000000001</v>
      </c>
      <c r="J68" s="80">
        <f t="shared" si="27"/>
        <v>1.7000000000000001E-3</v>
      </c>
      <c r="K68" s="179">
        <v>1218.6205199999999</v>
      </c>
      <c r="L68" s="80">
        <f t="shared" si="28"/>
        <v>1.6999999999999999E-3</v>
      </c>
      <c r="M68" s="179">
        <v>1242.9929304</v>
      </c>
      <c r="N68" s="80">
        <f t="shared" si="29"/>
        <v>1.6999999999999999E-3</v>
      </c>
      <c r="O68" s="179">
        <v>1267.8527890079999</v>
      </c>
      <c r="P68" s="80">
        <f t="shared" si="30"/>
        <v>1.6999999999999999E-3</v>
      </c>
      <c r="Q68" s="179">
        <v>1293.2098447881601</v>
      </c>
      <c r="R68" s="80">
        <f t="shared" si="31"/>
        <v>1.7000000000000001E-3</v>
      </c>
      <c r="S68" s="179">
        <v>1319.074041683923</v>
      </c>
      <c r="T68" s="80">
        <f t="shared" si="32"/>
        <v>1.6999999999999997E-3</v>
      </c>
      <c r="U68" s="179">
        <v>1345.4555225176016</v>
      </c>
      <c r="V68" s="80">
        <f t="shared" si="33"/>
        <v>1.6999999999999997E-3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4"/>
        <v>0</v>
      </c>
      <c r="E69" s="179">
        <v>0</v>
      </c>
      <c r="F69" s="80">
        <f t="shared" si="25"/>
        <v>0</v>
      </c>
      <c r="G69" s="179">
        <v>0</v>
      </c>
      <c r="H69" s="80">
        <f t="shared" si="26"/>
        <v>0</v>
      </c>
      <c r="I69" s="179">
        <v>0</v>
      </c>
      <c r="J69" s="80">
        <f t="shared" si="27"/>
        <v>0</v>
      </c>
      <c r="K69" s="179">
        <v>0</v>
      </c>
      <c r="L69" s="80">
        <f t="shared" si="28"/>
        <v>0</v>
      </c>
      <c r="M69" s="179">
        <v>0</v>
      </c>
      <c r="N69" s="80">
        <f t="shared" si="29"/>
        <v>0</v>
      </c>
      <c r="O69" s="179">
        <v>0</v>
      </c>
      <c r="P69" s="80">
        <f t="shared" si="30"/>
        <v>0</v>
      </c>
      <c r="Q69" s="179">
        <v>0</v>
      </c>
      <c r="R69" s="80">
        <f t="shared" si="31"/>
        <v>0</v>
      </c>
      <c r="S69" s="179">
        <v>0</v>
      </c>
      <c r="T69" s="80">
        <f t="shared" si="32"/>
        <v>0</v>
      </c>
      <c r="U69" s="179">
        <v>0</v>
      </c>
      <c r="V69" s="80">
        <f t="shared" si="33"/>
        <v>0</v>
      </c>
      <c r="X69" s="200"/>
    </row>
    <row r="70" spans="1:24" ht="12.75" customHeight="1">
      <c r="A70" s="2" t="s">
        <v>401</v>
      </c>
      <c r="B70" s="35"/>
      <c r="C70" s="179">
        <v>58.300000000000004</v>
      </c>
      <c r="D70" s="80">
        <f t="shared" si="24"/>
        <v>1E-4</v>
      </c>
      <c r="E70" s="179">
        <v>63.9</v>
      </c>
      <c r="F70" s="80">
        <f t="shared" si="25"/>
        <v>9.9999999999999991E-5</v>
      </c>
      <c r="G70" s="179">
        <v>68.899999999999991</v>
      </c>
      <c r="H70" s="80">
        <f t="shared" si="26"/>
        <v>9.9999999999999991E-5</v>
      </c>
      <c r="I70" s="179">
        <v>70.278000000000006</v>
      </c>
      <c r="J70" s="80">
        <f t="shared" si="27"/>
        <v>1E-4</v>
      </c>
      <c r="K70" s="179">
        <v>71.68356</v>
      </c>
      <c r="L70" s="80">
        <f t="shared" si="28"/>
        <v>1E-4</v>
      </c>
      <c r="M70" s="179">
        <v>73.117231200000006</v>
      </c>
      <c r="N70" s="80">
        <f t="shared" si="29"/>
        <v>1E-4</v>
      </c>
      <c r="O70" s="179">
        <v>74.579575824000003</v>
      </c>
      <c r="P70" s="80">
        <f t="shared" si="30"/>
        <v>1E-4</v>
      </c>
      <c r="Q70" s="179">
        <v>76.071167340480002</v>
      </c>
      <c r="R70" s="80">
        <f t="shared" si="31"/>
        <v>1E-4</v>
      </c>
      <c r="S70" s="179">
        <v>77.592590687289601</v>
      </c>
      <c r="T70" s="80">
        <f t="shared" si="32"/>
        <v>1E-4</v>
      </c>
      <c r="U70" s="179">
        <v>79.144442501035414</v>
      </c>
      <c r="V70" s="80">
        <f t="shared" si="33"/>
        <v>1.0000000000000002E-4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4"/>
        <v>0</v>
      </c>
      <c r="E71" s="179">
        <v>0</v>
      </c>
      <c r="F71" s="80">
        <f t="shared" si="25"/>
        <v>0</v>
      </c>
      <c r="G71" s="179">
        <v>0</v>
      </c>
      <c r="H71" s="80">
        <f t="shared" si="26"/>
        <v>0</v>
      </c>
      <c r="I71" s="179">
        <v>0</v>
      </c>
      <c r="J71" s="80">
        <f t="shared" si="27"/>
        <v>0</v>
      </c>
      <c r="K71" s="179">
        <v>0</v>
      </c>
      <c r="L71" s="80">
        <f t="shared" si="28"/>
        <v>0</v>
      </c>
      <c r="M71" s="179">
        <v>0</v>
      </c>
      <c r="N71" s="80">
        <f t="shared" si="29"/>
        <v>0</v>
      </c>
      <c r="O71" s="179">
        <v>0</v>
      </c>
      <c r="P71" s="80">
        <f t="shared" si="30"/>
        <v>0</v>
      </c>
      <c r="Q71" s="179">
        <v>0</v>
      </c>
      <c r="R71" s="80">
        <f t="shared" si="31"/>
        <v>0</v>
      </c>
      <c r="S71" s="179">
        <v>0</v>
      </c>
      <c r="T71" s="80">
        <f t="shared" si="32"/>
        <v>0</v>
      </c>
      <c r="U71" s="179">
        <v>0</v>
      </c>
      <c r="V71" s="80">
        <f t="shared" si="33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4"/>
        <v>0</v>
      </c>
      <c r="E72" s="179">
        <v>0</v>
      </c>
      <c r="F72" s="80">
        <f t="shared" si="25"/>
        <v>0</v>
      </c>
      <c r="G72" s="179">
        <v>0</v>
      </c>
      <c r="H72" s="80">
        <f t="shared" si="26"/>
        <v>0</v>
      </c>
      <c r="I72" s="179">
        <v>0</v>
      </c>
      <c r="J72" s="80">
        <f t="shared" si="27"/>
        <v>0</v>
      </c>
      <c r="K72" s="179">
        <v>0</v>
      </c>
      <c r="L72" s="80">
        <f t="shared" si="28"/>
        <v>0</v>
      </c>
      <c r="M72" s="179">
        <v>0</v>
      </c>
      <c r="N72" s="80">
        <f t="shared" si="29"/>
        <v>0</v>
      </c>
      <c r="O72" s="179">
        <v>0</v>
      </c>
      <c r="P72" s="80">
        <f t="shared" si="30"/>
        <v>0</v>
      </c>
      <c r="Q72" s="179">
        <v>0</v>
      </c>
      <c r="R72" s="80">
        <f t="shared" si="31"/>
        <v>0</v>
      </c>
      <c r="S72" s="179">
        <v>0</v>
      </c>
      <c r="T72" s="80">
        <f t="shared" si="32"/>
        <v>0</v>
      </c>
      <c r="U72" s="179">
        <v>0</v>
      </c>
      <c r="V72" s="80">
        <f t="shared" si="33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4"/>
        <v>0</v>
      </c>
      <c r="E73" s="179">
        <v>0</v>
      </c>
      <c r="F73" s="80">
        <f t="shared" si="25"/>
        <v>0</v>
      </c>
      <c r="G73" s="179">
        <v>0</v>
      </c>
      <c r="H73" s="80">
        <f t="shared" si="26"/>
        <v>0</v>
      </c>
      <c r="I73" s="179">
        <v>0</v>
      </c>
      <c r="J73" s="80">
        <f t="shared" si="27"/>
        <v>0</v>
      </c>
      <c r="K73" s="179">
        <v>0</v>
      </c>
      <c r="L73" s="80">
        <f t="shared" si="28"/>
        <v>0</v>
      </c>
      <c r="M73" s="179">
        <v>0</v>
      </c>
      <c r="N73" s="80">
        <f t="shared" si="29"/>
        <v>0</v>
      </c>
      <c r="O73" s="179">
        <v>0</v>
      </c>
      <c r="P73" s="80">
        <f t="shared" si="30"/>
        <v>0</v>
      </c>
      <c r="Q73" s="179">
        <v>0</v>
      </c>
      <c r="R73" s="80">
        <f t="shared" si="31"/>
        <v>0</v>
      </c>
      <c r="S73" s="179">
        <v>0</v>
      </c>
      <c r="T73" s="80">
        <f t="shared" si="32"/>
        <v>0</v>
      </c>
      <c r="U73" s="179">
        <v>0</v>
      </c>
      <c r="V73" s="80">
        <f t="shared" si="33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4"/>
        <v>0</v>
      </c>
      <c r="E74" s="179">
        <v>0</v>
      </c>
      <c r="F74" s="80">
        <f t="shared" si="25"/>
        <v>0</v>
      </c>
      <c r="G74" s="179">
        <v>0</v>
      </c>
      <c r="H74" s="80">
        <f t="shared" si="26"/>
        <v>0</v>
      </c>
      <c r="I74" s="179">
        <v>0</v>
      </c>
      <c r="J74" s="80">
        <f t="shared" si="27"/>
        <v>0</v>
      </c>
      <c r="K74" s="179">
        <v>0</v>
      </c>
      <c r="L74" s="80">
        <f t="shared" si="28"/>
        <v>0</v>
      </c>
      <c r="M74" s="179">
        <v>0</v>
      </c>
      <c r="N74" s="80">
        <f t="shared" si="29"/>
        <v>0</v>
      </c>
      <c r="O74" s="179">
        <v>0</v>
      </c>
      <c r="P74" s="80">
        <f t="shared" si="30"/>
        <v>0</v>
      </c>
      <c r="Q74" s="179">
        <v>0</v>
      </c>
      <c r="R74" s="80">
        <f t="shared" si="31"/>
        <v>0</v>
      </c>
      <c r="S74" s="179">
        <v>0</v>
      </c>
      <c r="T74" s="80">
        <f t="shared" si="32"/>
        <v>0</v>
      </c>
      <c r="U74" s="179">
        <v>0</v>
      </c>
      <c r="V74" s="80">
        <f t="shared" si="33"/>
        <v>0</v>
      </c>
      <c r="X74" s="200"/>
    </row>
    <row r="75" spans="1:24" ht="12.75" customHeight="1">
      <c r="A75" s="2" t="s">
        <v>406</v>
      </c>
      <c r="B75" s="35"/>
      <c r="C75" s="179">
        <v>2915</v>
      </c>
      <c r="D75" s="80">
        <f t="shared" si="24"/>
        <v>5.0000000000000001E-3</v>
      </c>
      <c r="E75" s="179">
        <v>3195</v>
      </c>
      <c r="F75" s="80">
        <f t="shared" si="25"/>
        <v>5.0000000000000001E-3</v>
      </c>
      <c r="G75" s="179">
        <v>3445</v>
      </c>
      <c r="H75" s="80">
        <f t="shared" si="26"/>
        <v>5.0000000000000001E-3</v>
      </c>
      <c r="I75" s="179">
        <v>3513.9</v>
      </c>
      <c r="J75" s="80">
        <f t="shared" si="27"/>
        <v>5.0000000000000001E-3</v>
      </c>
      <c r="K75" s="179">
        <v>3584.1780000000003</v>
      </c>
      <c r="L75" s="80">
        <f t="shared" si="28"/>
        <v>5.000000000000001E-3</v>
      </c>
      <c r="M75" s="179">
        <v>3655.8615599999998</v>
      </c>
      <c r="N75" s="80">
        <f t="shared" si="29"/>
        <v>4.9999999999999992E-3</v>
      </c>
      <c r="O75" s="179">
        <v>3728.9787912000002</v>
      </c>
      <c r="P75" s="80">
        <f t="shared" si="30"/>
        <v>5.0000000000000001E-3</v>
      </c>
      <c r="Q75" s="179">
        <v>3803.5583670240003</v>
      </c>
      <c r="R75" s="80">
        <f t="shared" si="31"/>
        <v>5.0000000000000001E-3</v>
      </c>
      <c r="S75" s="179">
        <v>3879.6295343644802</v>
      </c>
      <c r="T75" s="80">
        <f t="shared" si="32"/>
        <v>5.0000000000000001E-3</v>
      </c>
      <c r="U75" s="179">
        <v>3957.22212505177</v>
      </c>
      <c r="V75" s="80">
        <f t="shared" si="33"/>
        <v>5.0000000000000001E-3</v>
      </c>
      <c r="X75" s="200"/>
    </row>
    <row r="76" spans="1:24" ht="12.75" customHeight="1">
      <c r="A76" s="2" t="s">
        <v>407</v>
      </c>
      <c r="B76" s="35"/>
      <c r="C76" s="179">
        <v>233.20000000000002</v>
      </c>
      <c r="D76" s="80">
        <f t="shared" si="24"/>
        <v>4.0000000000000002E-4</v>
      </c>
      <c r="E76" s="179">
        <v>255.6</v>
      </c>
      <c r="F76" s="80">
        <f t="shared" si="25"/>
        <v>3.9999999999999996E-4</v>
      </c>
      <c r="G76" s="179">
        <v>275.59999999999997</v>
      </c>
      <c r="H76" s="80">
        <f t="shared" si="26"/>
        <v>3.9999999999999996E-4</v>
      </c>
      <c r="I76" s="179">
        <v>281.11200000000002</v>
      </c>
      <c r="J76" s="80">
        <f t="shared" si="27"/>
        <v>4.0000000000000002E-4</v>
      </c>
      <c r="K76" s="179">
        <v>286.73424</v>
      </c>
      <c r="L76" s="80">
        <f t="shared" si="28"/>
        <v>4.0000000000000002E-4</v>
      </c>
      <c r="M76" s="179">
        <v>292.46892480000002</v>
      </c>
      <c r="N76" s="80">
        <f t="shared" si="29"/>
        <v>4.0000000000000002E-4</v>
      </c>
      <c r="O76" s="179">
        <v>298.31830329600001</v>
      </c>
      <c r="P76" s="80">
        <f t="shared" si="30"/>
        <v>4.0000000000000002E-4</v>
      </c>
      <c r="Q76" s="179">
        <v>304.28466936192001</v>
      </c>
      <c r="R76" s="80">
        <f t="shared" si="31"/>
        <v>4.0000000000000002E-4</v>
      </c>
      <c r="S76" s="179">
        <v>310.3703627491584</v>
      </c>
      <c r="T76" s="80">
        <f t="shared" si="32"/>
        <v>4.0000000000000002E-4</v>
      </c>
      <c r="U76" s="179">
        <v>316.57777000414166</v>
      </c>
      <c r="V76" s="80">
        <f t="shared" si="33"/>
        <v>4.0000000000000007E-4</v>
      </c>
      <c r="X76" s="200"/>
    </row>
    <row r="77" spans="1:24" ht="12.75" customHeight="1">
      <c r="A77" s="2" t="s">
        <v>408</v>
      </c>
      <c r="B77" s="35"/>
      <c r="C77" s="179">
        <v>757.9</v>
      </c>
      <c r="D77" s="80">
        <f t="shared" si="24"/>
        <v>1.2999999999999999E-3</v>
      </c>
      <c r="E77" s="179">
        <v>830.69999999999993</v>
      </c>
      <c r="F77" s="80">
        <f t="shared" si="25"/>
        <v>1.2999999999999999E-3</v>
      </c>
      <c r="G77" s="179">
        <v>895.69999999999982</v>
      </c>
      <c r="H77" s="80">
        <f t="shared" si="26"/>
        <v>1.2999999999999997E-3</v>
      </c>
      <c r="I77" s="179">
        <v>913.61399999999992</v>
      </c>
      <c r="J77" s="80">
        <f t="shared" si="27"/>
        <v>1.2999999999999999E-3</v>
      </c>
      <c r="K77" s="179">
        <v>931.88627999999994</v>
      </c>
      <c r="L77" s="80">
        <f t="shared" si="28"/>
        <v>1.2999999999999999E-3</v>
      </c>
      <c r="M77" s="179">
        <v>950.52400560000001</v>
      </c>
      <c r="N77" s="80">
        <f t="shared" si="29"/>
        <v>1.2999999999999999E-3</v>
      </c>
      <c r="O77" s="179">
        <v>969.53448571199988</v>
      </c>
      <c r="P77" s="80">
        <f t="shared" si="30"/>
        <v>1.2999999999999999E-3</v>
      </c>
      <c r="Q77" s="179">
        <v>988.92517542624</v>
      </c>
      <c r="R77" s="80">
        <f t="shared" si="31"/>
        <v>1.2999999999999999E-3</v>
      </c>
      <c r="S77" s="179">
        <v>1008.7036789347648</v>
      </c>
      <c r="T77" s="80">
        <f t="shared" si="32"/>
        <v>1.2999999999999999E-3</v>
      </c>
      <c r="U77" s="179">
        <v>1028.8777525134601</v>
      </c>
      <c r="V77" s="80">
        <f t="shared" si="33"/>
        <v>1.2999999999999999E-3</v>
      </c>
      <c r="X77" s="200"/>
    </row>
    <row r="78" spans="1:24" ht="12.75" customHeight="1">
      <c r="A78" s="2" t="s">
        <v>409</v>
      </c>
      <c r="B78" s="35"/>
      <c r="C78" s="179">
        <v>12825.999999999998</v>
      </c>
      <c r="D78" s="80">
        <f t="shared" si="24"/>
        <v>2.1999999999999995E-2</v>
      </c>
      <c r="E78" s="179">
        <v>14058</v>
      </c>
      <c r="F78" s="80">
        <f t="shared" si="25"/>
        <v>2.1999999999999999E-2</v>
      </c>
      <c r="G78" s="179">
        <v>15157.999999999998</v>
      </c>
      <c r="H78" s="80">
        <f t="shared" si="26"/>
        <v>2.1999999999999999E-2</v>
      </c>
      <c r="I78" s="179">
        <v>15461.159999999998</v>
      </c>
      <c r="J78" s="80">
        <f t="shared" si="27"/>
        <v>2.1999999999999999E-2</v>
      </c>
      <c r="K78" s="179">
        <v>15770.383199999998</v>
      </c>
      <c r="L78" s="80">
        <f t="shared" si="28"/>
        <v>2.1999999999999999E-2</v>
      </c>
      <c r="M78" s="179">
        <v>16085.790864000001</v>
      </c>
      <c r="N78" s="80">
        <f t="shared" si="29"/>
        <v>2.1999999999999999E-2</v>
      </c>
      <c r="O78" s="179">
        <v>16407.50668128</v>
      </c>
      <c r="P78" s="80">
        <f t="shared" si="30"/>
        <v>2.1999999999999999E-2</v>
      </c>
      <c r="Q78" s="179">
        <v>16735.6568149056</v>
      </c>
      <c r="R78" s="80">
        <f t="shared" si="31"/>
        <v>2.1999999999999999E-2</v>
      </c>
      <c r="S78" s="179">
        <v>17070.369951203709</v>
      </c>
      <c r="T78" s="80">
        <f t="shared" si="32"/>
        <v>2.1999999999999995E-2</v>
      </c>
      <c r="U78" s="179">
        <v>17411.777350227789</v>
      </c>
      <c r="V78" s="80">
        <f t="shared" si="33"/>
        <v>2.1999999999999999E-2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4"/>
        <v>0</v>
      </c>
      <c r="E79" s="179">
        <v>0</v>
      </c>
      <c r="F79" s="80">
        <f t="shared" si="25"/>
        <v>0</v>
      </c>
      <c r="G79" s="179">
        <v>0</v>
      </c>
      <c r="H79" s="80">
        <f t="shared" si="26"/>
        <v>0</v>
      </c>
      <c r="I79" s="179">
        <v>0</v>
      </c>
      <c r="J79" s="80">
        <f t="shared" si="27"/>
        <v>0</v>
      </c>
      <c r="K79" s="179">
        <v>0</v>
      </c>
      <c r="L79" s="80">
        <f t="shared" si="28"/>
        <v>0</v>
      </c>
      <c r="M79" s="179">
        <v>0</v>
      </c>
      <c r="N79" s="80">
        <f t="shared" si="29"/>
        <v>0</v>
      </c>
      <c r="O79" s="179">
        <v>0</v>
      </c>
      <c r="P79" s="80">
        <f t="shared" si="30"/>
        <v>0</v>
      </c>
      <c r="Q79" s="179">
        <v>0</v>
      </c>
      <c r="R79" s="80">
        <f t="shared" si="31"/>
        <v>0</v>
      </c>
      <c r="S79" s="179">
        <v>0</v>
      </c>
      <c r="T79" s="80">
        <f t="shared" si="32"/>
        <v>0</v>
      </c>
      <c r="U79" s="179">
        <v>0</v>
      </c>
      <c r="V79" s="80">
        <f t="shared" si="33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4"/>
        <v>0</v>
      </c>
      <c r="E80" s="179">
        <v>0</v>
      </c>
      <c r="F80" s="80">
        <f t="shared" si="25"/>
        <v>0</v>
      </c>
      <c r="G80" s="179">
        <v>0</v>
      </c>
      <c r="H80" s="80">
        <f t="shared" si="26"/>
        <v>0</v>
      </c>
      <c r="I80" s="179">
        <v>0</v>
      </c>
      <c r="J80" s="80">
        <f t="shared" si="27"/>
        <v>0</v>
      </c>
      <c r="K80" s="179">
        <v>0</v>
      </c>
      <c r="L80" s="80">
        <f t="shared" si="28"/>
        <v>0</v>
      </c>
      <c r="M80" s="179">
        <v>0</v>
      </c>
      <c r="N80" s="80">
        <f t="shared" si="29"/>
        <v>0</v>
      </c>
      <c r="O80" s="179">
        <v>0</v>
      </c>
      <c r="P80" s="80">
        <f t="shared" si="30"/>
        <v>0</v>
      </c>
      <c r="Q80" s="179">
        <v>0</v>
      </c>
      <c r="R80" s="80">
        <f t="shared" si="31"/>
        <v>0</v>
      </c>
      <c r="S80" s="179">
        <v>0</v>
      </c>
      <c r="T80" s="80">
        <f t="shared" si="32"/>
        <v>0</v>
      </c>
      <c r="U80" s="179">
        <v>0</v>
      </c>
      <c r="V80" s="80">
        <f t="shared" si="33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4"/>
        <v>0</v>
      </c>
      <c r="E81" s="179">
        <v>0</v>
      </c>
      <c r="F81" s="80">
        <f t="shared" si="25"/>
        <v>0</v>
      </c>
      <c r="G81" s="179">
        <v>0</v>
      </c>
      <c r="H81" s="80">
        <f t="shared" si="26"/>
        <v>0</v>
      </c>
      <c r="I81" s="179">
        <v>0</v>
      </c>
      <c r="J81" s="80">
        <f t="shared" si="27"/>
        <v>0</v>
      </c>
      <c r="K81" s="179">
        <v>0</v>
      </c>
      <c r="L81" s="80">
        <f t="shared" si="28"/>
        <v>0</v>
      </c>
      <c r="M81" s="179">
        <v>0</v>
      </c>
      <c r="N81" s="80">
        <f t="shared" si="29"/>
        <v>0</v>
      </c>
      <c r="O81" s="179">
        <v>0</v>
      </c>
      <c r="P81" s="80">
        <f t="shared" si="30"/>
        <v>0</v>
      </c>
      <c r="Q81" s="179">
        <v>0</v>
      </c>
      <c r="R81" s="80">
        <f t="shared" si="31"/>
        <v>0</v>
      </c>
      <c r="S81" s="179">
        <v>0</v>
      </c>
      <c r="T81" s="80">
        <f t="shared" si="32"/>
        <v>0</v>
      </c>
      <c r="U81" s="179">
        <v>0</v>
      </c>
      <c r="V81" s="80">
        <f t="shared" si="33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4"/>
        <v>0</v>
      </c>
      <c r="E82" s="179">
        <v>0</v>
      </c>
      <c r="F82" s="80">
        <f t="shared" si="25"/>
        <v>0</v>
      </c>
      <c r="G82" s="179">
        <v>0</v>
      </c>
      <c r="H82" s="80">
        <f t="shared" si="26"/>
        <v>0</v>
      </c>
      <c r="I82" s="179">
        <v>0</v>
      </c>
      <c r="J82" s="80">
        <f t="shared" si="27"/>
        <v>0</v>
      </c>
      <c r="K82" s="179">
        <v>0</v>
      </c>
      <c r="L82" s="80">
        <f t="shared" si="28"/>
        <v>0</v>
      </c>
      <c r="M82" s="179">
        <v>0</v>
      </c>
      <c r="N82" s="80">
        <f t="shared" si="29"/>
        <v>0</v>
      </c>
      <c r="O82" s="179">
        <v>0</v>
      </c>
      <c r="P82" s="80">
        <f t="shared" si="30"/>
        <v>0</v>
      </c>
      <c r="Q82" s="179">
        <v>0</v>
      </c>
      <c r="R82" s="80">
        <f t="shared" si="31"/>
        <v>0</v>
      </c>
      <c r="S82" s="179">
        <v>0</v>
      </c>
      <c r="T82" s="80">
        <f t="shared" si="32"/>
        <v>0</v>
      </c>
      <c r="U82" s="179">
        <v>0</v>
      </c>
      <c r="V82" s="80">
        <f t="shared" si="33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4"/>
        <v>0</v>
      </c>
      <c r="E83" s="179">
        <v>0</v>
      </c>
      <c r="F83" s="80">
        <f t="shared" si="25"/>
        <v>0</v>
      </c>
      <c r="G83" s="179">
        <v>0</v>
      </c>
      <c r="H83" s="80">
        <f t="shared" si="26"/>
        <v>0</v>
      </c>
      <c r="I83" s="179">
        <v>0</v>
      </c>
      <c r="J83" s="80">
        <f t="shared" si="27"/>
        <v>0</v>
      </c>
      <c r="K83" s="179">
        <v>0</v>
      </c>
      <c r="L83" s="80">
        <f t="shared" si="28"/>
        <v>0</v>
      </c>
      <c r="M83" s="179">
        <v>0</v>
      </c>
      <c r="N83" s="80">
        <f t="shared" si="29"/>
        <v>0</v>
      </c>
      <c r="O83" s="179">
        <v>0</v>
      </c>
      <c r="P83" s="80">
        <f t="shared" si="30"/>
        <v>0</v>
      </c>
      <c r="Q83" s="179">
        <v>0</v>
      </c>
      <c r="R83" s="80">
        <f t="shared" si="31"/>
        <v>0</v>
      </c>
      <c r="S83" s="179">
        <v>0</v>
      </c>
      <c r="T83" s="80">
        <f t="shared" si="32"/>
        <v>0</v>
      </c>
      <c r="U83" s="179">
        <v>0</v>
      </c>
      <c r="V83" s="80">
        <f t="shared" si="33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4"/>
        <v>0</v>
      </c>
      <c r="E84" s="179">
        <v>0</v>
      </c>
      <c r="F84" s="80">
        <f t="shared" si="25"/>
        <v>0</v>
      </c>
      <c r="G84" s="179">
        <v>0</v>
      </c>
      <c r="H84" s="80">
        <f t="shared" si="26"/>
        <v>0</v>
      </c>
      <c r="I84" s="179">
        <v>0</v>
      </c>
      <c r="J84" s="80">
        <f t="shared" si="27"/>
        <v>0</v>
      </c>
      <c r="K84" s="179">
        <v>0</v>
      </c>
      <c r="L84" s="80">
        <f t="shared" si="28"/>
        <v>0</v>
      </c>
      <c r="M84" s="179">
        <v>0</v>
      </c>
      <c r="N84" s="80">
        <f t="shared" si="29"/>
        <v>0</v>
      </c>
      <c r="O84" s="179">
        <v>0</v>
      </c>
      <c r="P84" s="80">
        <f t="shared" si="30"/>
        <v>0</v>
      </c>
      <c r="Q84" s="179">
        <v>0</v>
      </c>
      <c r="R84" s="80">
        <f t="shared" si="31"/>
        <v>0</v>
      </c>
      <c r="S84" s="179">
        <v>0</v>
      </c>
      <c r="T84" s="80">
        <f t="shared" si="32"/>
        <v>0</v>
      </c>
      <c r="U84" s="179">
        <v>0</v>
      </c>
      <c r="V84" s="80">
        <f t="shared" si="33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4"/>
        <v>0</v>
      </c>
      <c r="E85" s="179">
        <v>0</v>
      </c>
      <c r="F85" s="80">
        <f t="shared" si="25"/>
        <v>0</v>
      </c>
      <c r="G85" s="179">
        <v>0</v>
      </c>
      <c r="H85" s="80">
        <f t="shared" si="26"/>
        <v>0</v>
      </c>
      <c r="I85" s="179">
        <v>0</v>
      </c>
      <c r="J85" s="80">
        <f t="shared" si="27"/>
        <v>0</v>
      </c>
      <c r="K85" s="179">
        <v>0</v>
      </c>
      <c r="L85" s="80">
        <f t="shared" si="28"/>
        <v>0</v>
      </c>
      <c r="M85" s="179">
        <v>0</v>
      </c>
      <c r="N85" s="80">
        <f t="shared" si="29"/>
        <v>0</v>
      </c>
      <c r="O85" s="179">
        <v>0</v>
      </c>
      <c r="P85" s="80">
        <f t="shared" si="30"/>
        <v>0</v>
      </c>
      <c r="Q85" s="179">
        <v>0</v>
      </c>
      <c r="R85" s="80">
        <f t="shared" si="31"/>
        <v>0</v>
      </c>
      <c r="S85" s="179">
        <v>0</v>
      </c>
      <c r="T85" s="80">
        <f t="shared" si="32"/>
        <v>0</v>
      </c>
      <c r="U85" s="179">
        <v>0</v>
      </c>
      <c r="V85" s="80">
        <f t="shared" si="33"/>
        <v>0</v>
      </c>
      <c r="X85" s="200"/>
    </row>
    <row r="86" spans="1:24" ht="12.75" customHeight="1">
      <c r="A86" s="2" t="s">
        <v>417</v>
      </c>
      <c r="B86" s="35"/>
      <c r="C86" s="179">
        <v>2332</v>
      </c>
      <c r="D86" s="80">
        <f t="shared" si="24"/>
        <v>4.0000000000000001E-3</v>
      </c>
      <c r="E86" s="179">
        <v>2556</v>
      </c>
      <c r="F86" s="80">
        <f t="shared" si="25"/>
        <v>4.0000000000000001E-3</v>
      </c>
      <c r="G86" s="179">
        <v>2756</v>
      </c>
      <c r="H86" s="80">
        <f t="shared" si="26"/>
        <v>4.0000000000000001E-3</v>
      </c>
      <c r="I86" s="179">
        <v>2811.1200000000003</v>
      </c>
      <c r="J86" s="80">
        <f t="shared" si="27"/>
        <v>4.0000000000000001E-3</v>
      </c>
      <c r="K86" s="179">
        <v>2867.3424</v>
      </c>
      <c r="L86" s="80">
        <f t="shared" si="28"/>
        <v>4.0000000000000001E-3</v>
      </c>
      <c r="M86" s="179">
        <v>2924.6892480000001</v>
      </c>
      <c r="N86" s="80">
        <f t="shared" si="29"/>
        <v>4.0000000000000001E-3</v>
      </c>
      <c r="O86" s="179">
        <v>2983.1830329599998</v>
      </c>
      <c r="P86" s="80">
        <f t="shared" si="30"/>
        <v>4.0000000000000001E-3</v>
      </c>
      <c r="Q86" s="179">
        <v>3042.8466936192003</v>
      </c>
      <c r="R86" s="80">
        <f t="shared" si="31"/>
        <v>4.0000000000000001E-3</v>
      </c>
      <c r="S86" s="179">
        <v>3103.703627491584</v>
      </c>
      <c r="T86" s="80">
        <f t="shared" si="32"/>
        <v>4.0000000000000001E-3</v>
      </c>
      <c r="U86" s="179">
        <v>3165.7777000414162</v>
      </c>
      <c r="V86" s="80">
        <f t="shared" si="33"/>
        <v>4.0000000000000001E-3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4"/>
        <v>0</v>
      </c>
      <c r="E87" s="179">
        <v>0</v>
      </c>
      <c r="F87" s="80">
        <f t="shared" si="25"/>
        <v>0</v>
      </c>
      <c r="G87" s="179">
        <v>0</v>
      </c>
      <c r="H87" s="80">
        <f t="shared" si="26"/>
        <v>0</v>
      </c>
      <c r="I87" s="179">
        <v>0</v>
      </c>
      <c r="J87" s="80">
        <f t="shared" si="27"/>
        <v>0</v>
      </c>
      <c r="K87" s="179">
        <v>0</v>
      </c>
      <c r="L87" s="80">
        <f t="shared" si="28"/>
        <v>0</v>
      </c>
      <c r="M87" s="179">
        <v>0</v>
      </c>
      <c r="N87" s="80">
        <f t="shared" si="29"/>
        <v>0</v>
      </c>
      <c r="O87" s="179">
        <v>0</v>
      </c>
      <c r="P87" s="80">
        <f t="shared" si="30"/>
        <v>0</v>
      </c>
      <c r="Q87" s="179">
        <v>0</v>
      </c>
      <c r="R87" s="80">
        <f t="shared" si="31"/>
        <v>0</v>
      </c>
      <c r="S87" s="179">
        <v>0</v>
      </c>
      <c r="T87" s="80">
        <f t="shared" si="32"/>
        <v>0</v>
      </c>
      <c r="U87" s="179">
        <v>0</v>
      </c>
      <c r="V87" s="80">
        <f t="shared" si="33"/>
        <v>0</v>
      </c>
      <c r="X87" s="200"/>
    </row>
    <row r="88" spans="1:24" ht="12.75" customHeight="1">
      <c r="A88" s="2" t="s">
        <v>419</v>
      </c>
      <c r="B88" s="35"/>
      <c r="C88" s="179">
        <v>2973.3</v>
      </c>
      <c r="D88" s="80">
        <f t="shared" si="24"/>
        <v>5.1000000000000004E-3</v>
      </c>
      <c r="E88" s="179">
        <v>3258.9</v>
      </c>
      <c r="F88" s="80">
        <f t="shared" si="25"/>
        <v>5.1000000000000004E-3</v>
      </c>
      <c r="G88" s="179">
        <v>3513.9000000000005</v>
      </c>
      <c r="H88" s="80">
        <f t="shared" si="26"/>
        <v>5.1000000000000004E-3</v>
      </c>
      <c r="I88" s="179">
        <v>3584.1780000000003</v>
      </c>
      <c r="J88" s="80">
        <f t="shared" si="27"/>
        <v>5.1000000000000004E-3</v>
      </c>
      <c r="K88" s="179">
        <v>3655.8615600000003</v>
      </c>
      <c r="L88" s="80">
        <f t="shared" si="28"/>
        <v>5.1000000000000004E-3</v>
      </c>
      <c r="M88" s="179">
        <v>3728.9787912000006</v>
      </c>
      <c r="N88" s="80">
        <f t="shared" si="29"/>
        <v>5.1000000000000004E-3</v>
      </c>
      <c r="O88" s="179">
        <v>3803.5583670240003</v>
      </c>
      <c r="P88" s="80">
        <f t="shared" si="30"/>
        <v>5.1000000000000004E-3</v>
      </c>
      <c r="Q88" s="179">
        <v>3879.6295343644806</v>
      </c>
      <c r="R88" s="80">
        <f t="shared" si="31"/>
        <v>5.1000000000000004E-3</v>
      </c>
      <c r="S88" s="179">
        <v>3957.2221250517696</v>
      </c>
      <c r="T88" s="80">
        <f t="shared" si="32"/>
        <v>5.0999999999999995E-3</v>
      </c>
      <c r="U88" s="179">
        <v>4036.3665675528059</v>
      </c>
      <c r="V88" s="80">
        <f t="shared" si="33"/>
        <v>5.1000000000000004E-3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4"/>
        <v>0</v>
      </c>
      <c r="E89" s="179">
        <v>0</v>
      </c>
      <c r="F89" s="80">
        <f t="shared" si="25"/>
        <v>0</v>
      </c>
      <c r="G89" s="179">
        <v>0</v>
      </c>
      <c r="H89" s="80">
        <f t="shared" si="26"/>
        <v>0</v>
      </c>
      <c r="I89" s="179">
        <v>0</v>
      </c>
      <c r="J89" s="80">
        <f t="shared" si="27"/>
        <v>0</v>
      </c>
      <c r="K89" s="179">
        <v>0</v>
      </c>
      <c r="L89" s="80">
        <f t="shared" si="28"/>
        <v>0</v>
      </c>
      <c r="M89" s="179">
        <v>0</v>
      </c>
      <c r="N89" s="80">
        <f t="shared" si="29"/>
        <v>0</v>
      </c>
      <c r="O89" s="179">
        <v>0</v>
      </c>
      <c r="P89" s="80">
        <f t="shared" si="30"/>
        <v>0</v>
      </c>
      <c r="Q89" s="179">
        <v>0</v>
      </c>
      <c r="R89" s="80">
        <f t="shared" si="31"/>
        <v>0</v>
      </c>
      <c r="S89" s="179">
        <v>0</v>
      </c>
      <c r="T89" s="80">
        <f t="shared" si="32"/>
        <v>0</v>
      </c>
      <c r="U89" s="179">
        <v>0</v>
      </c>
      <c r="V89" s="80">
        <f t="shared" si="33"/>
        <v>0</v>
      </c>
      <c r="X89" s="200"/>
    </row>
    <row r="90" spans="1:24" ht="12.75" customHeight="1">
      <c r="A90" s="2" t="s">
        <v>421</v>
      </c>
      <c r="B90" s="35"/>
      <c r="C90" s="179">
        <v>116.60000000000001</v>
      </c>
      <c r="D90" s="80">
        <f t="shared" si="24"/>
        <v>2.0000000000000001E-4</v>
      </c>
      <c r="E90" s="179">
        <v>127.8</v>
      </c>
      <c r="F90" s="80">
        <f t="shared" si="25"/>
        <v>1.9999999999999998E-4</v>
      </c>
      <c r="G90" s="179">
        <v>137.79999999999998</v>
      </c>
      <c r="H90" s="80">
        <f t="shared" si="26"/>
        <v>1.9999999999999998E-4</v>
      </c>
      <c r="I90" s="179">
        <v>140.55600000000001</v>
      </c>
      <c r="J90" s="80">
        <f t="shared" si="27"/>
        <v>2.0000000000000001E-4</v>
      </c>
      <c r="K90" s="179">
        <v>143.36712</v>
      </c>
      <c r="L90" s="80">
        <f t="shared" si="28"/>
        <v>2.0000000000000001E-4</v>
      </c>
      <c r="M90" s="179">
        <v>146.23446240000001</v>
      </c>
      <c r="N90" s="80">
        <f t="shared" si="29"/>
        <v>2.0000000000000001E-4</v>
      </c>
      <c r="O90" s="179">
        <v>149.15915164800001</v>
      </c>
      <c r="P90" s="80">
        <f t="shared" si="30"/>
        <v>2.0000000000000001E-4</v>
      </c>
      <c r="Q90" s="179">
        <v>152.14233468096</v>
      </c>
      <c r="R90" s="80">
        <f t="shared" si="31"/>
        <v>2.0000000000000001E-4</v>
      </c>
      <c r="S90" s="179">
        <v>155.1851813745792</v>
      </c>
      <c r="T90" s="80">
        <f t="shared" si="32"/>
        <v>2.0000000000000001E-4</v>
      </c>
      <c r="U90" s="179">
        <v>158.28888500207083</v>
      </c>
      <c r="V90" s="80">
        <f t="shared" si="33"/>
        <v>2.0000000000000004E-4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24"/>
        <v>0</v>
      </c>
      <c r="E91" s="179">
        <v>0</v>
      </c>
      <c r="F91" s="80">
        <f t="shared" si="25"/>
        <v>0</v>
      </c>
      <c r="G91" s="179">
        <v>0</v>
      </c>
      <c r="H91" s="80">
        <f t="shared" si="26"/>
        <v>0</v>
      </c>
      <c r="I91" s="179">
        <v>0</v>
      </c>
      <c r="J91" s="80">
        <f t="shared" si="27"/>
        <v>0</v>
      </c>
      <c r="K91" s="179">
        <v>0</v>
      </c>
      <c r="L91" s="80">
        <f t="shared" si="28"/>
        <v>0</v>
      </c>
      <c r="M91" s="179">
        <v>0</v>
      </c>
      <c r="N91" s="80">
        <f t="shared" si="29"/>
        <v>0</v>
      </c>
      <c r="O91" s="179">
        <v>0</v>
      </c>
      <c r="P91" s="80">
        <f t="shared" si="30"/>
        <v>0</v>
      </c>
      <c r="Q91" s="179">
        <v>0</v>
      </c>
      <c r="R91" s="80">
        <f t="shared" si="31"/>
        <v>0</v>
      </c>
      <c r="S91" s="179">
        <v>0</v>
      </c>
      <c r="T91" s="80">
        <f t="shared" si="32"/>
        <v>0</v>
      </c>
      <c r="U91" s="179">
        <v>0</v>
      </c>
      <c r="V91" s="80">
        <f t="shared" si="33"/>
        <v>0</v>
      </c>
      <c r="X91" s="200"/>
    </row>
    <row r="92" spans="1:24" ht="12.75" customHeight="1">
      <c r="A92" s="2" t="s">
        <v>423</v>
      </c>
      <c r="B92" s="35"/>
      <c r="C92" s="179">
        <v>3031.6</v>
      </c>
      <c r="D92" s="80">
        <f t="shared" si="24"/>
        <v>5.1999999999999998E-3</v>
      </c>
      <c r="E92" s="179">
        <v>3322.7999999999997</v>
      </c>
      <c r="F92" s="80">
        <f t="shared" si="25"/>
        <v>5.1999999999999998E-3</v>
      </c>
      <c r="G92" s="179">
        <v>3582.7999999999993</v>
      </c>
      <c r="H92" s="80">
        <f t="shared" si="26"/>
        <v>5.1999999999999989E-3</v>
      </c>
      <c r="I92" s="179">
        <v>3654.4559999999997</v>
      </c>
      <c r="J92" s="80">
        <f t="shared" si="27"/>
        <v>5.1999999999999998E-3</v>
      </c>
      <c r="K92" s="179">
        <v>3727.5451199999998</v>
      </c>
      <c r="L92" s="80">
        <f t="shared" si="28"/>
        <v>5.1999999999999998E-3</v>
      </c>
      <c r="M92" s="179">
        <v>3802.0960224</v>
      </c>
      <c r="N92" s="80">
        <f t="shared" si="29"/>
        <v>5.1999999999999998E-3</v>
      </c>
      <c r="O92" s="179">
        <v>3878.1379428479995</v>
      </c>
      <c r="P92" s="80">
        <f t="shared" si="30"/>
        <v>5.1999999999999998E-3</v>
      </c>
      <c r="Q92" s="179">
        <v>3955.70070170496</v>
      </c>
      <c r="R92" s="80">
        <f t="shared" si="31"/>
        <v>5.1999999999999998E-3</v>
      </c>
      <c r="S92" s="179">
        <v>4034.814715739059</v>
      </c>
      <c r="T92" s="80">
        <f t="shared" si="32"/>
        <v>5.1999999999999998E-3</v>
      </c>
      <c r="U92" s="179">
        <v>4115.5110100538404</v>
      </c>
      <c r="V92" s="80">
        <f t="shared" si="33"/>
        <v>5.1999999999999998E-3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4"/>
        <v>0</v>
      </c>
      <c r="E93" s="179">
        <v>0</v>
      </c>
      <c r="F93" s="80">
        <f t="shared" si="25"/>
        <v>0</v>
      </c>
      <c r="G93" s="179">
        <v>0</v>
      </c>
      <c r="H93" s="80">
        <f t="shared" si="26"/>
        <v>0</v>
      </c>
      <c r="I93" s="179">
        <v>0</v>
      </c>
      <c r="J93" s="80">
        <f t="shared" si="27"/>
        <v>0</v>
      </c>
      <c r="K93" s="179">
        <v>0</v>
      </c>
      <c r="L93" s="80">
        <f t="shared" si="28"/>
        <v>0</v>
      </c>
      <c r="M93" s="179">
        <v>0</v>
      </c>
      <c r="N93" s="80">
        <f t="shared" si="29"/>
        <v>0</v>
      </c>
      <c r="O93" s="179">
        <v>0</v>
      </c>
      <c r="P93" s="80">
        <f t="shared" si="30"/>
        <v>0</v>
      </c>
      <c r="Q93" s="179">
        <v>0</v>
      </c>
      <c r="R93" s="80">
        <f t="shared" si="31"/>
        <v>0</v>
      </c>
      <c r="S93" s="179">
        <v>0</v>
      </c>
      <c r="T93" s="80">
        <f t="shared" si="32"/>
        <v>0</v>
      </c>
      <c r="U93" s="179">
        <v>0</v>
      </c>
      <c r="V93" s="80">
        <f t="shared" si="33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4"/>
        <v>0</v>
      </c>
      <c r="E94" s="179">
        <v>0</v>
      </c>
      <c r="F94" s="80">
        <f t="shared" si="25"/>
        <v>0</v>
      </c>
      <c r="G94" s="179">
        <v>0</v>
      </c>
      <c r="H94" s="80">
        <f t="shared" si="26"/>
        <v>0</v>
      </c>
      <c r="I94" s="179">
        <v>0</v>
      </c>
      <c r="J94" s="80">
        <f t="shared" si="27"/>
        <v>0</v>
      </c>
      <c r="K94" s="179">
        <v>0</v>
      </c>
      <c r="L94" s="80">
        <f t="shared" si="28"/>
        <v>0</v>
      </c>
      <c r="M94" s="179">
        <v>0</v>
      </c>
      <c r="N94" s="80">
        <f t="shared" si="29"/>
        <v>0</v>
      </c>
      <c r="O94" s="179">
        <v>0</v>
      </c>
      <c r="P94" s="80">
        <f t="shared" si="30"/>
        <v>0</v>
      </c>
      <c r="Q94" s="179">
        <v>0</v>
      </c>
      <c r="R94" s="80">
        <f t="shared" si="31"/>
        <v>0</v>
      </c>
      <c r="S94" s="179">
        <v>0</v>
      </c>
      <c r="T94" s="80">
        <f t="shared" si="32"/>
        <v>0</v>
      </c>
      <c r="U94" s="179">
        <v>0</v>
      </c>
      <c r="V94" s="80">
        <f t="shared" si="33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4"/>
        <v>0</v>
      </c>
      <c r="E95" s="179">
        <v>0</v>
      </c>
      <c r="F95" s="80">
        <f t="shared" si="25"/>
        <v>0</v>
      </c>
      <c r="G95" s="179">
        <v>0</v>
      </c>
      <c r="H95" s="80">
        <f t="shared" si="26"/>
        <v>0</v>
      </c>
      <c r="I95" s="179">
        <v>0</v>
      </c>
      <c r="J95" s="80">
        <f t="shared" si="27"/>
        <v>0</v>
      </c>
      <c r="K95" s="179">
        <v>0</v>
      </c>
      <c r="L95" s="80">
        <f t="shared" si="28"/>
        <v>0</v>
      </c>
      <c r="M95" s="179">
        <v>0</v>
      </c>
      <c r="N95" s="80">
        <f t="shared" si="29"/>
        <v>0</v>
      </c>
      <c r="O95" s="179">
        <v>0</v>
      </c>
      <c r="P95" s="80">
        <f t="shared" si="30"/>
        <v>0</v>
      </c>
      <c r="Q95" s="179">
        <v>0</v>
      </c>
      <c r="R95" s="80">
        <f t="shared" si="31"/>
        <v>0</v>
      </c>
      <c r="S95" s="179">
        <v>0</v>
      </c>
      <c r="T95" s="80">
        <f t="shared" si="32"/>
        <v>0</v>
      </c>
      <c r="U95" s="179">
        <v>0</v>
      </c>
      <c r="V95" s="80">
        <f t="shared" si="33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4"/>
        <v>0</v>
      </c>
      <c r="E96" s="179">
        <v>0</v>
      </c>
      <c r="F96" s="80">
        <f t="shared" si="25"/>
        <v>0</v>
      </c>
      <c r="G96" s="179">
        <v>0</v>
      </c>
      <c r="H96" s="80">
        <f t="shared" si="26"/>
        <v>0</v>
      </c>
      <c r="I96" s="179">
        <v>0</v>
      </c>
      <c r="J96" s="80">
        <f t="shared" si="27"/>
        <v>0</v>
      </c>
      <c r="K96" s="179">
        <v>0</v>
      </c>
      <c r="L96" s="80">
        <f t="shared" si="28"/>
        <v>0</v>
      </c>
      <c r="M96" s="179">
        <v>0</v>
      </c>
      <c r="N96" s="80">
        <f t="shared" si="29"/>
        <v>0</v>
      </c>
      <c r="O96" s="179">
        <v>0</v>
      </c>
      <c r="P96" s="80">
        <f t="shared" si="30"/>
        <v>0</v>
      </c>
      <c r="Q96" s="179">
        <v>0</v>
      </c>
      <c r="R96" s="80">
        <f t="shared" si="31"/>
        <v>0</v>
      </c>
      <c r="S96" s="179">
        <v>0</v>
      </c>
      <c r="T96" s="80">
        <f t="shared" si="32"/>
        <v>0</v>
      </c>
      <c r="U96" s="179">
        <v>0</v>
      </c>
      <c r="V96" s="80">
        <f t="shared" si="33"/>
        <v>0</v>
      </c>
      <c r="X96" s="200"/>
    </row>
    <row r="97" spans="1:24" ht="12.75" customHeight="1">
      <c r="A97" s="2" t="s">
        <v>428</v>
      </c>
      <c r="B97" s="35"/>
      <c r="C97" s="179">
        <v>13393.263300000001</v>
      </c>
      <c r="D97" s="80">
        <f t="shared" si="24"/>
        <v>2.2973007375643225E-2</v>
      </c>
      <c r="E97" s="179">
        <v>14647.690850700001</v>
      </c>
      <c r="F97" s="80">
        <f t="shared" si="25"/>
        <v>2.2922833882159627E-2</v>
      </c>
      <c r="G97" s="179">
        <v>10922.922284799499</v>
      </c>
      <c r="H97" s="80">
        <f t="shared" si="26"/>
        <v>1.5853297946007983E-2</v>
      </c>
      <c r="I97" s="179">
        <v>11251.69296539127</v>
      </c>
      <c r="J97" s="80">
        <f t="shared" si="27"/>
        <v>1.6010263475612952E-2</v>
      </c>
      <c r="K97" s="179">
        <v>11532.98528952605</v>
      </c>
      <c r="L97" s="80">
        <f t="shared" si="28"/>
        <v>1.6088745159316936E-2</v>
      </c>
      <c r="M97" s="179">
        <v>11821.309921764203</v>
      </c>
      <c r="N97" s="80">
        <f t="shared" si="29"/>
        <v>1.6167611557156725E-2</v>
      </c>
      <c r="O97" s="179">
        <v>12116.842669808306</v>
      </c>
      <c r="P97" s="80">
        <f t="shared" si="30"/>
        <v>1.6246864554985922E-2</v>
      </c>
      <c r="Q97" s="179">
        <v>12419.763736553512</v>
      </c>
      <c r="R97" s="80">
        <f t="shared" si="31"/>
        <v>1.6326506047902516E-2</v>
      </c>
      <c r="S97" s="179">
        <v>12730.257829967348</v>
      </c>
      <c r="T97" s="80">
        <f t="shared" si="32"/>
        <v>1.6406537940294195E-2</v>
      </c>
      <c r="U97" s="179">
        <v>13048.514275716532</v>
      </c>
      <c r="V97" s="80">
        <f t="shared" si="33"/>
        <v>1.6486962145883872E-2</v>
      </c>
      <c r="X97" s="200"/>
    </row>
    <row r="98" spans="1:24" ht="12.75" customHeight="1">
      <c r="A98" s="117" t="s">
        <v>431</v>
      </c>
      <c r="B98" s="35"/>
      <c r="C98" s="179">
        <v>699.59999999999991</v>
      </c>
      <c r="D98" s="80">
        <f t="shared" si="24"/>
        <v>1.1999999999999999E-3</v>
      </c>
      <c r="E98" s="179">
        <v>766.8</v>
      </c>
      <c r="F98" s="80">
        <f t="shared" si="25"/>
        <v>1.1999999999999999E-3</v>
      </c>
      <c r="G98" s="179">
        <v>826.79999999999984</v>
      </c>
      <c r="H98" s="80">
        <f t="shared" si="26"/>
        <v>1.1999999999999997E-3</v>
      </c>
      <c r="I98" s="179">
        <v>843.3359999999999</v>
      </c>
      <c r="J98" s="80">
        <f t="shared" si="27"/>
        <v>1.1999999999999999E-3</v>
      </c>
      <c r="K98" s="179">
        <v>860.20271999999989</v>
      </c>
      <c r="L98" s="80">
        <f t="shared" si="28"/>
        <v>1.1999999999999999E-3</v>
      </c>
      <c r="M98" s="179">
        <v>877.40677440000002</v>
      </c>
      <c r="N98" s="80">
        <f t="shared" si="29"/>
        <v>1.1999999999999999E-3</v>
      </c>
      <c r="O98" s="179">
        <v>894.95490988799986</v>
      </c>
      <c r="P98" s="80">
        <f t="shared" si="30"/>
        <v>1.1999999999999999E-3</v>
      </c>
      <c r="Q98" s="179">
        <v>912.85400808575992</v>
      </c>
      <c r="R98" s="80">
        <f t="shared" si="31"/>
        <v>1.1999999999999999E-3</v>
      </c>
      <c r="S98" s="179">
        <v>931.1110882474751</v>
      </c>
      <c r="T98" s="80">
        <f t="shared" si="32"/>
        <v>1.1999999999999999E-3</v>
      </c>
      <c r="U98" s="179">
        <v>949.73331001242468</v>
      </c>
      <c r="V98" s="80">
        <f t="shared" si="33"/>
        <v>1.1999999999999999E-3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4"/>
        <v>0</v>
      </c>
      <c r="E99" s="179">
        <v>0</v>
      </c>
      <c r="F99" s="80">
        <f t="shared" si="25"/>
        <v>0</v>
      </c>
      <c r="G99" s="179">
        <v>0</v>
      </c>
      <c r="H99" s="80">
        <f t="shared" si="26"/>
        <v>0</v>
      </c>
      <c r="I99" s="179">
        <v>0</v>
      </c>
      <c r="J99" s="80">
        <f t="shared" si="27"/>
        <v>0</v>
      </c>
      <c r="K99" s="179">
        <v>0</v>
      </c>
      <c r="L99" s="80">
        <f t="shared" si="28"/>
        <v>0</v>
      </c>
      <c r="M99" s="179">
        <v>0</v>
      </c>
      <c r="N99" s="80">
        <f t="shared" si="29"/>
        <v>0</v>
      </c>
      <c r="O99" s="179">
        <v>0</v>
      </c>
      <c r="P99" s="80">
        <f t="shared" si="30"/>
        <v>0</v>
      </c>
      <c r="Q99" s="179">
        <v>0</v>
      </c>
      <c r="R99" s="80">
        <f t="shared" si="31"/>
        <v>0</v>
      </c>
      <c r="S99" s="179">
        <v>0</v>
      </c>
      <c r="T99" s="80">
        <f t="shared" si="32"/>
        <v>0</v>
      </c>
      <c r="U99" s="179">
        <v>0</v>
      </c>
      <c r="V99" s="80">
        <f t="shared" si="33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4"/>
        <v>0</v>
      </c>
      <c r="E100" s="179">
        <v>0</v>
      </c>
      <c r="F100" s="80">
        <f t="shared" si="25"/>
        <v>0</v>
      </c>
      <c r="G100" s="179">
        <v>0</v>
      </c>
      <c r="H100" s="80">
        <f t="shared" si="26"/>
        <v>0</v>
      </c>
      <c r="I100" s="179">
        <v>0</v>
      </c>
      <c r="J100" s="80">
        <f t="shared" si="27"/>
        <v>0</v>
      </c>
      <c r="K100" s="179">
        <v>0</v>
      </c>
      <c r="L100" s="80">
        <f t="shared" si="28"/>
        <v>0</v>
      </c>
      <c r="M100" s="179">
        <v>0</v>
      </c>
      <c r="N100" s="80">
        <f t="shared" si="29"/>
        <v>0</v>
      </c>
      <c r="O100" s="179">
        <v>0</v>
      </c>
      <c r="P100" s="80">
        <f t="shared" si="30"/>
        <v>0</v>
      </c>
      <c r="Q100" s="179">
        <v>0</v>
      </c>
      <c r="R100" s="80">
        <f t="shared" si="31"/>
        <v>0</v>
      </c>
      <c r="S100" s="179">
        <v>0</v>
      </c>
      <c r="T100" s="80">
        <f t="shared" si="32"/>
        <v>0</v>
      </c>
      <c r="U100" s="179">
        <v>0</v>
      </c>
      <c r="V100" s="80">
        <f t="shared" si="33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4"/>
        <v>0</v>
      </c>
      <c r="E101" s="179"/>
      <c r="F101" s="80">
        <f t="shared" si="25"/>
        <v>0</v>
      </c>
      <c r="G101" s="179"/>
      <c r="H101" s="80">
        <f t="shared" si="26"/>
        <v>0</v>
      </c>
      <c r="I101" s="179">
        <v>0</v>
      </c>
      <c r="J101" s="80">
        <f t="shared" si="27"/>
        <v>0</v>
      </c>
      <c r="K101" s="179">
        <v>0</v>
      </c>
      <c r="L101" s="80">
        <f t="shared" si="28"/>
        <v>0</v>
      </c>
      <c r="M101" s="179">
        <v>0</v>
      </c>
      <c r="N101" s="80">
        <f t="shared" si="29"/>
        <v>0</v>
      </c>
      <c r="O101" s="179">
        <v>0</v>
      </c>
      <c r="P101" s="80">
        <f t="shared" si="30"/>
        <v>0</v>
      </c>
      <c r="Q101" s="179">
        <v>0</v>
      </c>
      <c r="R101" s="80">
        <f t="shared" si="31"/>
        <v>0</v>
      </c>
      <c r="S101" s="179">
        <v>0</v>
      </c>
      <c r="T101" s="80">
        <f t="shared" si="32"/>
        <v>0</v>
      </c>
      <c r="U101" s="179">
        <v>0</v>
      </c>
      <c r="V101" s="80">
        <f t="shared" si="33"/>
        <v>0</v>
      </c>
      <c r="X101" s="200"/>
    </row>
    <row r="102" spans="1:24" ht="12.75" customHeight="1">
      <c r="A102" s="117" t="s">
        <v>433</v>
      </c>
      <c r="B102" s="35"/>
      <c r="C102" s="179">
        <v>5830</v>
      </c>
      <c r="D102" s="80">
        <f t="shared" si="24"/>
        <v>0.01</v>
      </c>
      <c r="E102" s="179">
        <v>6390</v>
      </c>
      <c r="F102" s="80">
        <f t="shared" si="25"/>
        <v>0.01</v>
      </c>
      <c r="G102" s="179">
        <v>6890</v>
      </c>
      <c r="H102" s="80">
        <f t="shared" si="26"/>
        <v>0.01</v>
      </c>
      <c r="I102" s="179">
        <v>7027.8</v>
      </c>
      <c r="J102" s="80">
        <f t="shared" si="27"/>
        <v>0.01</v>
      </c>
      <c r="K102" s="179">
        <v>7168.3560000000007</v>
      </c>
      <c r="L102" s="80">
        <f t="shared" si="28"/>
        <v>1.0000000000000002E-2</v>
      </c>
      <c r="M102" s="179">
        <v>7311.7231199999997</v>
      </c>
      <c r="N102" s="80">
        <f t="shared" si="29"/>
        <v>9.9999999999999985E-3</v>
      </c>
      <c r="O102" s="179">
        <v>7457.9575824000003</v>
      </c>
      <c r="P102" s="80">
        <f t="shared" si="30"/>
        <v>0.01</v>
      </c>
      <c r="Q102" s="179">
        <v>7607.1167340480006</v>
      </c>
      <c r="R102" s="80">
        <f t="shared" si="31"/>
        <v>0.01</v>
      </c>
      <c r="S102" s="179">
        <v>7759.2590687289603</v>
      </c>
      <c r="T102" s="80">
        <f t="shared" si="32"/>
        <v>0.01</v>
      </c>
      <c r="U102" s="179">
        <v>7914.4442501035401</v>
      </c>
      <c r="V102" s="80">
        <f t="shared" si="33"/>
        <v>0.01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4"/>
        <v>0</v>
      </c>
      <c r="E103" s="179">
        <v>0</v>
      </c>
      <c r="F103" s="80">
        <f t="shared" si="25"/>
        <v>0</v>
      </c>
      <c r="G103" s="179">
        <v>0</v>
      </c>
      <c r="H103" s="80">
        <f t="shared" si="26"/>
        <v>0</v>
      </c>
      <c r="I103" s="179">
        <v>0</v>
      </c>
      <c r="J103" s="80">
        <f t="shared" si="27"/>
        <v>0</v>
      </c>
      <c r="K103" s="179">
        <v>0</v>
      </c>
      <c r="L103" s="80">
        <f t="shared" si="28"/>
        <v>0</v>
      </c>
      <c r="M103" s="179">
        <v>0</v>
      </c>
      <c r="N103" s="80">
        <f t="shared" si="29"/>
        <v>0</v>
      </c>
      <c r="O103" s="179">
        <v>0</v>
      </c>
      <c r="P103" s="80">
        <f t="shared" si="30"/>
        <v>0</v>
      </c>
      <c r="Q103" s="179">
        <v>0</v>
      </c>
      <c r="R103" s="80">
        <f t="shared" si="31"/>
        <v>0</v>
      </c>
      <c r="S103" s="179">
        <v>0</v>
      </c>
      <c r="T103" s="80">
        <f t="shared" si="32"/>
        <v>0</v>
      </c>
      <c r="U103" s="179">
        <v>0</v>
      </c>
      <c r="V103" s="80">
        <f t="shared" si="33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4"/>
        <v>0</v>
      </c>
      <c r="E104" s="179">
        <v>0</v>
      </c>
      <c r="F104" s="80">
        <f t="shared" si="25"/>
        <v>0</v>
      </c>
      <c r="G104" s="179">
        <v>0</v>
      </c>
      <c r="H104" s="80">
        <f t="shared" si="26"/>
        <v>0</v>
      </c>
      <c r="I104" s="179">
        <v>0</v>
      </c>
      <c r="J104" s="80">
        <f t="shared" si="27"/>
        <v>0</v>
      </c>
      <c r="K104" s="179">
        <v>0</v>
      </c>
      <c r="L104" s="80">
        <f t="shared" si="28"/>
        <v>0</v>
      </c>
      <c r="M104" s="179">
        <v>0</v>
      </c>
      <c r="N104" s="80">
        <f t="shared" si="29"/>
        <v>0</v>
      </c>
      <c r="O104" s="179">
        <v>0</v>
      </c>
      <c r="P104" s="80">
        <f t="shared" si="30"/>
        <v>0</v>
      </c>
      <c r="Q104" s="179">
        <v>0</v>
      </c>
      <c r="R104" s="80">
        <f t="shared" si="31"/>
        <v>0</v>
      </c>
      <c r="S104" s="179">
        <v>0</v>
      </c>
      <c r="T104" s="80">
        <f t="shared" si="32"/>
        <v>0</v>
      </c>
      <c r="U104" s="179">
        <v>0</v>
      </c>
      <c r="V104" s="80">
        <f t="shared" si="33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109140.77322516681</v>
      </c>
      <c r="D105" s="83">
        <f t="shared" ref="D105" si="34">IFERROR(C105/C$28,0)</f>
        <v>0.18720544292481442</v>
      </c>
      <c r="E105" s="82">
        <f>SUM(E52:E104)</f>
        <v>115780.50862069651</v>
      </c>
      <c r="F105" s="83">
        <f t="shared" ref="F105" si="35">IFERROR(E105/E$28,0)</f>
        <v>0.18119015433598828</v>
      </c>
      <c r="G105" s="82">
        <f>SUM(G52:G104)</f>
        <v>120758.16607967651</v>
      </c>
      <c r="H105" s="83">
        <f t="shared" ref="H105" si="36">IFERROR(G105/G$28,0)</f>
        <v>0.17526584336672932</v>
      </c>
      <c r="I105" s="82">
        <f>SUM(I52:I104)</f>
        <v>123228.90542564746</v>
      </c>
      <c r="J105" s="83">
        <f t="shared" ref="J105" si="37">IFERROR(I105/I$28,0)</f>
        <v>0.17534492362566872</v>
      </c>
      <c r="K105" s="82">
        <f>SUM(K52:K104)</f>
        <v>125676.89180455489</v>
      </c>
      <c r="L105" s="83">
        <f t="shared" ref="L105" si="38">IFERROR(K105/K$28,0)</f>
        <v>0.17532177783100461</v>
      </c>
      <c r="M105" s="82">
        <f>SUM(M52:M104)</f>
        <v>128234.68793281555</v>
      </c>
      <c r="N105" s="83">
        <f t="shared" ref="N105" si="39">IFERROR(M105/M$28,0)</f>
        <v>0.17538230842200647</v>
      </c>
      <c r="O105" s="82">
        <f>SUM(O52:O104)</f>
        <v>130845.20025707121</v>
      </c>
      <c r="P105" s="83">
        <f t="shared" ref="P105" si="40">IFERROR(O105/O$28,0)</f>
        <v>0.17544374423079612</v>
      </c>
      <c r="Q105" s="82">
        <f>SUM(Q52:Q104)</f>
        <v>133509.2941965567</v>
      </c>
      <c r="R105" s="83">
        <f t="shared" ref="R105" si="41">IFERROR(Q105/Q$28,0)</f>
        <v>0.17550577816033061</v>
      </c>
      <c r="S105" s="82">
        <f>SUM(S52:S104)</f>
        <v>136227.85852658519</v>
      </c>
      <c r="T105" s="83">
        <f t="shared" ref="T105" si="42">IFERROR(S105/S$28,0)</f>
        <v>0.17556812747186776</v>
      </c>
      <c r="U105" s="82">
        <f>SUM(U52:U104)</f>
        <v>139263.444173845</v>
      </c>
      <c r="V105" s="83">
        <f t="shared" si="33"/>
        <v>0.17596111586991481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-55140.011225166818</v>
      </c>
      <c r="D107" s="83">
        <f>IFERROR(C107/C$28,0)</f>
        <v>-9.4579779116924209E-2</v>
      </c>
      <c r="E107" s="82">
        <f>E28-E33-E46-E105</f>
        <v>-55495.050062696522</v>
      </c>
      <c r="F107" s="83">
        <f>IFERROR(E107/E$28,0)</f>
        <v>-8.6846713713140095E-2</v>
      </c>
      <c r="G107" s="82">
        <f>G28-G33-G46-G105</f>
        <v>71935.043228353519</v>
      </c>
      <c r="H107" s="83">
        <f>IFERROR(G107/G$28,0)</f>
        <v>0.10440499742866984</v>
      </c>
      <c r="I107" s="82">
        <f>I28-I33-I46-I105</f>
        <v>70405.479302848325</v>
      </c>
      <c r="J107" s="83">
        <f>IFERROR(I107/I$28,0)</f>
        <v>0.10018139290083429</v>
      </c>
      <c r="K107" s="82">
        <f>K28-K33-K46-K105</f>
        <v>70335.108642153282</v>
      </c>
      <c r="L107" s="83">
        <f>IFERROR(K107/K$28,0)</f>
        <v>9.8118883384353803E-2</v>
      </c>
      <c r="M107" s="82">
        <f>M28-M33-M46-M105</f>
        <v>70165.103747060377</v>
      </c>
      <c r="N107" s="83">
        <f>IFERROR(M107/M$28,0)</f>
        <v>9.5962473681662566E-2</v>
      </c>
      <c r="O107" s="82">
        <f>O28-O33-O46-O105</f>
        <v>69951.827261241589</v>
      </c>
      <c r="P107" s="83">
        <f>IFERROR(O107/O$28,0)</f>
        <v>9.3794884843969334E-2</v>
      </c>
      <c r="Q107" s="82">
        <f>Q28-Q33-Q46-Q105</f>
        <v>69693.644877082756</v>
      </c>
      <c r="R107" s="83">
        <f>IFERROR(Q107/Q$28,0)</f>
        <v>9.1616373605977838E-2</v>
      </c>
      <c r="S107" s="82">
        <f>S28-S33-S46-S105</f>
        <v>69388.859608611412</v>
      </c>
      <c r="T107" s="83">
        <f>IFERROR(S107/S$28,0)</f>
        <v>8.9427172097216706E-2</v>
      </c>
      <c r="U107" s="82">
        <f>U28-U33-U46-U105</f>
        <v>68774.071611142135</v>
      </c>
      <c r="V107" s="83">
        <f>IFERROR(U107/U$28,0)</f>
        <v>8.6896905755880965E-2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3">IFERROR(C111/C$28,0)</f>
        <v>0</v>
      </c>
      <c r="E111" s="79">
        <f>E59</f>
        <v>0</v>
      </c>
      <c r="F111" s="80">
        <f t="shared" ref="F111:F116" si="44">IFERROR(E111/E$28,0)</f>
        <v>0</v>
      </c>
      <c r="G111" s="79">
        <f>G59</f>
        <v>0</v>
      </c>
      <c r="H111" s="80">
        <f t="shared" ref="H111:H116" si="45">IFERROR(G111/G$28,0)</f>
        <v>0</v>
      </c>
      <c r="I111" s="79">
        <f>I59</f>
        <v>0</v>
      </c>
      <c r="J111" s="80">
        <f t="shared" ref="J111:J116" si="46">IFERROR(I111/I$28,0)</f>
        <v>0</v>
      </c>
      <c r="K111" s="79">
        <f>K59</f>
        <v>0</v>
      </c>
      <c r="L111" s="80">
        <f t="shared" ref="L111:L116" si="47">IFERROR(K111/K$28,0)</f>
        <v>0</v>
      </c>
      <c r="M111" s="79">
        <f>M59</f>
        <v>0</v>
      </c>
      <c r="N111" s="80">
        <f t="shared" ref="N111:N116" si="48">IFERROR(M111/M$28,0)</f>
        <v>0</v>
      </c>
      <c r="O111" s="79">
        <f>O59</f>
        <v>0</v>
      </c>
      <c r="P111" s="80">
        <f t="shared" ref="P111:P116" si="49">IFERROR(O111/O$28,0)</f>
        <v>0</v>
      </c>
      <c r="Q111" s="79">
        <f>Q59</f>
        <v>0</v>
      </c>
      <c r="R111" s="80">
        <f t="shared" ref="R111:R116" si="50">IFERROR(Q111/Q$28,0)</f>
        <v>0</v>
      </c>
      <c r="S111" s="79">
        <f>S59</f>
        <v>0</v>
      </c>
      <c r="T111" s="80">
        <f t="shared" ref="T111:T116" si="51">IFERROR(S111/S$28,0)</f>
        <v>0</v>
      </c>
      <c r="U111" s="79">
        <f>U59</f>
        <v>0</v>
      </c>
      <c r="V111" s="80">
        <f t="shared" ref="V111:V116" si="52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3"/>
        <v>0</v>
      </c>
      <c r="E112" s="79">
        <f>E62</f>
        <v>0</v>
      </c>
      <c r="F112" s="80">
        <f t="shared" si="44"/>
        <v>0</v>
      </c>
      <c r="G112" s="79">
        <f>G62</f>
        <v>0</v>
      </c>
      <c r="H112" s="80">
        <f t="shared" si="45"/>
        <v>0</v>
      </c>
      <c r="I112" s="79">
        <f>I62</f>
        <v>0</v>
      </c>
      <c r="J112" s="80">
        <f t="shared" si="46"/>
        <v>0</v>
      </c>
      <c r="K112" s="79">
        <f>K62</f>
        <v>0</v>
      </c>
      <c r="L112" s="80">
        <f t="shared" si="47"/>
        <v>0</v>
      </c>
      <c r="M112" s="79">
        <f>M62</f>
        <v>0</v>
      </c>
      <c r="N112" s="80">
        <f t="shared" si="48"/>
        <v>0</v>
      </c>
      <c r="O112" s="79">
        <f>O62</f>
        <v>0</v>
      </c>
      <c r="P112" s="80">
        <f t="shared" si="49"/>
        <v>0</v>
      </c>
      <c r="Q112" s="79">
        <f>Q62</f>
        <v>0</v>
      </c>
      <c r="R112" s="80">
        <f t="shared" si="50"/>
        <v>0</v>
      </c>
      <c r="S112" s="79">
        <f>S62</f>
        <v>0</v>
      </c>
      <c r="T112" s="80">
        <f t="shared" si="51"/>
        <v>0</v>
      </c>
      <c r="U112" s="79">
        <f>U62</f>
        <v>0</v>
      </c>
      <c r="V112" s="80">
        <f t="shared" si="52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3"/>
        <v>0</v>
      </c>
      <c r="E113" s="111">
        <v>0</v>
      </c>
      <c r="F113" s="80">
        <f t="shared" si="44"/>
        <v>0</v>
      </c>
      <c r="G113" s="111">
        <v>0</v>
      </c>
      <c r="H113" s="80">
        <f t="shared" si="45"/>
        <v>0</v>
      </c>
      <c r="I113" s="111">
        <v>0</v>
      </c>
      <c r="J113" s="80">
        <f t="shared" si="46"/>
        <v>0</v>
      </c>
      <c r="K113" s="111">
        <v>0</v>
      </c>
      <c r="L113" s="80">
        <f t="shared" si="47"/>
        <v>0</v>
      </c>
      <c r="M113" s="111">
        <v>0</v>
      </c>
      <c r="N113" s="80">
        <f t="shared" si="48"/>
        <v>0</v>
      </c>
      <c r="O113" s="111">
        <v>0</v>
      </c>
      <c r="P113" s="80">
        <f t="shared" si="49"/>
        <v>0</v>
      </c>
      <c r="Q113" s="111">
        <v>0</v>
      </c>
      <c r="R113" s="80">
        <f t="shared" si="50"/>
        <v>0</v>
      </c>
      <c r="S113" s="111">
        <v>0</v>
      </c>
      <c r="T113" s="80">
        <f t="shared" si="51"/>
        <v>0</v>
      </c>
      <c r="U113" s="111">
        <v>0</v>
      </c>
      <c r="V113" s="80">
        <f t="shared" si="52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3"/>
        <v>0</v>
      </c>
      <c r="E114" s="111">
        <v>0</v>
      </c>
      <c r="F114" s="80">
        <f t="shared" si="44"/>
        <v>0</v>
      </c>
      <c r="G114" s="111">
        <v>0</v>
      </c>
      <c r="H114" s="80">
        <f t="shared" si="45"/>
        <v>0</v>
      </c>
      <c r="I114" s="111">
        <v>0</v>
      </c>
      <c r="J114" s="80">
        <f t="shared" si="46"/>
        <v>0</v>
      </c>
      <c r="K114" s="111">
        <v>0</v>
      </c>
      <c r="L114" s="80">
        <f t="shared" si="47"/>
        <v>0</v>
      </c>
      <c r="M114" s="111">
        <v>0</v>
      </c>
      <c r="N114" s="80">
        <f t="shared" si="48"/>
        <v>0</v>
      </c>
      <c r="O114" s="111">
        <v>0</v>
      </c>
      <c r="P114" s="80">
        <f t="shared" si="49"/>
        <v>0</v>
      </c>
      <c r="Q114" s="111">
        <v>0</v>
      </c>
      <c r="R114" s="80">
        <f t="shared" si="50"/>
        <v>0</v>
      </c>
      <c r="S114" s="111">
        <v>0</v>
      </c>
      <c r="T114" s="80">
        <f t="shared" si="51"/>
        <v>0</v>
      </c>
      <c r="U114" s="111">
        <v>0</v>
      </c>
      <c r="V114" s="80">
        <f t="shared" si="52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3"/>
        <v>0</v>
      </c>
      <c r="E115" s="112">
        <v>0</v>
      </c>
      <c r="F115" s="80">
        <f t="shared" si="44"/>
        <v>0</v>
      </c>
      <c r="G115" s="112">
        <v>0</v>
      </c>
      <c r="H115" s="80">
        <f t="shared" si="45"/>
        <v>0</v>
      </c>
      <c r="I115" s="112">
        <v>0</v>
      </c>
      <c r="J115" s="80">
        <f t="shared" si="46"/>
        <v>0</v>
      </c>
      <c r="K115" s="112">
        <v>0</v>
      </c>
      <c r="L115" s="80">
        <f t="shared" si="47"/>
        <v>0</v>
      </c>
      <c r="M115" s="112">
        <v>0</v>
      </c>
      <c r="N115" s="80">
        <f t="shared" si="48"/>
        <v>0</v>
      </c>
      <c r="O115" s="112">
        <v>0</v>
      </c>
      <c r="P115" s="80">
        <f t="shared" si="49"/>
        <v>0</v>
      </c>
      <c r="Q115" s="112">
        <v>0</v>
      </c>
      <c r="R115" s="80">
        <f t="shared" si="50"/>
        <v>0</v>
      </c>
      <c r="S115" s="112">
        <v>0</v>
      </c>
      <c r="T115" s="80">
        <f t="shared" si="51"/>
        <v>0</v>
      </c>
      <c r="U115" s="112">
        <v>0</v>
      </c>
      <c r="V115" s="80">
        <f t="shared" si="52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3"/>
        <v>0</v>
      </c>
      <c r="E116" s="85">
        <f>SUM(E111:E115)</f>
        <v>0</v>
      </c>
      <c r="F116" s="83">
        <f t="shared" si="44"/>
        <v>0</v>
      </c>
      <c r="G116" s="85">
        <f>SUM(G111:G115)</f>
        <v>0</v>
      </c>
      <c r="H116" s="83">
        <f t="shared" si="45"/>
        <v>0</v>
      </c>
      <c r="I116" s="85">
        <f>SUM(I111:I115)</f>
        <v>0</v>
      </c>
      <c r="J116" s="83">
        <f t="shared" si="46"/>
        <v>0</v>
      </c>
      <c r="K116" s="85">
        <f>SUM(K111:K115)</f>
        <v>0</v>
      </c>
      <c r="L116" s="83">
        <f t="shared" si="47"/>
        <v>0</v>
      </c>
      <c r="M116" s="85">
        <f>SUM(M111:M115)</f>
        <v>0</v>
      </c>
      <c r="N116" s="83">
        <f t="shared" si="48"/>
        <v>0</v>
      </c>
      <c r="O116" s="85">
        <f>SUM(O111:O115)</f>
        <v>0</v>
      </c>
      <c r="P116" s="83">
        <f t="shared" si="49"/>
        <v>0</v>
      </c>
      <c r="Q116" s="85">
        <f>SUM(Q111:Q115)</f>
        <v>0</v>
      </c>
      <c r="R116" s="83">
        <f t="shared" si="50"/>
        <v>0</v>
      </c>
      <c r="S116" s="85">
        <f>SUM(S111:S115)</f>
        <v>0</v>
      </c>
      <c r="T116" s="83">
        <f t="shared" si="51"/>
        <v>0</v>
      </c>
      <c r="U116" s="85">
        <f>SUM(U111:U115)</f>
        <v>0</v>
      </c>
      <c r="V116" s="83">
        <f t="shared" si="52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462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7" tint="0.59999389629810485"/>
  </sheetPr>
  <dimension ref="A1:X119"/>
  <sheetViews>
    <sheetView topLeftCell="A24" zoomScale="70" zoomScaleNormal="70" workbookViewId="0" xr3:uid="{CAA03FB3-9A95-5D50-9E3C-B000AFB1AE50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39.8554687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55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Papa John's Pizza (Parking Garage 5)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228</v>
      </c>
      <c r="E8" s="109">
        <f>+C8</f>
        <v>228</v>
      </c>
      <c r="G8" s="109">
        <f>+E8</f>
        <v>228</v>
      </c>
      <c r="I8" s="109">
        <f>+G8</f>
        <v>228</v>
      </c>
      <c r="K8" s="109">
        <f>+I8</f>
        <v>228</v>
      </c>
      <c r="M8" s="109">
        <f>+K8</f>
        <v>228</v>
      </c>
      <c r="O8" s="109">
        <f>+M8</f>
        <v>228</v>
      </c>
      <c r="Q8" s="109">
        <f>+O8</f>
        <v>228</v>
      </c>
      <c r="S8" s="109">
        <f>+Q8</f>
        <v>228</v>
      </c>
      <c r="U8" s="109">
        <f>+S8</f>
        <v>228</v>
      </c>
    </row>
    <row r="10" spans="1:22" ht="12.75" customHeight="1">
      <c r="A10" s="2" t="s">
        <v>449</v>
      </c>
      <c r="C10" s="209">
        <f>+C14/C8/C12</f>
        <v>71.666093337919975</v>
      </c>
      <c r="E10" s="109"/>
      <c r="G10" s="109"/>
      <c r="I10" s="109"/>
      <c r="K10" s="109"/>
      <c r="M10" s="109"/>
      <c r="O10" s="109"/>
      <c r="Q10" s="109"/>
      <c r="S10" s="109"/>
      <c r="U10" s="109">
        <v>0</v>
      </c>
    </row>
    <row r="12" spans="1:22" ht="12.75" customHeight="1">
      <c r="A12" s="2" t="s">
        <v>450</v>
      </c>
      <c r="C12" s="110">
        <v>4.59</v>
      </c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451</v>
      </c>
      <c r="C14" s="121">
        <v>75000</v>
      </c>
      <c r="E14" s="121"/>
      <c r="G14" s="121"/>
      <c r="I14" s="121"/>
      <c r="K14" s="121"/>
      <c r="M14" s="121"/>
      <c r="O14" s="121"/>
      <c r="Q14" s="121"/>
      <c r="S14" s="121"/>
      <c r="U14" s="121">
        <f>U12*U10*U8</f>
        <v>0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+C14-C20-C21</f>
        <v>64740</v>
      </c>
      <c r="D19" s="80">
        <f>IFERROR(C19/C$28,0)</f>
        <v>0.86319999999999997</v>
      </c>
      <c r="E19" s="208">
        <f>+E14-E20</f>
        <v>0</v>
      </c>
      <c r="F19" s="80">
        <f>IFERROR(E19/E$28,0)</f>
        <v>0</v>
      </c>
      <c r="G19" s="208">
        <f>+G14-G20</f>
        <v>0</v>
      </c>
      <c r="H19" s="80">
        <f>IFERROR(G19/G$28,0)</f>
        <v>0</v>
      </c>
      <c r="I19" s="208">
        <f>+I14-I20</f>
        <v>0</v>
      </c>
      <c r="J19" s="80">
        <f>IFERROR(I19/I$28,0)</f>
        <v>0</v>
      </c>
      <c r="K19" s="208">
        <f>+K14-K20</f>
        <v>0</v>
      </c>
      <c r="L19" s="80">
        <f>IFERROR(K19/K$28,0)</f>
        <v>0</v>
      </c>
      <c r="M19" s="208">
        <f>+M14-M20</f>
        <v>0</v>
      </c>
      <c r="N19" s="80">
        <f>IFERROR(M19/M$28,0)</f>
        <v>0</v>
      </c>
      <c r="O19" s="208">
        <f>+O14-O20</f>
        <v>0</v>
      </c>
      <c r="P19" s="80">
        <f>IFERROR(O19/O$28,0)</f>
        <v>0</v>
      </c>
      <c r="Q19" s="208">
        <f>+Q14-Q20</f>
        <v>0</v>
      </c>
      <c r="R19" s="80">
        <f>IFERROR(Q19/Q$28,0)</f>
        <v>0</v>
      </c>
      <c r="S19" s="208">
        <f>+S14-S20</f>
        <v>0</v>
      </c>
      <c r="T19" s="80">
        <f>IFERROR(S19/S$28,0)</f>
        <v>0</v>
      </c>
      <c r="U19" s="208">
        <f>+U14-U20</f>
        <v>0</v>
      </c>
      <c r="V19" s="80">
        <f>IFERROR(U19/U$28,0)</f>
        <v>0</v>
      </c>
    </row>
    <row r="20" spans="1:24" ht="12.75" customHeight="1">
      <c r="A20" s="2" t="s">
        <v>357</v>
      </c>
      <c r="B20" s="35"/>
      <c r="C20" s="111">
        <f>+C14*12.38%</f>
        <v>9285</v>
      </c>
      <c r="D20" s="80">
        <f>IFERROR(C20/C$28,0)</f>
        <v>0.12379999999999999</v>
      </c>
      <c r="E20" s="111">
        <f>+E14*53.27%</f>
        <v>0</v>
      </c>
      <c r="F20" s="80">
        <f>IFERROR(E20/E$28,0)</f>
        <v>0</v>
      </c>
      <c r="G20" s="111">
        <f t="shared" ref="G20:U21" si="0">E20*1.02</f>
        <v>0</v>
      </c>
      <c r="H20" s="80">
        <f>IFERROR(G20/G$28,0)</f>
        <v>0</v>
      </c>
      <c r="I20" s="111">
        <f t="shared" si="0"/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191" t="s">
        <v>358</v>
      </c>
      <c r="B21" s="203"/>
      <c r="C21" s="111">
        <f>+C14*0.013</f>
        <v>975</v>
      </c>
      <c r="D21" s="80">
        <f>IFERROR(C21/C$28,0)</f>
        <v>1.2999999999999999E-2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364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365</v>
      </c>
      <c r="B28" s="53"/>
      <c r="C28" s="82">
        <f>SUM(C19:C27)</f>
        <v>75000</v>
      </c>
      <c r="D28" s="83">
        <f t="shared" si="1"/>
        <v>1</v>
      </c>
      <c r="E28" s="82">
        <f>SUM(E19:E27)</f>
        <v>0</v>
      </c>
      <c r="F28" s="83">
        <f t="shared" si="2"/>
        <v>0</v>
      </c>
      <c r="G28" s="82">
        <f>SUM(G19:G27)</f>
        <v>0</v>
      </c>
      <c r="H28" s="83">
        <f t="shared" si="3"/>
        <v>0</v>
      </c>
      <c r="I28" s="82">
        <f>SUM(I19:I27)</f>
        <v>0</v>
      </c>
      <c r="J28" s="83">
        <f t="shared" si="4"/>
        <v>0</v>
      </c>
      <c r="K28" s="82">
        <f>SUM(K19:K27)</f>
        <v>0</v>
      </c>
      <c r="L28" s="83">
        <f t="shared" si="5"/>
        <v>0</v>
      </c>
      <c r="M28" s="82">
        <f>SUM(M19:M27)</f>
        <v>0</v>
      </c>
      <c r="N28" s="83">
        <f t="shared" si="6"/>
        <v>0</v>
      </c>
      <c r="O28" s="82">
        <f>SUM(O19:O27)</f>
        <v>0</v>
      </c>
      <c r="P28" s="83">
        <f t="shared" si="7"/>
        <v>0</v>
      </c>
      <c r="Q28" s="82">
        <f>SUM(Q19:Q27)</f>
        <v>0</v>
      </c>
      <c r="R28" s="83">
        <f t="shared" si="8"/>
        <v>0</v>
      </c>
      <c r="S28" s="82">
        <f>SUM(S19:S27)</f>
        <v>0</v>
      </c>
      <c r="T28" s="83">
        <f t="shared" si="9"/>
        <v>0</v>
      </c>
      <c r="U28" s="82">
        <f>SUM(U19:U27)</f>
        <v>0</v>
      </c>
      <c r="V28" s="83">
        <f t="shared" si="10"/>
        <v>0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10">
        <v>0.32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24000</v>
      </c>
      <c r="D31" s="80">
        <f>IFERROR(C31/C$28,0)</f>
        <v>0.32</v>
      </c>
      <c r="E31" s="179">
        <f>$C$30*E14</f>
        <v>0</v>
      </c>
      <c r="F31" s="80">
        <f>IFERROR(E31/E$28,0)</f>
        <v>0</v>
      </c>
      <c r="G31" s="179">
        <f>$C$30*G14</f>
        <v>0</v>
      </c>
      <c r="H31" s="80">
        <f>IFERROR(G31/G$28,0)</f>
        <v>0</v>
      </c>
      <c r="I31" s="179">
        <f>$C$30*I14</f>
        <v>0</v>
      </c>
      <c r="J31" s="80">
        <f>IFERROR(I31/I$28,0)</f>
        <v>0</v>
      </c>
      <c r="K31" s="179">
        <f>$C$30*K14</f>
        <v>0</v>
      </c>
      <c r="L31" s="80">
        <f>IFERROR(K31/K$28,0)</f>
        <v>0</v>
      </c>
      <c r="M31" s="179">
        <f>$C$30*M14</f>
        <v>0</v>
      </c>
      <c r="N31" s="80">
        <f>IFERROR(M31/M$28,0)</f>
        <v>0</v>
      </c>
      <c r="O31" s="179">
        <f>$C$30*O14</f>
        <v>0</v>
      </c>
      <c r="P31" s="80">
        <f>IFERROR(O31/O$28,0)</f>
        <v>0</v>
      </c>
      <c r="Q31" s="179">
        <f>$C$30*Q14</f>
        <v>0</v>
      </c>
      <c r="R31" s="80">
        <f>IFERROR(Q31/Q$28,0)</f>
        <v>0</v>
      </c>
      <c r="S31" s="179">
        <f>$C$30*S14</f>
        <v>0</v>
      </c>
      <c r="T31" s="80">
        <f>IFERROR(S31/S$28,0)</f>
        <v>0</v>
      </c>
      <c r="U31" s="179">
        <f>$C$30*U14</f>
        <v>0</v>
      </c>
      <c r="V31" s="80">
        <f>IFERROR(U31/U$28,0)</f>
        <v>0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24000</v>
      </c>
      <c r="D33" s="83">
        <f>IFERROR(C33/C$28,0)</f>
        <v>0.32</v>
      </c>
      <c r="E33" s="82">
        <f>SUM(E31:E32)</f>
        <v>0</v>
      </c>
      <c r="F33" s="83">
        <f>IFERROR(E33/E$28,0)</f>
        <v>0</v>
      </c>
      <c r="G33" s="82">
        <f>SUM(G31:G32)</f>
        <v>0</v>
      </c>
      <c r="H33" s="83">
        <f>IFERROR(G33/G$28,0)</f>
        <v>0</v>
      </c>
      <c r="I33" s="82">
        <f>SUM(I31:I32)</f>
        <v>0</v>
      </c>
      <c r="J33" s="83">
        <f>IFERROR(I33/I$28,0)</f>
        <v>0</v>
      </c>
      <c r="K33" s="82">
        <f>SUM(K31:K32)</f>
        <v>0</v>
      </c>
      <c r="L33" s="83">
        <f>IFERROR(K33/K$28,0)</f>
        <v>0</v>
      </c>
      <c r="M33" s="82">
        <f>SUM(M31:M32)</f>
        <v>0</v>
      </c>
      <c r="N33" s="83">
        <f>IFERROR(M33/M$28,0)</f>
        <v>0</v>
      </c>
      <c r="O33" s="82">
        <f>SUM(O31:O32)</f>
        <v>0</v>
      </c>
      <c r="P33" s="83">
        <f>IFERROR(O33/O$28,0)</f>
        <v>0</v>
      </c>
      <c r="Q33" s="82">
        <f>SUM(Q31:Q32)</f>
        <v>0</v>
      </c>
      <c r="R33" s="83">
        <f>IFERROR(Q33/Q$28,0)</f>
        <v>0</v>
      </c>
      <c r="S33" s="82">
        <f>SUM(S31:S32)</f>
        <v>0</v>
      </c>
      <c r="T33" s="83">
        <f>IFERROR(S33/S$28,0)</f>
        <v>0</v>
      </c>
      <c r="U33" s="82">
        <f>SUM(U31:U32)</f>
        <v>0</v>
      </c>
      <c r="V33" s="83">
        <f>IFERROR(U33/U$28,0)</f>
        <v>0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>
        <v>0</v>
      </c>
      <c r="D36" s="80">
        <f t="shared" ref="D36:D46" si="11">IFERROR(C36/C$28,0)</f>
        <v>0</v>
      </c>
      <c r="E36" s="179"/>
      <c r="F36" s="80">
        <f t="shared" ref="F36:F46" si="12">IFERROR(E36/E$28,0)</f>
        <v>0</v>
      </c>
      <c r="G36" s="179"/>
      <c r="H36" s="80">
        <f t="shared" ref="H36:H46" si="13">IFERROR(G36/G$28,0)</f>
        <v>0</v>
      </c>
      <c r="I36" s="179"/>
      <c r="J36" s="80">
        <f t="shared" ref="J36:J46" si="14">IFERROR(I36/I$28,0)</f>
        <v>0</v>
      </c>
      <c r="K36" s="179"/>
      <c r="L36" s="80">
        <f t="shared" ref="L36:L46" si="15">IFERROR(K36/K$28,0)</f>
        <v>0</v>
      </c>
      <c r="M36" s="179"/>
      <c r="N36" s="80">
        <f t="shared" ref="N36:N46" si="16">IFERROR(M36/M$28,0)</f>
        <v>0</v>
      </c>
      <c r="O36" s="179"/>
      <c r="P36" s="80">
        <f t="shared" ref="P36:P46" si="17">IFERROR(O36/O$28,0)</f>
        <v>0</v>
      </c>
      <c r="Q36" s="179"/>
      <c r="R36" s="80">
        <f t="shared" ref="R36:R46" si="18">IFERROR(Q36/Q$28,0)</f>
        <v>0</v>
      </c>
      <c r="S36" s="179"/>
      <c r="T36" s="80">
        <f t="shared" ref="T36:T46" si="19">IFERROR(S36/S$28,0)</f>
        <v>0</v>
      </c>
      <c r="U36" s="179"/>
      <c r="V36" s="80">
        <f t="shared" ref="V36:V46" si="20">IFERROR(U36/U$28,0)</f>
        <v>0</v>
      </c>
    </row>
    <row r="37" spans="1:22" ht="12.75" customHeight="1">
      <c r="A37" s="2" t="s">
        <v>372</v>
      </c>
      <c r="B37" s="35"/>
      <c r="C37" s="179">
        <v>12870</v>
      </c>
      <c r="D37" s="80">
        <f t="shared" si="11"/>
        <v>0.1716</v>
      </c>
      <c r="E37" s="179"/>
      <c r="F37" s="80">
        <f t="shared" si="12"/>
        <v>0</v>
      </c>
      <c r="G37" s="179">
        <f>+E37*1.035</f>
        <v>0</v>
      </c>
      <c r="H37" s="80">
        <f t="shared" si="13"/>
        <v>0</v>
      </c>
      <c r="I37" s="179">
        <f>+G37*1.032</f>
        <v>0</v>
      </c>
      <c r="J37" s="80">
        <f t="shared" si="14"/>
        <v>0</v>
      </c>
      <c r="K37" s="179">
        <f>+I37*1.025</f>
        <v>0</v>
      </c>
      <c r="L37" s="80">
        <f t="shared" si="15"/>
        <v>0</v>
      </c>
      <c r="M37" s="179">
        <f>+K37*1.025</f>
        <v>0</v>
      </c>
      <c r="N37" s="80">
        <f t="shared" si="16"/>
        <v>0</v>
      </c>
      <c r="O37" s="179">
        <f>+M37*1.025</f>
        <v>0</v>
      </c>
      <c r="P37" s="80">
        <f t="shared" si="17"/>
        <v>0</v>
      </c>
      <c r="Q37" s="179">
        <f>+O37*1.025</f>
        <v>0</v>
      </c>
      <c r="R37" s="80">
        <f t="shared" si="18"/>
        <v>0</v>
      </c>
      <c r="S37" s="179">
        <f>+Q37*1.025</f>
        <v>0</v>
      </c>
      <c r="T37" s="80">
        <f t="shared" si="19"/>
        <v>0</v>
      </c>
      <c r="U37" s="179">
        <f>+S37*1.025</f>
        <v>0</v>
      </c>
      <c r="V37" s="80">
        <f t="shared" si="20"/>
        <v>0</v>
      </c>
    </row>
    <row r="38" spans="1:22" ht="12.75" customHeight="1">
      <c r="A38" s="2" t="s">
        <v>373</v>
      </c>
      <c r="B38" s="35"/>
      <c r="C38" s="179"/>
      <c r="D38" s="80">
        <f t="shared" si="11"/>
        <v>0</v>
      </c>
      <c r="E38" s="179"/>
      <c r="F38" s="80">
        <f t="shared" si="12"/>
        <v>0</v>
      </c>
      <c r="G38" s="179">
        <f>+E38*1.035</f>
        <v>0</v>
      </c>
      <c r="H38" s="80">
        <f t="shared" si="13"/>
        <v>0</v>
      </c>
      <c r="I38" s="179">
        <f>+G38*1.032</f>
        <v>0</v>
      </c>
      <c r="J38" s="80">
        <f t="shared" si="14"/>
        <v>0</v>
      </c>
      <c r="K38" s="179">
        <f>+I38*1.025</f>
        <v>0</v>
      </c>
      <c r="L38" s="80">
        <f t="shared" si="15"/>
        <v>0</v>
      </c>
      <c r="M38" s="179">
        <f>+K38*1.025</f>
        <v>0</v>
      </c>
      <c r="N38" s="80">
        <f t="shared" si="16"/>
        <v>0</v>
      </c>
      <c r="O38" s="179">
        <f>+M38*1.025</f>
        <v>0</v>
      </c>
      <c r="P38" s="80">
        <f t="shared" si="17"/>
        <v>0</v>
      </c>
      <c r="Q38" s="179">
        <f>+O38*1.025</f>
        <v>0</v>
      </c>
      <c r="R38" s="80">
        <f t="shared" si="18"/>
        <v>0</v>
      </c>
      <c r="S38" s="179">
        <f>+Q38*1.025</f>
        <v>0</v>
      </c>
      <c r="T38" s="80">
        <f t="shared" si="19"/>
        <v>0</v>
      </c>
      <c r="U38" s="179">
        <f>+S38*1.025</f>
        <v>0</v>
      </c>
      <c r="V38" s="80">
        <f t="shared" si="20"/>
        <v>0</v>
      </c>
    </row>
    <row r="39" spans="1:22" ht="12.75" customHeight="1">
      <c r="A39" s="2" t="s">
        <v>374</v>
      </c>
      <c r="B39" s="35"/>
      <c r="C39" s="179"/>
      <c r="D39" s="80">
        <f t="shared" si="11"/>
        <v>0</v>
      </c>
      <c r="E39" s="179"/>
      <c r="F39" s="80">
        <f t="shared" si="12"/>
        <v>0</v>
      </c>
      <c r="G39" s="179">
        <f>+E39*1.035</f>
        <v>0</v>
      </c>
      <c r="H39" s="80">
        <f t="shared" si="13"/>
        <v>0</v>
      </c>
      <c r="I39" s="179">
        <f>+G39*1.032</f>
        <v>0</v>
      </c>
      <c r="J39" s="80">
        <f t="shared" si="14"/>
        <v>0</v>
      </c>
      <c r="K39" s="179">
        <f>+I39*1.025</f>
        <v>0</v>
      </c>
      <c r="L39" s="80">
        <f t="shared" si="15"/>
        <v>0</v>
      </c>
      <c r="M39" s="179">
        <f>+K39*1.025</f>
        <v>0</v>
      </c>
      <c r="N39" s="80">
        <f t="shared" si="16"/>
        <v>0</v>
      </c>
      <c r="O39" s="179">
        <f>+M39*1.025</f>
        <v>0</v>
      </c>
      <c r="P39" s="80">
        <f t="shared" si="17"/>
        <v>0</v>
      </c>
      <c r="Q39" s="179">
        <f>+O39*1.025</f>
        <v>0</v>
      </c>
      <c r="R39" s="80">
        <f t="shared" si="18"/>
        <v>0</v>
      </c>
      <c r="S39" s="179">
        <f>+Q39*1.025</f>
        <v>0</v>
      </c>
      <c r="T39" s="80">
        <f t="shared" si="19"/>
        <v>0</v>
      </c>
      <c r="U39" s="179">
        <f>+S39*1.025</f>
        <v>0</v>
      </c>
      <c r="V39" s="80">
        <f t="shared" si="20"/>
        <v>0</v>
      </c>
    </row>
    <row r="40" spans="1:22" ht="12.75" customHeight="1">
      <c r="A40" s="2" t="s">
        <v>375</v>
      </c>
      <c r="B40" s="35"/>
      <c r="C40" s="179">
        <f>C36*0.124</f>
        <v>0</v>
      </c>
      <c r="D40" s="80">
        <f t="shared" si="11"/>
        <v>0</v>
      </c>
      <c r="E40" s="113"/>
      <c r="F40" s="80">
        <f t="shared" si="12"/>
        <v>0</v>
      </c>
      <c r="G40" s="113">
        <f>G36*0.124</f>
        <v>0</v>
      </c>
      <c r="H40" s="80">
        <f t="shared" si="13"/>
        <v>0</v>
      </c>
      <c r="I40" s="113">
        <f>I36*0.124</f>
        <v>0</v>
      </c>
      <c r="J40" s="80">
        <f t="shared" si="14"/>
        <v>0</v>
      </c>
      <c r="K40" s="113">
        <f>K36*0.124</f>
        <v>0</v>
      </c>
      <c r="L40" s="80">
        <f t="shared" si="15"/>
        <v>0</v>
      </c>
      <c r="M40" s="113">
        <f>M36*0.124</f>
        <v>0</v>
      </c>
      <c r="N40" s="80">
        <f t="shared" si="16"/>
        <v>0</v>
      </c>
      <c r="O40" s="113">
        <f>O36*0.124</f>
        <v>0</v>
      </c>
      <c r="P40" s="80">
        <f t="shared" si="17"/>
        <v>0</v>
      </c>
      <c r="Q40" s="113">
        <f>Q36*0.124</f>
        <v>0</v>
      </c>
      <c r="R40" s="80">
        <f t="shared" si="18"/>
        <v>0</v>
      </c>
      <c r="S40" s="113">
        <f>S36*0.124</f>
        <v>0</v>
      </c>
      <c r="T40" s="80">
        <f t="shared" si="19"/>
        <v>0</v>
      </c>
      <c r="U40" s="113">
        <f>U36*0.124</f>
        <v>0</v>
      </c>
      <c r="V40" s="80">
        <f t="shared" si="20"/>
        <v>0</v>
      </c>
    </row>
    <row r="41" spans="1:22" ht="12.75" customHeight="1">
      <c r="A41" s="2" t="s">
        <v>376</v>
      </c>
      <c r="B41" s="35"/>
      <c r="C41" s="179">
        <f>C37*0.124</f>
        <v>1595.8799999999999</v>
      </c>
      <c r="D41" s="80">
        <f t="shared" si="11"/>
        <v>2.1278399999999999E-2</v>
      </c>
      <c r="E41" s="113"/>
      <c r="F41" s="80">
        <f t="shared" si="12"/>
        <v>0</v>
      </c>
      <c r="G41" s="113">
        <f>G37*0.124</f>
        <v>0</v>
      </c>
      <c r="H41" s="80">
        <f t="shared" si="13"/>
        <v>0</v>
      </c>
      <c r="I41" s="113">
        <f>I37*0.124</f>
        <v>0</v>
      </c>
      <c r="J41" s="80">
        <f t="shared" si="14"/>
        <v>0</v>
      </c>
      <c r="K41" s="113">
        <f>K37*0.124</f>
        <v>0</v>
      </c>
      <c r="L41" s="80">
        <f t="shared" si="15"/>
        <v>0</v>
      </c>
      <c r="M41" s="113">
        <f>M37*0.124</f>
        <v>0</v>
      </c>
      <c r="N41" s="80">
        <f t="shared" si="16"/>
        <v>0</v>
      </c>
      <c r="O41" s="113">
        <f>O37*0.124</f>
        <v>0</v>
      </c>
      <c r="P41" s="80">
        <f t="shared" si="17"/>
        <v>0</v>
      </c>
      <c r="Q41" s="113">
        <f>Q37*0.124</f>
        <v>0</v>
      </c>
      <c r="R41" s="80">
        <f t="shared" si="18"/>
        <v>0</v>
      </c>
      <c r="S41" s="113">
        <f>S37*0.124</f>
        <v>0</v>
      </c>
      <c r="T41" s="80">
        <f t="shared" si="19"/>
        <v>0</v>
      </c>
      <c r="U41" s="113">
        <f>U37*0.124</f>
        <v>0</v>
      </c>
      <c r="V41" s="80">
        <f t="shared" si="20"/>
        <v>0</v>
      </c>
    </row>
    <row r="42" spans="1:22" ht="12.75" customHeight="1">
      <c r="A42" s="2" t="s">
        <v>377</v>
      </c>
      <c r="B42" s="35"/>
      <c r="C42" s="179"/>
      <c r="D42" s="80">
        <f t="shared" si="11"/>
        <v>0</v>
      </c>
      <c r="E42" s="179"/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79"/>
      <c r="D43" s="80">
        <f t="shared" si="11"/>
        <v>0</v>
      </c>
      <c r="E43" s="179"/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79"/>
      <c r="D44" s="80">
        <f t="shared" si="11"/>
        <v>0</v>
      </c>
      <c r="E44" s="179"/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82">
        <f>SUM(C36:C39)*0.094</f>
        <v>1209.78</v>
      </c>
      <c r="D45" s="80">
        <f t="shared" si="11"/>
        <v>1.61304E-2</v>
      </c>
      <c r="E45" s="114"/>
      <c r="F45" s="80">
        <f t="shared" si="12"/>
        <v>0</v>
      </c>
      <c r="G45" s="114">
        <f>SUM(G36:G39)*0.094</f>
        <v>0</v>
      </c>
      <c r="H45" s="80">
        <f t="shared" si="13"/>
        <v>0</v>
      </c>
      <c r="I45" s="114">
        <f>SUM(I36:I39)*0.094</f>
        <v>0</v>
      </c>
      <c r="J45" s="80">
        <f t="shared" si="14"/>
        <v>0</v>
      </c>
      <c r="K45" s="114">
        <f>SUM(K36:K39)*0.094</f>
        <v>0</v>
      </c>
      <c r="L45" s="80">
        <f t="shared" si="15"/>
        <v>0</v>
      </c>
      <c r="M45" s="114">
        <f>SUM(M36:M39)*0.094</f>
        <v>0</v>
      </c>
      <c r="N45" s="80">
        <f t="shared" si="16"/>
        <v>0</v>
      </c>
      <c r="O45" s="114">
        <f>SUM(O36:O39)*0.094</f>
        <v>0</v>
      </c>
      <c r="P45" s="80">
        <f t="shared" si="17"/>
        <v>0</v>
      </c>
      <c r="Q45" s="114">
        <f>SUM(Q36:Q39)*0.094</f>
        <v>0</v>
      </c>
      <c r="R45" s="80">
        <f t="shared" si="18"/>
        <v>0</v>
      </c>
      <c r="S45" s="114">
        <f>SUM(S36:S39)*0.094</f>
        <v>0</v>
      </c>
      <c r="T45" s="80">
        <f t="shared" si="19"/>
        <v>0</v>
      </c>
      <c r="U45" s="114">
        <f>SUM(U36:U39)*0.094</f>
        <v>0</v>
      </c>
      <c r="V45" s="80">
        <f t="shared" si="20"/>
        <v>0</v>
      </c>
    </row>
    <row r="46" spans="1:22" ht="12.75" customHeight="1">
      <c r="A46" s="1" t="s">
        <v>381</v>
      </c>
      <c r="B46" s="53"/>
      <c r="C46" s="82">
        <f>SUM(C36:C45)</f>
        <v>15675.66</v>
      </c>
      <c r="D46" s="83">
        <f t="shared" si="11"/>
        <v>0.20900879999999999</v>
      </c>
      <c r="E46" s="82">
        <f>SUM(E36:E45)</f>
        <v>0</v>
      </c>
      <c r="F46" s="83">
        <f t="shared" si="12"/>
        <v>0</v>
      </c>
      <c r="G46" s="82">
        <f>SUM(G36:G45)</f>
        <v>0</v>
      </c>
      <c r="H46" s="83">
        <f t="shared" si="13"/>
        <v>0</v>
      </c>
      <c r="I46" s="82">
        <f>SUM(I36:I45)</f>
        <v>0</v>
      </c>
      <c r="J46" s="83">
        <f t="shared" si="14"/>
        <v>0</v>
      </c>
      <c r="K46" s="82">
        <f>SUM(K36:K45)</f>
        <v>0</v>
      </c>
      <c r="L46" s="83">
        <f t="shared" si="15"/>
        <v>0</v>
      </c>
      <c r="M46" s="82">
        <f>SUM(M36:M45)</f>
        <v>0</v>
      </c>
      <c r="N46" s="83">
        <f t="shared" si="16"/>
        <v>0</v>
      </c>
      <c r="O46" s="82">
        <f>SUM(O36:O45)</f>
        <v>0</v>
      </c>
      <c r="P46" s="83">
        <f t="shared" si="17"/>
        <v>0</v>
      </c>
      <c r="Q46" s="82">
        <f>SUM(Q36:Q45)</f>
        <v>0</v>
      </c>
      <c r="R46" s="83">
        <f t="shared" si="18"/>
        <v>0</v>
      </c>
      <c r="S46" s="82">
        <f>SUM(S36:S45)</f>
        <v>0</v>
      </c>
      <c r="T46" s="83">
        <f t="shared" si="19"/>
        <v>0</v>
      </c>
      <c r="U46" s="82">
        <f>SUM(U36:U45)</f>
        <v>0</v>
      </c>
      <c r="V46" s="83">
        <f t="shared" si="20"/>
        <v>0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1">IFERROR(C52/C$28,0)</f>
        <v>0</v>
      </c>
      <c r="E52" s="179">
        <v>0</v>
      </c>
      <c r="F52" s="80">
        <f t="shared" ref="F52:F104" si="22">IFERROR(E52/E$28,0)</f>
        <v>0</v>
      </c>
      <c r="G52" s="179">
        <v>0</v>
      </c>
      <c r="H52" s="80">
        <f t="shared" ref="H52:H104" si="23">IFERROR(G52/G$28,0)</f>
        <v>0</v>
      </c>
      <c r="I52" s="179">
        <v>0</v>
      </c>
      <c r="J52" s="80">
        <f t="shared" ref="J52:J104" si="24">IFERROR(I52/I$28,0)</f>
        <v>0</v>
      </c>
      <c r="K52" s="179">
        <v>0</v>
      </c>
      <c r="L52" s="80">
        <f t="shared" ref="L52:L104" si="25">IFERROR(K52/K$28,0)</f>
        <v>0</v>
      </c>
      <c r="M52" s="179">
        <v>0</v>
      </c>
      <c r="N52" s="80">
        <f t="shared" ref="N52:N104" si="26">IFERROR(M52/M$28,0)</f>
        <v>0</v>
      </c>
      <c r="O52" s="179">
        <v>0</v>
      </c>
      <c r="P52" s="80">
        <f t="shared" ref="P52:P104" si="27">IFERROR(O52/O$28,0)</f>
        <v>0</v>
      </c>
      <c r="Q52" s="179">
        <v>0</v>
      </c>
      <c r="R52" s="80">
        <f t="shared" ref="R52:R104" si="28">IFERROR(Q52/Q$28,0)</f>
        <v>0</v>
      </c>
      <c r="S52" s="179">
        <v>0</v>
      </c>
      <c r="T52" s="80">
        <f t="shared" ref="T52:T104" si="29">IFERROR(S52/S$28,0)</f>
        <v>0</v>
      </c>
      <c r="U52" s="179">
        <v>0</v>
      </c>
      <c r="V52" s="80">
        <f t="shared" ref="V52:V105" si="30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1"/>
        <v>0</v>
      </c>
      <c r="E53" s="179">
        <v>0</v>
      </c>
      <c r="F53" s="80">
        <f t="shared" si="22"/>
        <v>0</v>
      </c>
      <c r="G53" s="179">
        <v>0</v>
      </c>
      <c r="H53" s="80">
        <f t="shared" si="23"/>
        <v>0</v>
      </c>
      <c r="I53" s="179">
        <v>0</v>
      </c>
      <c r="J53" s="80">
        <f t="shared" si="24"/>
        <v>0</v>
      </c>
      <c r="K53" s="179">
        <v>0</v>
      </c>
      <c r="L53" s="80">
        <f t="shared" si="25"/>
        <v>0</v>
      </c>
      <c r="M53" s="179">
        <v>0</v>
      </c>
      <c r="N53" s="80">
        <f t="shared" si="26"/>
        <v>0</v>
      </c>
      <c r="O53" s="179">
        <v>0</v>
      </c>
      <c r="P53" s="80">
        <f t="shared" si="27"/>
        <v>0</v>
      </c>
      <c r="Q53" s="179">
        <v>0</v>
      </c>
      <c r="R53" s="80">
        <f t="shared" si="28"/>
        <v>0</v>
      </c>
      <c r="S53" s="179">
        <v>0</v>
      </c>
      <c r="T53" s="80">
        <f t="shared" si="29"/>
        <v>0</v>
      </c>
      <c r="U53" s="179">
        <v>0</v>
      </c>
      <c r="V53" s="80">
        <f t="shared" si="30"/>
        <v>0</v>
      </c>
      <c r="X53" s="200"/>
    </row>
    <row r="54" spans="1:24" ht="12.75" customHeight="1">
      <c r="A54" s="2" t="s">
        <v>385</v>
      </c>
      <c r="B54" s="35"/>
      <c r="C54" s="179">
        <v>52.5</v>
      </c>
      <c r="D54" s="80">
        <f t="shared" si="21"/>
        <v>6.9999999999999999E-4</v>
      </c>
      <c r="E54" s="179">
        <v>0</v>
      </c>
      <c r="F54" s="80">
        <f t="shared" si="22"/>
        <v>0</v>
      </c>
      <c r="G54" s="179">
        <v>0</v>
      </c>
      <c r="H54" s="80">
        <f t="shared" si="23"/>
        <v>0</v>
      </c>
      <c r="I54" s="179">
        <v>0</v>
      </c>
      <c r="J54" s="80">
        <f t="shared" si="24"/>
        <v>0</v>
      </c>
      <c r="K54" s="179">
        <v>0</v>
      </c>
      <c r="L54" s="80">
        <f t="shared" si="25"/>
        <v>0</v>
      </c>
      <c r="M54" s="179">
        <v>0</v>
      </c>
      <c r="N54" s="80">
        <f t="shared" si="26"/>
        <v>0</v>
      </c>
      <c r="O54" s="179">
        <v>0</v>
      </c>
      <c r="P54" s="80">
        <f t="shared" si="27"/>
        <v>0</v>
      </c>
      <c r="Q54" s="179">
        <v>0</v>
      </c>
      <c r="R54" s="80">
        <f t="shared" si="28"/>
        <v>0</v>
      </c>
      <c r="S54" s="179">
        <v>0</v>
      </c>
      <c r="T54" s="80">
        <f t="shared" si="29"/>
        <v>0</v>
      </c>
      <c r="U54" s="179">
        <v>0</v>
      </c>
      <c r="V54" s="80">
        <f t="shared" si="30"/>
        <v>0</v>
      </c>
      <c r="X54" s="200"/>
    </row>
    <row r="55" spans="1:24" ht="12.75" customHeight="1">
      <c r="A55" s="2" t="s">
        <v>386</v>
      </c>
      <c r="B55" s="35"/>
      <c r="C55" s="179">
        <v>1500</v>
      </c>
      <c r="D55" s="80">
        <f t="shared" si="21"/>
        <v>0.02</v>
      </c>
      <c r="E55" s="179">
        <v>0</v>
      </c>
      <c r="F55" s="80">
        <f t="shared" si="22"/>
        <v>0</v>
      </c>
      <c r="G55" s="179">
        <v>0</v>
      </c>
      <c r="H55" s="80">
        <f t="shared" si="23"/>
        <v>0</v>
      </c>
      <c r="I55" s="179">
        <v>0</v>
      </c>
      <c r="J55" s="80">
        <f t="shared" si="24"/>
        <v>0</v>
      </c>
      <c r="K55" s="179">
        <v>0</v>
      </c>
      <c r="L55" s="80">
        <f t="shared" si="25"/>
        <v>0</v>
      </c>
      <c r="M55" s="179">
        <v>0</v>
      </c>
      <c r="N55" s="80">
        <f t="shared" si="26"/>
        <v>0</v>
      </c>
      <c r="O55" s="179">
        <v>0</v>
      </c>
      <c r="P55" s="80">
        <f t="shared" si="27"/>
        <v>0</v>
      </c>
      <c r="Q55" s="179">
        <v>0</v>
      </c>
      <c r="R55" s="80">
        <f t="shared" si="28"/>
        <v>0</v>
      </c>
      <c r="S55" s="179">
        <v>0</v>
      </c>
      <c r="T55" s="80">
        <f t="shared" si="29"/>
        <v>0</v>
      </c>
      <c r="U55" s="179">
        <v>0</v>
      </c>
      <c r="V55" s="80">
        <f t="shared" si="30"/>
        <v>0</v>
      </c>
      <c r="X55" s="200"/>
    </row>
    <row r="56" spans="1:24" ht="12.75" customHeight="1">
      <c r="A56" s="2" t="s">
        <v>387</v>
      </c>
      <c r="B56" s="35"/>
      <c r="C56" s="179">
        <v>38.25</v>
      </c>
      <c r="D56" s="80">
        <f t="shared" si="21"/>
        <v>5.1000000000000004E-4</v>
      </c>
      <c r="E56" s="179">
        <v>0</v>
      </c>
      <c r="F56" s="80">
        <f t="shared" si="22"/>
        <v>0</v>
      </c>
      <c r="G56" s="179">
        <v>0</v>
      </c>
      <c r="H56" s="80">
        <f t="shared" si="23"/>
        <v>0</v>
      </c>
      <c r="I56" s="179">
        <v>0</v>
      </c>
      <c r="J56" s="80">
        <f t="shared" si="24"/>
        <v>0</v>
      </c>
      <c r="K56" s="179">
        <v>0</v>
      </c>
      <c r="L56" s="80">
        <f t="shared" si="25"/>
        <v>0</v>
      </c>
      <c r="M56" s="179">
        <v>0</v>
      </c>
      <c r="N56" s="80">
        <f t="shared" si="26"/>
        <v>0</v>
      </c>
      <c r="O56" s="179">
        <v>0</v>
      </c>
      <c r="P56" s="80">
        <f t="shared" si="27"/>
        <v>0</v>
      </c>
      <c r="Q56" s="179">
        <v>0</v>
      </c>
      <c r="R56" s="80">
        <f t="shared" si="28"/>
        <v>0</v>
      </c>
      <c r="S56" s="179">
        <v>0</v>
      </c>
      <c r="T56" s="80">
        <f t="shared" si="29"/>
        <v>0</v>
      </c>
      <c r="U56" s="179">
        <v>0</v>
      </c>
      <c r="V56" s="80">
        <f t="shared" si="30"/>
        <v>0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1"/>
        <v>0</v>
      </c>
      <c r="E57" s="179">
        <v>0</v>
      </c>
      <c r="F57" s="80">
        <f t="shared" si="22"/>
        <v>0</v>
      </c>
      <c r="G57" s="179">
        <v>0</v>
      </c>
      <c r="H57" s="80">
        <f t="shared" si="23"/>
        <v>0</v>
      </c>
      <c r="I57" s="179">
        <v>0</v>
      </c>
      <c r="J57" s="80">
        <f t="shared" si="24"/>
        <v>0</v>
      </c>
      <c r="K57" s="179">
        <v>0</v>
      </c>
      <c r="L57" s="80">
        <f t="shared" si="25"/>
        <v>0</v>
      </c>
      <c r="M57" s="179">
        <v>0</v>
      </c>
      <c r="N57" s="80">
        <f t="shared" si="26"/>
        <v>0</v>
      </c>
      <c r="O57" s="179">
        <v>0</v>
      </c>
      <c r="P57" s="80">
        <f t="shared" si="27"/>
        <v>0</v>
      </c>
      <c r="Q57" s="179">
        <v>0</v>
      </c>
      <c r="R57" s="80">
        <f t="shared" si="28"/>
        <v>0</v>
      </c>
      <c r="S57" s="179">
        <v>0</v>
      </c>
      <c r="T57" s="80">
        <f t="shared" si="29"/>
        <v>0</v>
      </c>
      <c r="U57" s="179">
        <v>0</v>
      </c>
      <c r="V57" s="80">
        <f t="shared" si="30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1"/>
        <v>0</v>
      </c>
      <c r="E58" s="179">
        <v>0</v>
      </c>
      <c r="F58" s="80">
        <f t="shared" si="22"/>
        <v>0</v>
      </c>
      <c r="G58" s="179">
        <v>0</v>
      </c>
      <c r="H58" s="80">
        <f t="shared" si="23"/>
        <v>0</v>
      </c>
      <c r="I58" s="179">
        <v>0</v>
      </c>
      <c r="J58" s="80">
        <f t="shared" si="24"/>
        <v>0</v>
      </c>
      <c r="K58" s="179">
        <v>0</v>
      </c>
      <c r="L58" s="80">
        <f t="shared" si="25"/>
        <v>0</v>
      </c>
      <c r="M58" s="179">
        <v>0</v>
      </c>
      <c r="N58" s="80">
        <f t="shared" si="26"/>
        <v>0</v>
      </c>
      <c r="O58" s="179">
        <v>0</v>
      </c>
      <c r="P58" s="80">
        <f t="shared" si="27"/>
        <v>0</v>
      </c>
      <c r="Q58" s="179">
        <v>0</v>
      </c>
      <c r="R58" s="80">
        <f t="shared" si="28"/>
        <v>0</v>
      </c>
      <c r="S58" s="179">
        <v>0</v>
      </c>
      <c r="T58" s="80">
        <f t="shared" si="29"/>
        <v>0</v>
      </c>
      <c r="U58" s="179">
        <v>0</v>
      </c>
      <c r="V58" s="80">
        <f t="shared" si="30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1"/>
        <v>0</v>
      </c>
      <c r="E59" s="179">
        <v>0</v>
      </c>
      <c r="F59" s="80">
        <f t="shared" si="22"/>
        <v>0</v>
      </c>
      <c r="G59" s="179">
        <v>0</v>
      </c>
      <c r="H59" s="80">
        <f t="shared" si="23"/>
        <v>0</v>
      </c>
      <c r="I59" s="179">
        <v>0</v>
      </c>
      <c r="J59" s="80">
        <f t="shared" si="24"/>
        <v>0</v>
      </c>
      <c r="K59" s="179">
        <v>0</v>
      </c>
      <c r="L59" s="80">
        <f t="shared" si="25"/>
        <v>0</v>
      </c>
      <c r="M59" s="179">
        <v>0</v>
      </c>
      <c r="N59" s="80">
        <f t="shared" si="26"/>
        <v>0</v>
      </c>
      <c r="O59" s="179">
        <v>0</v>
      </c>
      <c r="P59" s="80">
        <f t="shared" si="27"/>
        <v>0</v>
      </c>
      <c r="Q59" s="179">
        <v>0</v>
      </c>
      <c r="R59" s="80">
        <f t="shared" si="28"/>
        <v>0</v>
      </c>
      <c r="S59" s="179">
        <v>0</v>
      </c>
      <c r="T59" s="80">
        <f t="shared" si="29"/>
        <v>0</v>
      </c>
      <c r="U59" s="179">
        <v>0</v>
      </c>
      <c r="V59" s="80">
        <f t="shared" si="30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1"/>
        <v>0</v>
      </c>
      <c r="E60" s="179">
        <v>0</v>
      </c>
      <c r="F60" s="80">
        <f t="shared" si="22"/>
        <v>0</v>
      </c>
      <c r="G60" s="179">
        <v>0</v>
      </c>
      <c r="H60" s="80">
        <f t="shared" si="23"/>
        <v>0</v>
      </c>
      <c r="I60" s="179">
        <v>0</v>
      </c>
      <c r="J60" s="80">
        <f t="shared" si="24"/>
        <v>0</v>
      </c>
      <c r="K60" s="179">
        <v>0</v>
      </c>
      <c r="L60" s="80">
        <f t="shared" si="25"/>
        <v>0</v>
      </c>
      <c r="M60" s="179">
        <v>0</v>
      </c>
      <c r="N60" s="80">
        <f t="shared" si="26"/>
        <v>0</v>
      </c>
      <c r="O60" s="179">
        <v>0</v>
      </c>
      <c r="P60" s="80">
        <f t="shared" si="27"/>
        <v>0</v>
      </c>
      <c r="Q60" s="179">
        <v>0</v>
      </c>
      <c r="R60" s="80">
        <f t="shared" si="28"/>
        <v>0</v>
      </c>
      <c r="S60" s="179">
        <v>0</v>
      </c>
      <c r="T60" s="80">
        <f t="shared" si="29"/>
        <v>0</v>
      </c>
      <c r="U60" s="179">
        <v>0</v>
      </c>
      <c r="V60" s="80">
        <f t="shared" si="30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1"/>
        <v>0</v>
      </c>
      <c r="E61" s="179">
        <v>0</v>
      </c>
      <c r="F61" s="80">
        <f t="shared" si="22"/>
        <v>0</v>
      </c>
      <c r="G61" s="179">
        <v>0</v>
      </c>
      <c r="H61" s="80">
        <f t="shared" si="23"/>
        <v>0</v>
      </c>
      <c r="I61" s="179">
        <v>0</v>
      </c>
      <c r="J61" s="80">
        <f t="shared" si="24"/>
        <v>0</v>
      </c>
      <c r="K61" s="179">
        <v>0</v>
      </c>
      <c r="L61" s="80">
        <f t="shared" si="25"/>
        <v>0</v>
      </c>
      <c r="M61" s="179">
        <v>0</v>
      </c>
      <c r="N61" s="80">
        <f t="shared" si="26"/>
        <v>0</v>
      </c>
      <c r="O61" s="179">
        <v>0</v>
      </c>
      <c r="P61" s="80">
        <f t="shared" si="27"/>
        <v>0</v>
      </c>
      <c r="Q61" s="179">
        <v>0</v>
      </c>
      <c r="R61" s="80">
        <f t="shared" si="28"/>
        <v>0</v>
      </c>
      <c r="S61" s="179">
        <v>0</v>
      </c>
      <c r="T61" s="80">
        <f t="shared" si="29"/>
        <v>0</v>
      </c>
      <c r="U61" s="179">
        <v>0</v>
      </c>
      <c r="V61" s="80">
        <f t="shared" si="30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1"/>
        <v>0</v>
      </c>
      <c r="E62" s="179">
        <v>0</v>
      </c>
      <c r="F62" s="80">
        <f t="shared" si="22"/>
        <v>0</v>
      </c>
      <c r="G62" s="179">
        <v>0</v>
      </c>
      <c r="H62" s="80">
        <f t="shared" si="23"/>
        <v>0</v>
      </c>
      <c r="I62" s="179">
        <v>0</v>
      </c>
      <c r="J62" s="80">
        <f t="shared" si="24"/>
        <v>0</v>
      </c>
      <c r="K62" s="179">
        <v>0</v>
      </c>
      <c r="L62" s="80">
        <f t="shared" si="25"/>
        <v>0</v>
      </c>
      <c r="M62" s="179">
        <v>0</v>
      </c>
      <c r="N62" s="80">
        <f t="shared" si="26"/>
        <v>0</v>
      </c>
      <c r="O62" s="179">
        <v>0</v>
      </c>
      <c r="P62" s="80">
        <f t="shared" si="27"/>
        <v>0</v>
      </c>
      <c r="Q62" s="179">
        <v>0</v>
      </c>
      <c r="R62" s="80">
        <f t="shared" si="28"/>
        <v>0</v>
      </c>
      <c r="S62" s="179">
        <v>0</v>
      </c>
      <c r="T62" s="80">
        <f t="shared" si="29"/>
        <v>0</v>
      </c>
      <c r="U62" s="179">
        <v>0</v>
      </c>
      <c r="V62" s="80">
        <f t="shared" si="30"/>
        <v>0</v>
      </c>
      <c r="X62" s="200"/>
    </row>
    <row r="63" spans="1:24" ht="12.75" customHeight="1">
      <c r="A63" s="2" t="s">
        <v>394</v>
      </c>
      <c r="B63" s="35"/>
      <c r="C63" s="179">
        <v>1029.182666187836</v>
      </c>
      <c r="D63" s="80">
        <f t="shared" si="21"/>
        <v>1.3722435549171148E-2</v>
      </c>
      <c r="E63" s="179">
        <v>0</v>
      </c>
      <c r="F63" s="80">
        <f t="shared" si="22"/>
        <v>0</v>
      </c>
      <c r="G63" s="179">
        <v>0</v>
      </c>
      <c r="H63" s="80">
        <f t="shared" si="23"/>
        <v>0</v>
      </c>
      <c r="I63" s="179">
        <v>0</v>
      </c>
      <c r="J63" s="80">
        <f t="shared" si="24"/>
        <v>0</v>
      </c>
      <c r="K63" s="179">
        <v>0</v>
      </c>
      <c r="L63" s="80">
        <f t="shared" si="25"/>
        <v>0</v>
      </c>
      <c r="M63" s="179">
        <v>0</v>
      </c>
      <c r="N63" s="80">
        <f t="shared" si="26"/>
        <v>0</v>
      </c>
      <c r="O63" s="179">
        <v>0</v>
      </c>
      <c r="P63" s="80">
        <f t="shared" si="27"/>
        <v>0</v>
      </c>
      <c r="Q63" s="179">
        <v>0</v>
      </c>
      <c r="R63" s="80">
        <f t="shared" si="28"/>
        <v>0</v>
      </c>
      <c r="S63" s="179">
        <v>0</v>
      </c>
      <c r="T63" s="80">
        <f t="shared" si="29"/>
        <v>0</v>
      </c>
      <c r="U63" s="179">
        <v>0</v>
      </c>
      <c r="V63" s="80">
        <f t="shared" si="30"/>
        <v>0</v>
      </c>
      <c r="X63" s="200"/>
    </row>
    <row r="64" spans="1:24" ht="12.75" customHeight="1">
      <c r="A64" s="2" t="s">
        <v>395</v>
      </c>
      <c r="B64" s="35"/>
      <c r="C64" s="179">
        <v>359.99999999999994</v>
      </c>
      <c r="D64" s="80">
        <f t="shared" si="21"/>
        <v>4.7999999999999996E-3</v>
      </c>
      <c r="E64" s="179">
        <v>0</v>
      </c>
      <c r="F64" s="80">
        <f t="shared" si="22"/>
        <v>0</v>
      </c>
      <c r="G64" s="179">
        <v>0</v>
      </c>
      <c r="H64" s="80">
        <f t="shared" si="23"/>
        <v>0</v>
      </c>
      <c r="I64" s="179">
        <v>0</v>
      </c>
      <c r="J64" s="80">
        <f t="shared" si="24"/>
        <v>0</v>
      </c>
      <c r="K64" s="179">
        <v>0</v>
      </c>
      <c r="L64" s="80">
        <f t="shared" si="25"/>
        <v>0</v>
      </c>
      <c r="M64" s="179">
        <v>0</v>
      </c>
      <c r="N64" s="80">
        <f t="shared" si="26"/>
        <v>0</v>
      </c>
      <c r="O64" s="179">
        <v>0</v>
      </c>
      <c r="P64" s="80">
        <f t="shared" si="27"/>
        <v>0</v>
      </c>
      <c r="Q64" s="179">
        <v>0</v>
      </c>
      <c r="R64" s="80">
        <f t="shared" si="28"/>
        <v>0</v>
      </c>
      <c r="S64" s="179">
        <v>0</v>
      </c>
      <c r="T64" s="80">
        <f t="shared" si="29"/>
        <v>0</v>
      </c>
      <c r="U64" s="179">
        <v>0</v>
      </c>
      <c r="V64" s="80">
        <f t="shared" si="30"/>
        <v>0</v>
      </c>
      <c r="X64" s="200"/>
    </row>
    <row r="65" spans="1:24" ht="12.75" customHeight="1">
      <c r="A65" s="2" t="s">
        <v>396</v>
      </c>
      <c r="B65" s="35"/>
      <c r="C65" s="179">
        <v>37.5</v>
      </c>
      <c r="D65" s="80">
        <f t="shared" si="21"/>
        <v>5.0000000000000001E-4</v>
      </c>
      <c r="E65" s="179">
        <v>0</v>
      </c>
      <c r="F65" s="80">
        <f t="shared" si="22"/>
        <v>0</v>
      </c>
      <c r="G65" s="179">
        <v>0</v>
      </c>
      <c r="H65" s="80">
        <f t="shared" si="23"/>
        <v>0</v>
      </c>
      <c r="I65" s="179">
        <v>0</v>
      </c>
      <c r="J65" s="80">
        <f t="shared" si="24"/>
        <v>0</v>
      </c>
      <c r="K65" s="179">
        <v>0</v>
      </c>
      <c r="L65" s="80">
        <f t="shared" si="25"/>
        <v>0</v>
      </c>
      <c r="M65" s="179">
        <v>0</v>
      </c>
      <c r="N65" s="80">
        <f t="shared" si="26"/>
        <v>0</v>
      </c>
      <c r="O65" s="179">
        <v>0</v>
      </c>
      <c r="P65" s="80">
        <f t="shared" si="27"/>
        <v>0</v>
      </c>
      <c r="Q65" s="179">
        <v>0</v>
      </c>
      <c r="R65" s="80">
        <f t="shared" si="28"/>
        <v>0</v>
      </c>
      <c r="S65" s="179">
        <v>0</v>
      </c>
      <c r="T65" s="80">
        <f t="shared" si="29"/>
        <v>0</v>
      </c>
      <c r="U65" s="179">
        <v>0</v>
      </c>
      <c r="V65" s="80">
        <f t="shared" si="30"/>
        <v>0</v>
      </c>
      <c r="X65" s="200"/>
    </row>
    <row r="66" spans="1:24" ht="12.75" customHeight="1">
      <c r="A66" s="2" t="s">
        <v>397</v>
      </c>
      <c r="B66" s="35"/>
      <c r="C66" s="179">
        <v>210</v>
      </c>
      <c r="D66" s="80">
        <f t="shared" si="21"/>
        <v>2.8E-3</v>
      </c>
      <c r="E66" s="179">
        <v>0</v>
      </c>
      <c r="F66" s="80">
        <f t="shared" si="22"/>
        <v>0</v>
      </c>
      <c r="G66" s="179">
        <v>0</v>
      </c>
      <c r="H66" s="80">
        <f t="shared" si="23"/>
        <v>0</v>
      </c>
      <c r="I66" s="179">
        <v>0</v>
      </c>
      <c r="J66" s="80">
        <f t="shared" si="24"/>
        <v>0</v>
      </c>
      <c r="K66" s="179">
        <v>0</v>
      </c>
      <c r="L66" s="80">
        <f t="shared" si="25"/>
        <v>0</v>
      </c>
      <c r="M66" s="179">
        <v>0</v>
      </c>
      <c r="N66" s="80">
        <f t="shared" si="26"/>
        <v>0</v>
      </c>
      <c r="O66" s="179">
        <v>0</v>
      </c>
      <c r="P66" s="80">
        <f t="shared" si="27"/>
        <v>0</v>
      </c>
      <c r="Q66" s="179">
        <v>0</v>
      </c>
      <c r="R66" s="80">
        <f t="shared" si="28"/>
        <v>0</v>
      </c>
      <c r="S66" s="179">
        <v>0</v>
      </c>
      <c r="T66" s="80">
        <f t="shared" si="29"/>
        <v>0</v>
      </c>
      <c r="U66" s="179">
        <v>0</v>
      </c>
      <c r="V66" s="80">
        <f t="shared" si="30"/>
        <v>0</v>
      </c>
      <c r="X66" s="200"/>
    </row>
    <row r="67" spans="1:24" ht="12.75" customHeight="1">
      <c r="A67" s="2" t="s">
        <v>398</v>
      </c>
      <c r="B67" s="35"/>
      <c r="C67" s="179">
        <v>1124.9999999999998</v>
      </c>
      <c r="D67" s="80">
        <f t="shared" si="21"/>
        <v>1.4999999999999998E-2</v>
      </c>
      <c r="E67" s="179">
        <v>0</v>
      </c>
      <c r="F67" s="80">
        <f t="shared" si="22"/>
        <v>0</v>
      </c>
      <c r="G67" s="179">
        <v>0</v>
      </c>
      <c r="H67" s="80">
        <f t="shared" si="23"/>
        <v>0</v>
      </c>
      <c r="I67" s="179">
        <v>0</v>
      </c>
      <c r="J67" s="80">
        <f t="shared" si="24"/>
        <v>0</v>
      </c>
      <c r="K67" s="179">
        <v>0</v>
      </c>
      <c r="L67" s="80">
        <f t="shared" si="25"/>
        <v>0</v>
      </c>
      <c r="M67" s="179">
        <v>0</v>
      </c>
      <c r="N67" s="80">
        <f t="shared" si="26"/>
        <v>0</v>
      </c>
      <c r="O67" s="179">
        <v>0</v>
      </c>
      <c r="P67" s="80">
        <f t="shared" si="27"/>
        <v>0</v>
      </c>
      <c r="Q67" s="179">
        <v>0</v>
      </c>
      <c r="R67" s="80">
        <f t="shared" si="28"/>
        <v>0</v>
      </c>
      <c r="S67" s="179">
        <v>0</v>
      </c>
      <c r="T67" s="80">
        <f t="shared" si="29"/>
        <v>0</v>
      </c>
      <c r="U67" s="179">
        <v>0</v>
      </c>
      <c r="V67" s="80">
        <f t="shared" si="30"/>
        <v>0</v>
      </c>
      <c r="X67" s="200"/>
    </row>
    <row r="68" spans="1:24" ht="12.75" customHeight="1">
      <c r="A68" s="2" t="s">
        <v>399</v>
      </c>
      <c r="B68" s="35"/>
      <c r="C68" s="179">
        <v>127.49999999999999</v>
      </c>
      <c r="D68" s="80">
        <f t="shared" si="21"/>
        <v>1.6999999999999999E-3</v>
      </c>
      <c r="E68" s="179">
        <v>0</v>
      </c>
      <c r="F68" s="80">
        <f t="shared" si="22"/>
        <v>0</v>
      </c>
      <c r="G68" s="179">
        <v>0</v>
      </c>
      <c r="H68" s="80">
        <f t="shared" si="23"/>
        <v>0</v>
      </c>
      <c r="I68" s="179">
        <v>0</v>
      </c>
      <c r="J68" s="80">
        <f t="shared" si="24"/>
        <v>0</v>
      </c>
      <c r="K68" s="179">
        <v>0</v>
      </c>
      <c r="L68" s="80">
        <f t="shared" si="25"/>
        <v>0</v>
      </c>
      <c r="M68" s="179">
        <v>0</v>
      </c>
      <c r="N68" s="80">
        <f t="shared" si="26"/>
        <v>0</v>
      </c>
      <c r="O68" s="179">
        <v>0</v>
      </c>
      <c r="P68" s="80">
        <f t="shared" si="27"/>
        <v>0</v>
      </c>
      <c r="Q68" s="179">
        <v>0</v>
      </c>
      <c r="R68" s="80">
        <f t="shared" si="28"/>
        <v>0</v>
      </c>
      <c r="S68" s="179">
        <v>0</v>
      </c>
      <c r="T68" s="80">
        <f t="shared" si="29"/>
        <v>0</v>
      </c>
      <c r="U68" s="179">
        <v>0</v>
      </c>
      <c r="V68" s="80">
        <f t="shared" si="30"/>
        <v>0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1"/>
        <v>0</v>
      </c>
      <c r="E69" s="179">
        <v>0</v>
      </c>
      <c r="F69" s="80">
        <f t="shared" si="22"/>
        <v>0</v>
      </c>
      <c r="G69" s="179">
        <v>0</v>
      </c>
      <c r="H69" s="80">
        <f t="shared" si="23"/>
        <v>0</v>
      </c>
      <c r="I69" s="179">
        <v>0</v>
      </c>
      <c r="J69" s="80">
        <f t="shared" si="24"/>
        <v>0</v>
      </c>
      <c r="K69" s="179">
        <v>0</v>
      </c>
      <c r="L69" s="80">
        <f t="shared" si="25"/>
        <v>0</v>
      </c>
      <c r="M69" s="179">
        <v>0</v>
      </c>
      <c r="N69" s="80">
        <f t="shared" si="26"/>
        <v>0</v>
      </c>
      <c r="O69" s="179">
        <v>0</v>
      </c>
      <c r="P69" s="80">
        <f t="shared" si="27"/>
        <v>0</v>
      </c>
      <c r="Q69" s="179">
        <v>0</v>
      </c>
      <c r="R69" s="80">
        <f t="shared" si="28"/>
        <v>0</v>
      </c>
      <c r="S69" s="179">
        <v>0</v>
      </c>
      <c r="T69" s="80">
        <f t="shared" si="29"/>
        <v>0</v>
      </c>
      <c r="U69" s="179">
        <v>0</v>
      </c>
      <c r="V69" s="80">
        <f t="shared" si="30"/>
        <v>0</v>
      </c>
      <c r="X69" s="200"/>
    </row>
    <row r="70" spans="1:24" ht="12.75" customHeight="1">
      <c r="A70" s="2" t="s">
        <v>401</v>
      </c>
      <c r="B70" s="35"/>
      <c r="C70" s="179">
        <v>7.5000000000000009</v>
      </c>
      <c r="D70" s="80">
        <f t="shared" si="21"/>
        <v>1.0000000000000002E-4</v>
      </c>
      <c r="E70" s="179">
        <v>0</v>
      </c>
      <c r="F70" s="80">
        <f t="shared" si="22"/>
        <v>0</v>
      </c>
      <c r="G70" s="179">
        <v>0</v>
      </c>
      <c r="H70" s="80">
        <f t="shared" si="23"/>
        <v>0</v>
      </c>
      <c r="I70" s="179">
        <v>0</v>
      </c>
      <c r="J70" s="80">
        <f t="shared" si="24"/>
        <v>0</v>
      </c>
      <c r="K70" s="179">
        <v>0</v>
      </c>
      <c r="L70" s="80">
        <f t="shared" si="25"/>
        <v>0</v>
      </c>
      <c r="M70" s="179">
        <v>0</v>
      </c>
      <c r="N70" s="80">
        <f t="shared" si="26"/>
        <v>0</v>
      </c>
      <c r="O70" s="179">
        <v>0</v>
      </c>
      <c r="P70" s="80">
        <f t="shared" si="27"/>
        <v>0</v>
      </c>
      <c r="Q70" s="179">
        <v>0</v>
      </c>
      <c r="R70" s="80">
        <f t="shared" si="28"/>
        <v>0</v>
      </c>
      <c r="S70" s="179">
        <v>0</v>
      </c>
      <c r="T70" s="80">
        <f t="shared" si="29"/>
        <v>0</v>
      </c>
      <c r="U70" s="179">
        <v>0</v>
      </c>
      <c r="V70" s="80">
        <f t="shared" si="30"/>
        <v>0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1"/>
        <v>0</v>
      </c>
      <c r="E71" s="179">
        <v>0</v>
      </c>
      <c r="F71" s="80">
        <f t="shared" si="22"/>
        <v>0</v>
      </c>
      <c r="G71" s="179">
        <v>0</v>
      </c>
      <c r="H71" s="80">
        <f t="shared" si="23"/>
        <v>0</v>
      </c>
      <c r="I71" s="179">
        <v>0</v>
      </c>
      <c r="J71" s="80">
        <f t="shared" si="24"/>
        <v>0</v>
      </c>
      <c r="K71" s="179">
        <v>0</v>
      </c>
      <c r="L71" s="80">
        <f t="shared" si="25"/>
        <v>0</v>
      </c>
      <c r="M71" s="179">
        <v>0</v>
      </c>
      <c r="N71" s="80">
        <f t="shared" si="26"/>
        <v>0</v>
      </c>
      <c r="O71" s="179">
        <v>0</v>
      </c>
      <c r="P71" s="80">
        <f t="shared" si="27"/>
        <v>0</v>
      </c>
      <c r="Q71" s="179">
        <v>0</v>
      </c>
      <c r="R71" s="80">
        <f t="shared" si="28"/>
        <v>0</v>
      </c>
      <c r="S71" s="179">
        <v>0</v>
      </c>
      <c r="T71" s="80">
        <f t="shared" si="29"/>
        <v>0</v>
      </c>
      <c r="U71" s="179">
        <v>0</v>
      </c>
      <c r="V71" s="80">
        <f t="shared" si="30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1"/>
        <v>0</v>
      </c>
      <c r="E72" s="179">
        <v>0</v>
      </c>
      <c r="F72" s="80">
        <f t="shared" si="22"/>
        <v>0</v>
      </c>
      <c r="G72" s="179">
        <v>0</v>
      </c>
      <c r="H72" s="80">
        <f t="shared" si="23"/>
        <v>0</v>
      </c>
      <c r="I72" s="179">
        <v>0</v>
      </c>
      <c r="J72" s="80">
        <f t="shared" si="24"/>
        <v>0</v>
      </c>
      <c r="K72" s="179">
        <v>0</v>
      </c>
      <c r="L72" s="80">
        <f t="shared" si="25"/>
        <v>0</v>
      </c>
      <c r="M72" s="179">
        <v>0</v>
      </c>
      <c r="N72" s="80">
        <f t="shared" si="26"/>
        <v>0</v>
      </c>
      <c r="O72" s="179">
        <v>0</v>
      </c>
      <c r="P72" s="80">
        <f t="shared" si="27"/>
        <v>0</v>
      </c>
      <c r="Q72" s="179">
        <v>0</v>
      </c>
      <c r="R72" s="80">
        <f t="shared" si="28"/>
        <v>0</v>
      </c>
      <c r="S72" s="179">
        <v>0</v>
      </c>
      <c r="T72" s="80">
        <f t="shared" si="29"/>
        <v>0</v>
      </c>
      <c r="U72" s="179">
        <v>0</v>
      </c>
      <c r="V72" s="80">
        <f t="shared" si="30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1"/>
        <v>0</v>
      </c>
      <c r="E73" s="179">
        <v>0</v>
      </c>
      <c r="F73" s="80">
        <f t="shared" si="22"/>
        <v>0</v>
      </c>
      <c r="G73" s="179">
        <v>0</v>
      </c>
      <c r="H73" s="80">
        <f t="shared" si="23"/>
        <v>0</v>
      </c>
      <c r="I73" s="179">
        <v>0</v>
      </c>
      <c r="J73" s="80">
        <f t="shared" si="24"/>
        <v>0</v>
      </c>
      <c r="K73" s="179">
        <v>0</v>
      </c>
      <c r="L73" s="80">
        <f t="shared" si="25"/>
        <v>0</v>
      </c>
      <c r="M73" s="179">
        <v>0</v>
      </c>
      <c r="N73" s="80">
        <f t="shared" si="26"/>
        <v>0</v>
      </c>
      <c r="O73" s="179">
        <v>0</v>
      </c>
      <c r="P73" s="80">
        <f t="shared" si="27"/>
        <v>0</v>
      </c>
      <c r="Q73" s="179">
        <v>0</v>
      </c>
      <c r="R73" s="80">
        <f t="shared" si="28"/>
        <v>0</v>
      </c>
      <c r="S73" s="179">
        <v>0</v>
      </c>
      <c r="T73" s="80">
        <f t="shared" si="29"/>
        <v>0</v>
      </c>
      <c r="U73" s="179">
        <v>0</v>
      </c>
      <c r="V73" s="80">
        <f t="shared" si="30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1"/>
        <v>0</v>
      </c>
      <c r="E74" s="179">
        <v>0</v>
      </c>
      <c r="F74" s="80">
        <f t="shared" si="22"/>
        <v>0</v>
      </c>
      <c r="G74" s="179">
        <v>0</v>
      </c>
      <c r="H74" s="80">
        <f t="shared" si="23"/>
        <v>0</v>
      </c>
      <c r="I74" s="179">
        <v>0</v>
      </c>
      <c r="J74" s="80">
        <f t="shared" si="24"/>
        <v>0</v>
      </c>
      <c r="K74" s="179">
        <v>0</v>
      </c>
      <c r="L74" s="80">
        <f t="shared" si="25"/>
        <v>0</v>
      </c>
      <c r="M74" s="179">
        <v>0</v>
      </c>
      <c r="N74" s="80">
        <f t="shared" si="26"/>
        <v>0</v>
      </c>
      <c r="O74" s="179">
        <v>0</v>
      </c>
      <c r="P74" s="80">
        <f t="shared" si="27"/>
        <v>0</v>
      </c>
      <c r="Q74" s="179">
        <v>0</v>
      </c>
      <c r="R74" s="80">
        <f t="shared" si="28"/>
        <v>0</v>
      </c>
      <c r="S74" s="179">
        <v>0</v>
      </c>
      <c r="T74" s="80">
        <f t="shared" si="29"/>
        <v>0</v>
      </c>
      <c r="U74" s="179">
        <v>0</v>
      </c>
      <c r="V74" s="80">
        <f t="shared" si="30"/>
        <v>0</v>
      </c>
      <c r="X74" s="200"/>
    </row>
    <row r="75" spans="1:24" ht="12.75" customHeight="1">
      <c r="A75" s="2" t="s">
        <v>406</v>
      </c>
      <c r="B75" s="35"/>
      <c r="C75" s="179">
        <v>375</v>
      </c>
      <c r="D75" s="80">
        <f t="shared" si="21"/>
        <v>5.0000000000000001E-3</v>
      </c>
      <c r="E75" s="179">
        <v>0</v>
      </c>
      <c r="F75" s="80">
        <f t="shared" si="22"/>
        <v>0</v>
      </c>
      <c r="G75" s="179">
        <v>0</v>
      </c>
      <c r="H75" s="80">
        <f t="shared" si="23"/>
        <v>0</v>
      </c>
      <c r="I75" s="179">
        <v>0</v>
      </c>
      <c r="J75" s="80">
        <f t="shared" si="24"/>
        <v>0</v>
      </c>
      <c r="K75" s="179">
        <v>0</v>
      </c>
      <c r="L75" s="80">
        <f t="shared" si="25"/>
        <v>0</v>
      </c>
      <c r="M75" s="179">
        <v>0</v>
      </c>
      <c r="N75" s="80">
        <f t="shared" si="26"/>
        <v>0</v>
      </c>
      <c r="O75" s="179">
        <v>0</v>
      </c>
      <c r="P75" s="80">
        <f t="shared" si="27"/>
        <v>0</v>
      </c>
      <c r="Q75" s="179">
        <v>0</v>
      </c>
      <c r="R75" s="80">
        <f t="shared" si="28"/>
        <v>0</v>
      </c>
      <c r="S75" s="179">
        <v>0</v>
      </c>
      <c r="T75" s="80">
        <f t="shared" si="29"/>
        <v>0</v>
      </c>
      <c r="U75" s="179">
        <v>0</v>
      </c>
      <c r="V75" s="80">
        <f t="shared" si="30"/>
        <v>0</v>
      </c>
      <c r="X75" s="200"/>
    </row>
    <row r="76" spans="1:24" ht="12.75" customHeight="1">
      <c r="A76" s="2" t="s">
        <v>407</v>
      </c>
      <c r="B76" s="35"/>
      <c r="C76" s="179">
        <v>30.000000000000004</v>
      </c>
      <c r="D76" s="80">
        <f t="shared" si="21"/>
        <v>4.0000000000000007E-4</v>
      </c>
      <c r="E76" s="179">
        <v>0</v>
      </c>
      <c r="F76" s="80">
        <f t="shared" si="22"/>
        <v>0</v>
      </c>
      <c r="G76" s="179">
        <v>0</v>
      </c>
      <c r="H76" s="80">
        <f t="shared" si="23"/>
        <v>0</v>
      </c>
      <c r="I76" s="179">
        <v>0</v>
      </c>
      <c r="J76" s="80">
        <f t="shared" si="24"/>
        <v>0</v>
      </c>
      <c r="K76" s="179">
        <v>0</v>
      </c>
      <c r="L76" s="80">
        <f t="shared" si="25"/>
        <v>0</v>
      </c>
      <c r="M76" s="179">
        <v>0</v>
      </c>
      <c r="N76" s="80">
        <f t="shared" si="26"/>
        <v>0</v>
      </c>
      <c r="O76" s="179">
        <v>0</v>
      </c>
      <c r="P76" s="80">
        <f t="shared" si="27"/>
        <v>0</v>
      </c>
      <c r="Q76" s="179">
        <v>0</v>
      </c>
      <c r="R76" s="80">
        <f t="shared" si="28"/>
        <v>0</v>
      </c>
      <c r="S76" s="179">
        <v>0</v>
      </c>
      <c r="T76" s="80">
        <f t="shared" si="29"/>
        <v>0</v>
      </c>
      <c r="U76" s="179">
        <v>0</v>
      </c>
      <c r="V76" s="80">
        <f t="shared" si="30"/>
        <v>0</v>
      </c>
      <c r="X76" s="200"/>
    </row>
    <row r="77" spans="1:24" ht="12.75" customHeight="1">
      <c r="A77" s="2" t="s">
        <v>408</v>
      </c>
      <c r="B77" s="35"/>
      <c r="C77" s="179">
        <v>97.499999999999986</v>
      </c>
      <c r="D77" s="80">
        <f t="shared" si="21"/>
        <v>1.2999999999999997E-3</v>
      </c>
      <c r="E77" s="179">
        <v>0</v>
      </c>
      <c r="F77" s="80">
        <f t="shared" si="22"/>
        <v>0</v>
      </c>
      <c r="G77" s="179">
        <v>0</v>
      </c>
      <c r="H77" s="80">
        <f t="shared" si="23"/>
        <v>0</v>
      </c>
      <c r="I77" s="179">
        <v>0</v>
      </c>
      <c r="J77" s="80">
        <f t="shared" si="24"/>
        <v>0</v>
      </c>
      <c r="K77" s="179">
        <v>0</v>
      </c>
      <c r="L77" s="80">
        <f t="shared" si="25"/>
        <v>0</v>
      </c>
      <c r="M77" s="179">
        <v>0</v>
      </c>
      <c r="N77" s="80">
        <f t="shared" si="26"/>
        <v>0</v>
      </c>
      <c r="O77" s="179">
        <v>0</v>
      </c>
      <c r="P77" s="80">
        <f t="shared" si="27"/>
        <v>0</v>
      </c>
      <c r="Q77" s="179">
        <v>0</v>
      </c>
      <c r="R77" s="80">
        <f t="shared" si="28"/>
        <v>0</v>
      </c>
      <c r="S77" s="179">
        <v>0</v>
      </c>
      <c r="T77" s="80">
        <f t="shared" si="29"/>
        <v>0</v>
      </c>
      <c r="U77" s="179">
        <v>0</v>
      </c>
      <c r="V77" s="80">
        <f t="shared" si="30"/>
        <v>0</v>
      </c>
      <c r="X77" s="200"/>
    </row>
    <row r="78" spans="1:24" ht="12.75" customHeight="1">
      <c r="A78" s="2" t="s">
        <v>409</v>
      </c>
      <c r="B78" s="35"/>
      <c r="C78" s="179">
        <v>1649.9999999999998</v>
      </c>
      <c r="D78" s="80">
        <f t="shared" si="21"/>
        <v>2.1999999999999995E-2</v>
      </c>
      <c r="E78" s="179">
        <v>0</v>
      </c>
      <c r="F78" s="80">
        <f t="shared" si="22"/>
        <v>0</v>
      </c>
      <c r="G78" s="179">
        <v>0</v>
      </c>
      <c r="H78" s="80">
        <f t="shared" si="23"/>
        <v>0</v>
      </c>
      <c r="I78" s="179">
        <v>0</v>
      </c>
      <c r="J78" s="80">
        <f t="shared" si="24"/>
        <v>0</v>
      </c>
      <c r="K78" s="179">
        <v>0</v>
      </c>
      <c r="L78" s="80">
        <f t="shared" si="25"/>
        <v>0</v>
      </c>
      <c r="M78" s="179">
        <v>0</v>
      </c>
      <c r="N78" s="80">
        <f t="shared" si="26"/>
        <v>0</v>
      </c>
      <c r="O78" s="179">
        <v>0</v>
      </c>
      <c r="P78" s="80">
        <f t="shared" si="27"/>
        <v>0</v>
      </c>
      <c r="Q78" s="179">
        <v>0</v>
      </c>
      <c r="R78" s="80">
        <f t="shared" si="28"/>
        <v>0</v>
      </c>
      <c r="S78" s="179">
        <v>0</v>
      </c>
      <c r="T78" s="80">
        <f t="shared" si="29"/>
        <v>0</v>
      </c>
      <c r="U78" s="179">
        <v>0</v>
      </c>
      <c r="V78" s="80">
        <f t="shared" si="30"/>
        <v>0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1"/>
        <v>0</v>
      </c>
      <c r="E79" s="179">
        <v>0</v>
      </c>
      <c r="F79" s="80">
        <f t="shared" si="22"/>
        <v>0</v>
      </c>
      <c r="G79" s="179">
        <v>0</v>
      </c>
      <c r="H79" s="80">
        <f t="shared" si="23"/>
        <v>0</v>
      </c>
      <c r="I79" s="179">
        <v>0</v>
      </c>
      <c r="J79" s="80">
        <f t="shared" si="24"/>
        <v>0</v>
      </c>
      <c r="K79" s="179">
        <v>0</v>
      </c>
      <c r="L79" s="80">
        <f t="shared" si="25"/>
        <v>0</v>
      </c>
      <c r="M79" s="179">
        <v>0</v>
      </c>
      <c r="N79" s="80">
        <f t="shared" si="26"/>
        <v>0</v>
      </c>
      <c r="O79" s="179">
        <v>0</v>
      </c>
      <c r="P79" s="80">
        <f t="shared" si="27"/>
        <v>0</v>
      </c>
      <c r="Q79" s="179">
        <v>0</v>
      </c>
      <c r="R79" s="80">
        <f t="shared" si="28"/>
        <v>0</v>
      </c>
      <c r="S79" s="179">
        <v>0</v>
      </c>
      <c r="T79" s="80">
        <f t="shared" si="29"/>
        <v>0</v>
      </c>
      <c r="U79" s="179">
        <v>0</v>
      </c>
      <c r="V79" s="80">
        <f t="shared" si="30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1"/>
        <v>0</v>
      </c>
      <c r="E80" s="179">
        <v>0</v>
      </c>
      <c r="F80" s="80">
        <f t="shared" si="22"/>
        <v>0</v>
      </c>
      <c r="G80" s="179">
        <v>0</v>
      </c>
      <c r="H80" s="80">
        <f t="shared" si="23"/>
        <v>0</v>
      </c>
      <c r="I80" s="179">
        <v>0</v>
      </c>
      <c r="J80" s="80">
        <f t="shared" si="24"/>
        <v>0</v>
      </c>
      <c r="K80" s="179">
        <v>0</v>
      </c>
      <c r="L80" s="80">
        <f t="shared" si="25"/>
        <v>0</v>
      </c>
      <c r="M80" s="179">
        <v>0</v>
      </c>
      <c r="N80" s="80">
        <f t="shared" si="26"/>
        <v>0</v>
      </c>
      <c r="O80" s="179">
        <v>0</v>
      </c>
      <c r="P80" s="80">
        <f t="shared" si="27"/>
        <v>0</v>
      </c>
      <c r="Q80" s="179">
        <v>0</v>
      </c>
      <c r="R80" s="80">
        <f t="shared" si="28"/>
        <v>0</v>
      </c>
      <c r="S80" s="179">
        <v>0</v>
      </c>
      <c r="T80" s="80">
        <f t="shared" si="29"/>
        <v>0</v>
      </c>
      <c r="U80" s="179">
        <v>0</v>
      </c>
      <c r="V80" s="80">
        <f t="shared" si="30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1"/>
        <v>0</v>
      </c>
      <c r="E81" s="179">
        <v>0</v>
      </c>
      <c r="F81" s="80">
        <f t="shared" si="22"/>
        <v>0</v>
      </c>
      <c r="G81" s="179">
        <v>0</v>
      </c>
      <c r="H81" s="80">
        <f t="shared" si="23"/>
        <v>0</v>
      </c>
      <c r="I81" s="179">
        <v>0</v>
      </c>
      <c r="J81" s="80">
        <f t="shared" si="24"/>
        <v>0</v>
      </c>
      <c r="K81" s="179">
        <v>0</v>
      </c>
      <c r="L81" s="80">
        <f t="shared" si="25"/>
        <v>0</v>
      </c>
      <c r="M81" s="179">
        <v>0</v>
      </c>
      <c r="N81" s="80">
        <f t="shared" si="26"/>
        <v>0</v>
      </c>
      <c r="O81" s="179">
        <v>0</v>
      </c>
      <c r="P81" s="80">
        <f t="shared" si="27"/>
        <v>0</v>
      </c>
      <c r="Q81" s="179">
        <v>0</v>
      </c>
      <c r="R81" s="80">
        <f t="shared" si="28"/>
        <v>0</v>
      </c>
      <c r="S81" s="179">
        <v>0</v>
      </c>
      <c r="T81" s="80">
        <f t="shared" si="29"/>
        <v>0</v>
      </c>
      <c r="U81" s="179">
        <v>0</v>
      </c>
      <c r="V81" s="80">
        <f t="shared" si="30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1"/>
        <v>0</v>
      </c>
      <c r="E82" s="179">
        <v>0</v>
      </c>
      <c r="F82" s="80">
        <f t="shared" si="22"/>
        <v>0</v>
      </c>
      <c r="G82" s="179">
        <v>0</v>
      </c>
      <c r="H82" s="80">
        <f t="shared" si="23"/>
        <v>0</v>
      </c>
      <c r="I82" s="179">
        <v>0</v>
      </c>
      <c r="J82" s="80">
        <f t="shared" si="24"/>
        <v>0</v>
      </c>
      <c r="K82" s="179">
        <v>0</v>
      </c>
      <c r="L82" s="80">
        <f t="shared" si="25"/>
        <v>0</v>
      </c>
      <c r="M82" s="179">
        <v>0</v>
      </c>
      <c r="N82" s="80">
        <f t="shared" si="26"/>
        <v>0</v>
      </c>
      <c r="O82" s="179">
        <v>0</v>
      </c>
      <c r="P82" s="80">
        <f t="shared" si="27"/>
        <v>0</v>
      </c>
      <c r="Q82" s="179">
        <v>0</v>
      </c>
      <c r="R82" s="80">
        <f t="shared" si="28"/>
        <v>0</v>
      </c>
      <c r="S82" s="179">
        <v>0</v>
      </c>
      <c r="T82" s="80">
        <f t="shared" si="29"/>
        <v>0</v>
      </c>
      <c r="U82" s="179">
        <v>0</v>
      </c>
      <c r="V82" s="80">
        <f t="shared" si="30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1"/>
        <v>0</v>
      </c>
      <c r="E83" s="179">
        <v>0</v>
      </c>
      <c r="F83" s="80">
        <f t="shared" si="22"/>
        <v>0</v>
      </c>
      <c r="G83" s="179">
        <v>0</v>
      </c>
      <c r="H83" s="80">
        <f t="shared" si="23"/>
        <v>0</v>
      </c>
      <c r="I83" s="179">
        <v>0</v>
      </c>
      <c r="J83" s="80">
        <f t="shared" si="24"/>
        <v>0</v>
      </c>
      <c r="K83" s="179">
        <v>0</v>
      </c>
      <c r="L83" s="80">
        <f t="shared" si="25"/>
        <v>0</v>
      </c>
      <c r="M83" s="179">
        <v>0</v>
      </c>
      <c r="N83" s="80">
        <f t="shared" si="26"/>
        <v>0</v>
      </c>
      <c r="O83" s="179">
        <v>0</v>
      </c>
      <c r="P83" s="80">
        <f t="shared" si="27"/>
        <v>0</v>
      </c>
      <c r="Q83" s="179">
        <v>0</v>
      </c>
      <c r="R83" s="80">
        <f t="shared" si="28"/>
        <v>0</v>
      </c>
      <c r="S83" s="179">
        <v>0</v>
      </c>
      <c r="T83" s="80">
        <f t="shared" si="29"/>
        <v>0</v>
      </c>
      <c r="U83" s="179">
        <v>0</v>
      </c>
      <c r="V83" s="80">
        <f t="shared" si="30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1"/>
        <v>0</v>
      </c>
      <c r="E84" s="179">
        <v>0</v>
      </c>
      <c r="F84" s="80">
        <f t="shared" si="22"/>
        <v>0</v>
      </c>
      <c r="G84" s="179">
        <v>0</v>
      </c>
      <c r="H84" s="80">
        <f t="shared" si="23"/>
        <v>0</v>
      </c>
      <c r="I84" s="179">
        <v>0</v>
      </c>
      <c r="J84" s="80">
        <f t="shared" si="24"/>
        <v>0</v>
      </c>
      <c r="K84" s="179">
        <v>0</v>
      </c>
      <c r="L84" s="80">
        <f t="shared" si="25"/>
        <v>0</v>
      </c>
      <c r="M84" s="179">
        <v>0</v>
      </c>
      <c r="N84" s="80">
        <f t="shared" si="26"/>
        <v>0</v>
      </c>
      <c r="O84" s="179">
        <v>0</v>
      </c>
      <c r="P84" s="80">
        <f t="shared" si="27"/>
        <v>0</v>
      </c>
      <c r="Q84" s="179">
        <v>0</v>
      </c>
      <c r="R84" s="80">
        <f t="shared" si="28"/>
        <v>0</v>
      </c>
      <c r="S84" s="179">
        <v>0</v>
      </c>
      <c r="T84" s="80">
        <f t="shared" si="29"/>
        <v>0</v>
      </c>
      <c r="U84" s="179">
        <v>0</v>
      </c>
      <c r="V84" s="80">
        <f t="shared" si="30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1"/>
        <v>0</v>
      </c>
      <c r="E85" s="179">
        <v>0</v>
      </c>
      <c r="F85" s="80">
        <f t="shared" si="22"/>
        <v>0</v>
      </c>
      <c r="G85" s="179">
        <v>0</v>
      </c>
      <c r="H85" s="80">
        <f t="shared" si="23"/>
        <v>0</v>
      </c>
      <c r="I85" s="179">
        <v>0</v>
      </c>
      <c r="J85" s="80">
        <f t="shared" si="24"/>
        <v>0</v>
      </c>
      <c r="K85" s="179">
        <v>0</v>
      </c>
      <c r="L85" s="80">
        <f t="shared" si="25"/>
        <v>0</v>
      </c>
      <c r="M85" s="179">
        <v>0</v>
      </c>
      <c r="N85" s="80">
        <f t="shared" si="26"/>
        <v>0</v>
      </c>
      <c r="O85" s="179">
        <v>0</v>
      </c>
      <c r="P85" s="80">
        <f t="shared" si="27"/>
        <v>0</v>
      </c>
      <c r="Q85" s="179">
        <v>0</v>
      </c>
      <c r="R85" s="80">
        <f t="shared" si="28"/>
        <v>0</v>
      </c>
      <c r="S85" s="179">
        <v>0</v>
      </c>
      <c r="T85" s="80">
        <f t="shared" si="29"/>
        <v>0</v>
      </c>
      <c r="U85" s="179">
        <v>0</v>
      </c>
      <c r="V85" s="80">
        <f t="shared" si="30"/>
        <v>0</v>
      </c>
      <c r="X85" s="200"/>
    </row>
    <row r="86" spans="1:24" ht="12.75" customHeight="1">
      <c r="A86" s="2" t="s">
        <v>417</v>
      </c>
      <c r="B86" s="35"/>
      <c r="C86" s="179">
        <v>300</v>
      </c>
      <c r="D86" s="80">
        <f t="shared" si="21"/>
        <v>4.0000000000000001E-3</v>
      </c>
      <c r="E86" s="179">
        <v>0</v>
      </c>
      <c r="F86" s="80">
        <f t="shared" si="22"/>
        <v>0</v>
      </c>
      <c r="G86" s="179">
        <v>0</v>
      </c>
      <c r="H86" s="80">
        <f t="shared" si="23"/>
        <v>0</v>
      </c>
      <c r="I86" s="179">
        <v>0</v>
      </c>
      <c r="J86" s="80">
        <f t="shared" si="24"/>
        <v>0</v>
      </c>
      <c r="K86" s="179">
        <v>0</v>
      </c>
      <c r="L86" s="80">
        <f t="shared" si="25"/>
        <v>0</v>
      </c>
      <c r="M86" s="179">
        <v>0</v>
      </c>
      <c r="N86" s="80">
        <f t="shared" si="26"/>
        <v>0</v>
      </c>
      <c r="O86" s="179">
        <v>0</v>
      </c>
      <c r="P86" s="80">
        <f t="shared" si="27"/>
        <v>0</v>
      </c>
      <c r="Q86" s="179">
        <v>0</v>
      </c>
      <c r="R86" s="80">
        <f t="shared" si="28"/>
        <v>0</v>
      </c>
      <c r="S86" s="179">
        <v>0</v>
      </c>
      <c r="T86" s="80">
        <f t="shared" si="29"/>
        <v>0</v>
      </c>
      <c r="U86" s="179">
        <v>0</v>
      </c>
      <c r="V86" s="80">
        <f t="shared" si="30"/>
        <v>0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1"/>
        <v>0</v>
      </c>
      <c r="E87" s="179">
        <v>0</v>
      </c>
      <c r="F87" s="80">
        <f t="shared" si="22"/>
        <v>0</v>
      </c>
      <c r="G87" s="179">
        <v>0</v>
      </c>
      <c r="H87" s="80">
        <f t="shared" si="23"/>
        <v>0</v>
      </c>
      <c r="I87" s="179">
        <v>0</v>
      </c>
      <c r="J87" s="80">
        <f t="shared" si="24"/>
        <v>0</v>
      </c>
      <c r="K87" s="179">
        <v>0</v>
      </c>
      <c r="L87" s="80">
        <f t="shared" si="25"/>
        <v>0</v>
      </c>
      <c r="M87" s="179">
        <v>0</v>
      </c>
      <c r="N87" s="80">
        <f t="shared" si="26"/>
        <v>0</v>
      </c>
      <c r="O87" s="179">
        <v>0</v>
      </c>
      <c r="P87" s="80">
        <f t="shared" si="27"/>
        <v>0</v>
      </c>
      <c r="Q87" s="179">
        <v>0</v>
      </c>
      <c r="R87" s="80">
        <f t="shared" si="28"/>
        <v>0</v>
      </c>
      <c r="S87" s="179">
        <v>0</v>
      </c>
      <c r="T87" s="80">
        <f t="shared" si="29"/>
        <v>0</v>
      </c>
      <c r="U87" s="179">
        <v>0</v>
      </c>
      <c r="V87" s="80">
        <f t="shared" si="30"/>
        <v>0</v>
      </c>
      <c r="X87" s="200"/>
    </row>
    <row r="88" spans="1:24" ht="12.75" customHeight="1">
      <c r="A88" s="2" t="s">
        <v>419</v>
      </c>
      <c r="B88" s="35"/>
      <c r="C88" s="179">
        <v>382.5</v>
      </c>
      <c r="D88" s="80">
        <f t="shared" si="21"/>
        <v>5.1000000000000004E-3</v>
      </c>
      <c r="E88" s="179">
        <v>0</v>
      </c>
      <c r="F88" s="80">
        <f t="shared" si="22"/>
        <v>0</v>
      </c>
      <c r="G88" s="179">
        <v>0</v>
      </c>
      <c r="H88" s="80">
        <f t="shared" si="23"/>
        <v>0</v>
      </c>
      <c r="I88" s="179">
        <v>0</v>
      </c>
      <c r="J88" s="80">
        <f t="shared" si="24"/>
        <v>0</v>
      </c>
      <c r="K88" s="179">
        <v>0</v>
      </c>
      <c r="L88" s="80">
        <f t="shared" si="25"/>
        <v>0</v>
      </c>
      <c r="M88" s="179">
        <v>0</v>
      </c>
      <c r="N88" s="80">
        <f t="shared" si="26"/>
        <v>0</v>
      </c>
      <c r="O88" s="179">
        <v>0</v>
      </c>
      <c r="P88" s="80">
        <f t="shared" si="27"/>
        <v>0</v>
      </c>
      <c r="Q88" s="179">
        <v>0</v>
      </c>
      <c r="R88" s="80">
        <f t="shared" si="28"/>
        <v>0</v>
      </c>
      <c r="S88" s="179">
        <v>0</v>
      </c>
      <c r="T88" s="80">
        <f t="shared" si="29"/>
        <v>0</v>
      </c>
      <c r="U88" s="179">
        <v>0</v>
      </c>
      <c r="V88" s="80">
        <f t="shared" si="30"/>
        <v>0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1"/>
        <v>0</v>
      </c>
      <c r="E89" s="179">
        <v>0</v>
      </c>
      <c r="F89" s="80">
        <f t="shared" si="22"/>
        <v>0</v>
      </c>
      <c r="G89" s="179">
        <v>0</v>
      </c>
      <c r="H89" s="80">
        <f t="shared" si="23"/>
        <v>0</v>
      </c>
      <c r="I89" s="179">
        <v>0</v>
      </c>
      <c r="J89" s="80">
        <f t="shared" si="24"/>
        <v>0</v>
      </c>
      <c r="K89" s="179">
        <v>0</v>
      </c>
      <c r="L89" s="80">
        <f t="shared" si="25"/>
        <v>0</v>
      </c>
      <c r="M89" s="179">
        <v>0</v>
      </c>
      <c r="N89" s="80">
        <f t="shared" si="26"/>
        <v>0</v>
      </c>
      <c r="O89" s="179">
        <v>0</v>
      </c>
      <c r="P89" s="80">
        <f t="shared" si="27"/>
        <v>0</v>
      </c>
      <c r="Q89" s="179">
        <v>0</v>
      </c>
      <c r="R89" s="80">
        <f t="shared" si="28"/>
        <v>0</v>
      </c>
      <c r="S89" s="179">
        <v>0</v>
      </c>
      <c r="T89" s="80">
        <f t="shared" si="29"/>
        <v>0</v>
      </c>
      <c r="U89" s="179">
        <v>0</v>
      </c>
      <c r="V89" s="80">
        <f t="shared" si="30"/>
        <v>0</v>
      </c>
      <c r="X89" s="200"/>
    </row>
    <row r="90" spans="1:24" ht="12.75" customHeight="1">
      <c r="A90" s="2" t="s">
        <v>421</v>
      </c>
      <c r="B90" s="35"/>
      <c r="C90" s="179">
        <v>15.000000000000002</v>
      </c>
      <c r="D90" s="80">
        <f t="shared" si="21"/>
        <v>2.0000000000000004E-4</v>
      </c>
      <c r="E90" s="179">
        <v>0</v>
      </c>
      <c r="F90" s="80">
        <f t="shared" si="22"/>
        <v>0</v>
      </c>
      <c r="G90" s="179">
        <v>0</v>
      </c>
      <c r="H90" s="80">
        <f t="shared" si="23"/>
        <v>0</v>
      </c>
      <c r="I90" s="179">
        <v>0</v>
      </c>
      <c r="J90" s="80">
        <f t="shared" si="24"/>
        <v>0</v>
      </c>
      <c r="K90" s="179">
        <v>0</v>
      </c>
      <c r="L90" s="80">
        <f t="shared" si="25"/>
        <v>0</v>
      </c>
      <c r="M90" s="179">
        <v>0</v>
      </c>
      <c r="N90" s="80">
        <f t="shared" si="26"/>
        <v>0</v>
      </c>
      <c r="O90" s="179">
        <v>0</v>
      </c>
      <c r="P90" s="80">
        <f t="shared" si="27"/>
        <v>0</v>
      </c>
      <c r="Q90" s="179">
        <v>0</v>
      </c>
      <c r="R90" s="80">
        <f t="shared" si="28"/>
        <v>0</v>
      </c>
      <c r="S90" s="179">
        <v>0</v>
      </c>
      <c r="T90" s="80">
        <f t="shared" si="29"/>
        <v>0</v>
      </c>
      <c r="U90" s="179">
        <v>0</v>
      </c>
      <c r="V90" s="80">
        <f t="shared" si="30"/>
        <v>0</v>
      </c>
      <c r="X90" s="200"/>
    </row>
    <row r="91" spans="1:24" ht="12.75" customHeight="1">
      <c r="A91" s="2" t="s">
        <v>422</v>
      </c>
      <c r="C91" s="179">
        <v>0</v>
      </c>
      <c r="D91" s="80">
        <f t="shared" si="21"/>
        <v>0</v>
      </c>
      <c r="E91" s="179">
        <v>0</v>
      </c>
      <c r="F91" s="80">
        <f t="shared" si="22"/>
        <v>0</v>
      </c>
      <c r="G91" s="179">
        <v>0</v>
      </c>
      <c r="H91" s="80">
        <f t="shared" si="23"/>
        <v>0</v>
      </c>
      <c r="I91" s="179">
        <v>0</v>
      </c>
      <c r="J91" s="80">
        <f t="shared" si="24"/>
        <v>0</v>
      </c>
      <c r="K91" s="179">
        <v>0</v>
      </c>
      <c r="L91" s="80">
        <f t="shared" si="25"/>
        <v>0</v>
      </c>
      <c r="M91" s="179">
        <v>0</v>
      </c>
      <c r="N91" s="80">
        <f t="shared" si="26"/>
        <v>0</v>
      </c>
      <c r="O91" s="179">
        <v>0</v>
      </c>
      <c r="P91" s="80">
        <f t="shared" si="27"/>
        <v>0</v>
      </c>
      <c r="Q91" s="179">
        <v>0</v>
      </c>
      <c r="R91" s="80">
        <f t="shared" si="28"/>
        <v>0</v>
      </c>
      <c r="S91" s="179">
        <v>0</v>
      </c>
      <c r="T91" s="80">
        <f t="shared" si="29"/>
        <v>0</v>
      </c>
      <c r="U91" s="179">
        <v>0</v>
      </c>
      <c r="V91" s="80">
        <f t="shared" si="30"/>
        <v>0</v>
      </c>
      <c r="X91" s="200"/>
    </row>
    <row r="92" spans="1:24" ht="12.75" customHeight="1">
      <c r="A92" s="2" t="s">
        <v>423</v>
      </c>
      <c r="B92" s="35"/>
      <c r="C92" s="179">
        <v>389.99999999999994</v>
      </c>
      <c r="D92" s="80">
        <f t="shared" si="21"/>
        <v>5.1999999999999989E-3</v>
      </c>
      <c r="E92" s="179">
        <v>0</v>
      </c>
      <c r="F92" s="80">
        <f t="shared" si="22"/>
        <v>0</v>
      </c>
      <c r="G92" s="179">
        <v>0</v>
      </c>
      <c r="H92" s="80">
        <f t="shared" si="23"/>
        <v>0</v>
      </c>
      <c r="I92" s="179">
        <v>0</v>
      </c>
      <c r="J92" s="80">
        <f t="shared" si="24"/>
        <v>0</v>
      </c>
      <c r="K92" s="179">
        <v>0</v>
      </c>
      <c r="L92" s="80">
        <f t="shared" si="25"/>
        <v>0</v>
      </c>
      <c r="M92" s="179">
        <v>0</v>
      </c>
      <c r="N92" s="80">
        <f t="shared" si="26"/>
        <v>0</v>
      </c>
      <c r="O92" s="179">
        <v>0</v>
      </c>
      <c r="P92" s="80">
        <f t="shared" si="27"/>
        <v>0</v>
      </c>
      <c r="Q92" s="179">
        <v>0</v>
      </c>
      <c r="R92" s="80">
        <f t="shared" si="28"/>
        <v>0</v>
      </c>
      <c r="S92" s="179">
        <v>0</v>
      </c>
      <c r="T92" s="80">
        <f t="shared" si="29"/>
        <v>0</v>
      </c>
      <c r="U92" s="179">
        <v>0</v>
      </c>
      <c r="V92" s="80">
        <f t="shared" si="30"/>
        <v>0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1"/>
        <v>0</v>
      </c>
      <c r="E93" s="179">
        <v>0</v>
      </c>
      <c r="F93" s="80">
        <f t="shared" si="22"/>
        <v>0</v>
      </c>
      <c r="G93" s="179">
        <v>0</v>
      </c>
      <c r="H93" s="80">
        <f t="shared" si="23"/>
        <v>0</v>
      </c>
      <c r="I93" s="179">
        <v>0</v>
      </c>
      <c r="J93" s="80">
        <f t="shared" si="24"/>
        <v>0</v>
      </c>
      <c r="K93" s="179">
        <v>0</v>
      </c>
      <c r="L93" s="80">
        <f t="shared" si="25"/>
        <v>0</v>
      </c>
      <c r="M93" s="179">
        <v>0</v>
      </c>
      <c r="N93" s="80">
        <f t="shared" si="26"/>
        <v>0</v>
      </c>
      <c r="O93" s="179">
        <v>0</v>
      </c>
      <c r="P93" s="80">
        <f t="shared" si="27"/>
        <v>0</v>
      </c>
      <c r="Q93" s="179">
        <v>0</v>
      </c>
      <c r="R93" s="80">
        <f t="shared" si="28"/>
        <v>0</v>
      </c>
      <c r="S93" s="179">
        <v>0</v>
      </c>
      <c r="T93" s="80">
        <f t="shared" si="29"/>
        <v>0</v>
      </c>
      <c r="U93" s="179">
        <v>0</v>
      </c>
      <c r="V93" s="80">
        <f t="shared" si="30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1"/>
        <v>0</v>
      </c>
      <c r="E94" s="179">
        <v>0</v>
      </c>
      <c r="F94" s="80">
        <f t="shared" si="22"/>
        <v>0</v>
      </c>
      <c r="G94" s="179">
        <v>0</v>
      </c>
      <c r="H94" s="80">
        <f t="shared" si="23"/>
        <v>0</v>
      </c>
      <c r="I94" s="179">
        <v>0</v>
      </c>
      <c r="J94" s="80">
        <f t="shared" si="24"/>
        <v>0</v>
      </c>
      <c r="K94" s="179">
        <v>0</v>
      </c>
      <c r="L94" s="80">
        <f t="shared" si="25"/>
        <v>0</v>
      </c>
      <c r="M94" s="179">
        <v>0</v>
      </c>
      <c r="N94" s="80">
        <f t="shared" si="26"/>
        <v>0</v>
      </c>
      <c r="O94" s="179">
        <v>0</v>
      </c>
      <c r="P94" s="80">
        <f t="shared" si="27"/>
        <v>0</v>
      </c>
      <c r="Q94" s="179">
        <v>0</v>
      </c>
      <c r="R94" s="80">
        <f t="shared" si="28"/>
        <v>0</v>
      </c>
      <c r="S94" s="179">
        <v>0</v>
      </c>
      <c r="T94" s="80">
        <f t="shared" si="29"/>
        <v>0</v>
      </c>
      <c r="U94" s="179">
        <v>0</v>
      </c>
      <c r="V94" s="80">
        <f t="shared" si="30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1"/>
        <v>0</v>
      </c>
      <c r="E95" s="179">
        <v>0</v>
      </c>
      <c r="F95" s="80">
        <f t="shared" si="22"/>
        <v>0</v>
      </c>
      <c r="G95" s="179">
        <v>0</v>
      </c>
      <c r="H95" s="80">
        <f t="shared" si="23"/>
        <v>0</v>
      </c>
      <c r="I95" s="179">
        <v>0</v>
      </c>
      <c r="J95" s="80">
        <f t="shared" si="24"/>
        <v>0</v>
      </c>
      <c r="K95" s="179">
        <v>0</v>
      </c>
      <c r="L95" s="80">
        <f t="shared" si="25"/>
        <v>0</v>
      </c>
      <c r="M95" s="179">
        <v>0</v>
      </c>
      <c r="N95" s="80">
        <f t="shared" si="26"/>
        <v>0</v>
      </c>
      <c r="O95" s="179">
        <v>0</v>
      </c>
      <c r="P95" s="80">
        <f t="shared" si="27"/>
        <v>0</v>
      </c>
      <c r="Q95" s="179">
        <v>0</v>
      </c>
      <c r="R95" s="80">
        <f t="shared" si="28"/>
        <v>0</v>
      </c>
      <c r="S95" s="179">
        <v>0</v>
      </c>
      <c r="T95" s="80">
        <f t="shared" si="29"/>
        <v>0</v>
      </c>
      <c r="U95" s="179">
        <v>0</v>
      </c>
      <c r="V95" s="80">
        <f t="shared" si="30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1"/>
        <v>0</v>
      </c>
      <c r="E96" s="179">
        <v>0</v>
      </c>
      <c r="F96" s="80">
        <f t="shared" si="22"/>
        <v>0</v>
      </c>
      <c r="G96" s="179">
        <v>0</v>
      </c>
      <c r="H96" s="80">
        <f t="shared" si="23"/>
        <v>0</v>
      </c>
      <c r="I96" s="179">
        <v>0</v>
      </c>
      <c r="J96" s="80">
        <f t="shared" si="24"/>
        <v>0</v>
      </c>
      <c r="K96" s="179">
        <v>0</v>
      </c>
      <c r="L96" s="80">
        <f t="shared" si="25"/>
        <v>0</v>
      </c>
      <c r="M96" s="179">
        <v>0</v>
      </c>
      <c r="N96" s="80">
        <f t="shared" si="26"/>
        <v>0</v>
      </c>
      <c r="O96" s="179">
        <v>0</v>
      </c>
      <c r="P96" s="80">
        <f t="shared" si="27"/>
        <v>0</v>
      </c>
      <c r="Q96" s="179">
        <v>0</v>
      </c>
      <c r="R96" s="80">
        <f t="shared" si="28"/>
        <v>0</v>
      </c>
      <c r="S96" s="179">
        <v>0</v>
      </c>
      <c r="T96" s="80">
        <f t="shared" si="29"/>
        <v>0</v>
      </c>
      <c r="U96" s="179">
        <v>0</v>
      </c>
      <c r="V96" s="80">
        <f t="shared" si="30"/>
        <v>0</v>
      </c>
      <c r="X96" s="200"/>
    </row>
    <row r="97" spans="1:24" ht="12.75" customHeight="1">
      <c r="A97" s="2" t="s">
        <v>428</v>
      </c>
      <c r="B97" s="35"/>
      <c r="C97" s="179">
        <v>570.14099999999996</v>
      </c>
      <c r="D97" s="80">
        <f t="shared" si="21"/>
        <v>7.6018799999999992E-3</v>
      </c>
      <c r="E97" s="179">
        <v>0</v>
      </c>
      <c r="F97" s="80">
        <f t="shared" si="22"/>
        <v>0</v>
      </c>
      <c r="G97" s="179">
        <v>0</v>
      </c>
      <c r="H97" s="80">
        <f t="shared" si="23"/>
        <v>0</v>
      </c>
      <c r="I97" s="179">
        <v>0</v>
      </c>
      <c r="J97" s="80">
        <f t="shared" si="24"/>
        <v>0</v>
      </c>
      <c r="K97" s="179">
        <v>0</v>
      </c>
      <c r="L97" s="80">
        <f t="shared" si="25"/>
        <v>0</v>
      </c>
      <c r="M97" s="179">
        <v>0</v>
      </c>
      <c r="N97" s="80">
        <f t="shared" si="26"/>
        <v>0</v>
      </c>
      <c r="O97" s="179">
        <v>0</v>
      </c>
      <c r="P97" s="80">
        <f t="shared" si="27"/>
        <v>0</v>
      </c>
      <c r="Q97" s="179">
        <v>0</v>
      </c>
      <c r="R97" s="80">
        <f t="shared" si="28"/>
        <v>0</v>
      </c>
      <c r="S97" s="179">
        <v>0</v>
      </c>
      <c r="T97" s="80">
        <f t="shared" si="29"/>
        <v>0</v>
      </c>
      <c r="U97" s="179">
        <v>0</v>
      </c>
      <c r="V97" s="80">
        <f t="shared" si="30"/>
        <v>0</v>
      </c>
      <c r="X97" s="200"/>
    </row>
    <row r="98" spans="1:24" ht="12.75" customHeight="1">
      <c r="A98" s="117" t="s">
        <v>431</v>
      </c>
      <c r="B98" s="35"/>
      <c r="C98" s="179">
        <v>89.999999999999986</v>
      </c>
      <c r="D98" s="80">
        <f t="shared" si="21"/>
        <v>1.1999999999999999E-3</v>
      </c>
      <c r="E98" s="179">
        <v>0</v>
      </c>
      <c r="F98" s="80">
        <f t="shared" si="22"/>
        <v>0</v>
      </c>
      <c r="G98" s="179">
        <v>0</v>
      </c>
      <c r="H98" s="80">
        <f t="shared" si="23"/>
        <v>0</v>
      </c>
      <c r="I98" s="179">
        <v>0</v>
      </c>
      <c r="J98" s="80">
        <f t="shared" si="24"/>
        <v>0</v>
      </c>
      <c r="K98" s="179">
        <v>0</v>
      </c>
      <c r="L98" s="80">
        <f t="shared" si="25"/>
        <v>0</v>
      </c>
      <c r="M98" s="179">
        <v>0</v>
      </c>
      <c r="N98" s="80">
        <f t="shared" si="26"/>
        <v>0</v>
      </c>
      <c r="O98" s="179">
        <v>0</v>
      </c>
      <c r="P98" s="80">
        <f t="shared" si="27"/>
        <v>0</v>
      </c>
      <c r="Q98" s="179">
        <v>0</v>
      </c>
      <c r="R98" s="80">
        <f t="shared" si="28"/>
        <v>0</v>
      </c>
      <c r="S98" s="179">
        <v>0</v>
      </c>
      <c r="T98" s="80">
        <f t="shared" si="29"/>
        <v>0</v>
      </c>
      <c r="U98" s="179">
        <v>0</v>
      </c>
      <c r="V98" s="80">
        <f t="shared" si="30"/>
        <v>0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1"/>
        <v>0</v>
      </c>
      <c r="E99" s="179">
        <v>0</v>
      </c>
      <c r="F99" s="80">
        <f t="shared" si="22"/>
        <v>0</v>
      </c>
      <c r="G99" s="179">
        <v>0</v>
      </c>
      <c r="H99" s="80">
        <f t="shared" si="23"/>
        <v>0</v>
      </c>
      <c r="I99" s="179">
        <v>0</v>
      </c>
      <c r="J99" s="80">
        <f t="shared" si="24"/>
        <v>0</v>
      </c>
      <c r="K99" s="179">
        <v>0</v>
      </c>
      <c r="L99" s="80">
        <f t="shared" si="25"/>
        <v>0</v>
      </c>
      <c r="M99" s="179">
        <v>0</v>
      </c>
      <c r="N99" s="80">
        <f t="shared" si="26"/>
        <v>0</v>
      </c>
      <c r="O99" s="179">
        <v>0</v>
      </c>
      <c r="P99" s="80">
        <f t="shared" si="27"/>
        <v>0</v>
      </c>
      <c r="Q99" s="179">
        <v>0</v>
      </c>
      <c r="R99" s="80">
        <f t="shared" si="28"/>
        <v>0</v>
      </c>
      <c r="S99" s="179">
        <v>0</v>
      </c>
      <c r="T99" s="80">
        <f t="shared" si="29"/>
        <v>0</v>
      </c>
      <c r="U99" s="179">
        <v>0</v>
      </c>
      <c r="V99" s="80">
        <f t="shared" si="30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1"/>
        <v>0</v>
      </c>
      <c r="E100" s="179">
        <v>0</v>
      </c>
      <c r="F100" s="80">
        <f t="shared" si="22"/>
        <v>0</v>
      </c>
      <c r="G100" s="179">
        <v>0</v>
      </c>
      <c r="H100" s="80">
        <f t="shared" si="23"/>
        <v>0</v>
      </c>
      <c r="I100" s="179">
        <v>0</v>
      </c>
      <c r="J100" s="80">
        <f t="shared" si="24"/>
        <v>0</v>
      </c>
      <c r="K100" s="179">
        <v>0</v>
      </c>
      <c r="L100" s="80">
        <f t="shared" si="25"/>
        <v>0</v>
      </c>
      <c r="M100" s="179">
        <v>0</v>
      </c>
      <c r="N100" s="80">
        <f t="shared" si="26"/>
        <v>0</v>
      </c>
      <c r="O100" s="179">
        <v>0</v>
      </c>
      <c r="P100" s="80">
        <f t="shared" si="27"/>
        <v>0</v>
      </c>
      <c r="Q100" s="179">
        <v>0</v>
      </c>
      <c r="R100" s="80">
        <f t="shared" si="28"/>
        <v>0</v>
      </c>
      <c r="S100" s="179">
        <v>0</v>
      </c>
      <c r="T100" s="80">
        <f t="shared" si="29"/>
        <v>0</v>
      </c>
      <c r="U100" s="179">
        <v>0</v>
      </c>
      <c r="V100" s="80">
        <f t="shared" si="30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1"/>
        <v>0</v>
      </c>
      <c r="E101" s="179"/>
      <c r="F101" s="80">
        <f t="shared" si="22"/>
        <v>0</v>
      </c>
      <c r="G101" s="179"/>
      <c r="H101" s="80">
        <f t="shared" si="23"/>
        <v>0</v>
      </c>
      <c r="I101" s="179">
        <v>0</v>
      </c>
      <c r="J101" s="80">
        <f t="shared" si="24"/>
        <v>0</v>
      </c>
      <c r="K101" s="179">
        <v>0</v>
      </c>
      <c r="L101" s="80">
        <f t="shared" si="25"/>
        <v>0</v>
      </c>
      <c r="M101" s="179">
        <v>0</v>
      </c>
      <c r="N101" s="80">
        <f t="shared" si="26"/>
        <v>0</v>
      </c>
      <c r="O101" s="179">
        <v>0</v>
      </c>
      <c r="P101" s="80">
        <f t="shared" si="27"/>
        <v>0</v>
      </c>
      <c r="Q101" s="179">
        <v>0</v>
      </c>
      <c r="R101" s="80">
        <f t="shared" si="28"/>
        <v>0</v>
      </c>
      <c r="S101" s="179">
        <v>0</v>
      </c>
      <c r="T101" s="80">
        <f t="shared" si="29"/>
        <v>0</v>
      </c>
      <c r="U101" s="179">
        <v>0</v>
      </c>
      <c r="V101" s="80">
        <f t="shared" si="30"/>
        <v>0</v>
      </c>
      <c r="X101" s="200"/>
    </row>
    <row r="102" spans="1:24" ht="12.75" customHeight="1">
      <c r="A102" s="117" t="s">
        <v>433</v>
      </c>
      <c r="B102" s="35"/>
      <c r="C102" s="179">
        <v>750</v>
      </c>
      <c r="D102" s="80">
        <f t="shared" si="21"/>
        <v>0.01</v>
      </c>
      <c r="E102" s="179">
        <v>0</v>
      </c>
      <c r="F102" s="80">
        <f t="shared" si="22"/>
        <v>0</v>
      </c>
      <c r="G102" s="179">
        <v>0</v>
      </c>
      <c r="H102" s="80">
        <f t="shared" si="23"/>
        <v>0</v>
      </c>
      <c r="I102" s="179">
        <v>0</v>
      </c>
      <c r="J102" s="80">
        <f t="shared" si="24"/>
        <v>0</v>
      </c>
      <c r="K102" s="179">
        <v>0</v>
      </c>
      <c r="L102" s="80">
        <f t="shared" si="25"/>
        <v>0</v>
      </c>
      <c r="M102" s="179">
        <v>0</v>
      </c>
      <c r="N102" s="80">
        <f t="shared" si="26"/>
        <v>0</v>
      </c>
      <c r="O102" s="179">
        <v>0</v>
      </c>
      <c r="P102" s="80">
        <f t="shared" si="27"/>
        <v>0</v>
      </c>
      <c r="Q102" s="179">
        <v>0</v>
      </c>
      <c r="R102" s="80">
        <f t="shared" si="28"/>
        <v>0</v>
      </c>
      <c r="S102" s="179">
        <v>0</v>
      </c>
      <c r="T102" s="80">
        <f t="shared" si="29"/>
        <v>0</v>
      </c>
      <c r="U102" s="179">
        <v>0</v>
      </c>
      <c r="V102" s="80">
        <f t="shared" si="30"/>
        <v>0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1"/>
        <v>0</v>
      </c>
      <c r="E103" s="179">
        <v>0</v>
      </c>
      <c r="F103" s="80">
        <f t="shared" si="22"/>
        <v>0</v>
      </c>
      <c r="G103" s="179">
        <v>0</v>
      </c>
      <c r="H103" s="80">
        <f t="shared" si="23"/>
        <v>0</v>
      </c>
      <c r="I103" s="179">
        <v>0</v>
      </c>
      <c r="J103" s="80">
        <f t="shared" si="24"/>
        <v>0</v>
      </c>
      <c r="K103" s="179">
        <v>0</v>
      </c>
      <c r="L103" s="80">
        <f t="shared" si="25"/>
        <v>0</v>
      </c>
      <c r="M103" s="179">
        <v>0</v>
      </c>
      <c r="N103" s="80">
        <f t="shared" si="26"/>
        <v>0</v>
      </c>
      <c r="O103" s="179">
        <v>0</v>
      </c>
      <c r="P103" s="80">
        <f t="shared" si="27"/>
        <v>0</v>
      </c>
      <c r="Q103" s="179">
        <v>0</v>
      </c>
      <c r="R103" s="80">
        <f t="shared" si="28"/>
        <v>0</v>
      </c>
      <c r="S103" s="179">
        <v>0</v>
      </c>
      <c r="T103" s="80">
        <f t="shared" si="29"/>
        <v>0</v>
      </c>
      <c r="U103" s="179">
        <v>0</v>
      </c>
      <c r="V103" s="80">
        <f t="shared" si="30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1"/>
        <v>0</v>
      </c>
      <c r="E104" s="179">
        <v>0</v>
      </c>
      <c r="F104" s="80">
        <f t="shared" si="22"/>
        <v>0</v>
      </c>
      <c r="G104" s="179">
        <v>0</v>
      </c>
      <c r="H104" s="80">
        <f t="shared" si="23"/>
        <v>0</v>
      </c>
      <c r="I104" s="179">
        <v>0</v>
      </c>
      <c r="J104" s="80">
        <f t="shared" si="24"/>
        <v>0</v>
      </c>
      <c r="K104" s="179">
        <v>0</v>
      </c>
      <c r="L104" s="80">
        <f t="shared" si="25"/>
        <v>0</v>
      </c>
      <c r="M104" s="179">
        <v>0</v>
      </c>
      <c r="N104" s="80">
        <f t="shared" si="26"/>
        <v>0</v>
      </c>
      <c r="O104" s="179">
        <v>0</v>
      </c>
      <c r="P104" s="80">
        <f t="shared" si="27"/>
        <v>0</v>
      </c>
      <c r="Q104" s="179">
        <v>0</v>
      </c>
      <c r="R104" s="80">
        <f t="shared" si="28"/>
        <v>0</v>
      </c>
      <c r="S104" s="179">
        <v>0</v>
      </c>
      <c r="T104" s="80">
        <f t="shared" si="29"/>
        <v>0</v>
      </c>
      <c r="U104" s="179">
        <v>0</v>
      </c>
      <c r="V104" s="80">
        <f t="shared" si="30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9137.5736661878364</v>
      </c>
      <c r="D105" s="83">
        <f t="shared" ref="D105" si="31">IFERROR(C105/C$28,0)</f>
        <v>0.12183431554917115</v>
      </c>
      <c r="E105" s="82">
        <f>SUM(E52:E104)</f>
        <v>0</v>
      </c>
      <c r="F105" s="83">
        <f t="shared" ref="F105" si="32">IFERROR(E105/E$28,0)</f>
        <v>0</v>
      </c>
      <c r="G105" s="82">
        <f>SUM(G52:G104)</f>
        <v>0</v>
      </c>
      <c r="H105" s="83">
        <f t="shared" ref="H105" si="33">IFERROR(G105/G$28,0)</f>
        <v>0</v>
      </c>
      <c r="I105" s="82">
        <f>SUM(I52:I104)</f>
        <v>0</v>
      </c>
      <c r="J105" s="83">
        <f t="shared" ref="J105" si="34">IFERROR(I105/I$28,0)</f>
        <v>0</v>
      </c>
      <c r="K105" s="82">
        <f>SUM(K52:K104)</f>
        <v>0</v>
      </c>
      <c r="L105" s="83">
        <f t="shared" ref="L105" si="35">IFERROR(K105/K$28,0)</f>
        <v>0</v>
      </c>
      <c r="M105" s="82">
        <f>SUM(M52:M104)</f>
        <v>0</v>
      </c>
      <c r="N105" s="83">
        <f t="shared" ref="N105" si="36">IFERROR(M105/M$28,0)</f>
        <v>0</v>
      </c>
      <c r="O105" s="82">
        <f>SUM(O52:O104)</f>
        <v>0</v>
      </c>
      <c r="P105" s="83">
        <f t="shared" ref="P105" si="37">IFERROR(O105/O$28,0)</f>
        <v>0</v>
      </c>
      <c r="Q105" s="82">
        <f>SUM(Q52:Q104)</f>
        <v>0</v>
      </c>
      <c r="R105" s="83">
        <f t="shared" ref="R105" si="38">IFERROR(Q105/Q$28,0)</f>
        <v>0</v>
      </c>
      <c r="S105" s="82">
        <f>SUM(S52:S104)</f>
        <v>0</v>
      </c>
      <c r="T105" s="83">
        <f t="shared" ref="T105" si="39">IFERROR(S105/S$28,0)</f>
        <v>0</v>
      </c>
      <c r="U105" s="82">
        <f>SUM(U52:U104)</f>
        <v>0</v>
      </c>
      <c r="V105" s="83">
        <f t="shared" si="30"/>
        <v>0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26186.76633381216</v>
      </c>
      <c r="D107" s="83">
        <f>IFERROR(C107/C$28,0)</f>
        <v>0.34915688445082882</v>
      </c>
      <c r="E107" s="82">
        <f>E28-E33-E46-E105</f>
        <v>0</v>
      </c>
      <c r="F107" s="83">
        <f>IFERROR(E107/E$28,0)</f>
        <v>0</v>
      </c>
      <c r="G107" s="82">
        <f>G28-G33-G46-G105</f>
        <v>0</v>
      </c>
      <c r="H107" s="83">
        <f>IFERROR(G107/G$28,0)</f>
        <v>0</v>
      </c>
      <c r="I107" s="82">
        <f>I28-I33-I46-I105</f>
        <v>0</v>
      </c>
      <c r="J107" s="83">
        <f>IFERROR(I107/I$28,0)</f>
        <v>0</v>
      </c>
      <c r="K107" s="82">
        <f>K28-K33-K46-K105</f>
        <v>0</v>
      </c>
      <c r="L107" s="83">
        <f>IFERROR(K107/K$28,0)</f>
        <v>0</v>
      </c>
      <c r="M107" s="82">
        <f>M28-M33-M46-M105</f>
        <v>0</v>
      </c>
      <c r="N107" s="83">
        <f>IFERROR(M107/M$28,0)</f>
        <v>0</v>
      </c>
      <c r="O107" s="82">
        <f>O28-O33-O46-O105</f>
        <v>0</v>
      </c>
      <c r="P107" s="83">
        <f>IFERROR(O107/O$28,0)</f>
        <v>0</v>
      </c>
      <c r="Q107" s="82">
        <f>Q28-Q33-Q46-Q105</f>
        <v>0</v>
      </c>
      <c r="R107" s="83">
        <f>IFERROR(Q107/Q$28,0)</f>
        <v>0</v>
      </c>
      <c r="S107" s="82">
        <f>S28-S33-S46-S105</f>
        <v>0</v>
      </c>
      <c r="T107" s="83">
        <f>IFERROR(S107/S$28,0)</f>
        <v>0</v>
      </c>
      <c r="U107" s="82">
        <f>U28-U33-U46-U105</f>
        <v>0</v>
      </c>
      <c r="V107" s="83">
        <f>IFERROR(U107/U$28,0)</f>
        <v>0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7" tint="0.59999389629810485"/>
  </sheetPr>
  <dimension ref="A1:X120"/>
  <sheetViews>
    <sheetView topLeftCell="A39" zoomScale="70" zoomScaleNormal="70" workbookViewId="0" xr3:uid="{62E455AB-44C1-5DAA-A80F-CFF2989D01C0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42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56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Salad Creations (Parking Garage 5)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/>
      <c r="E8" s="109">
        <f>+C8</f>
        <v>0</v>
      </c>
      <c r="G8" s="109">
        <f>+E8</f>
        <v>0</v>
      </c>
      <c r="I8" s="109">
        <f>+G8</f>
        <v>0</v>
      </c>
      <c r="K8" s="109">
        <f>+I8</f>
        <v>0</v>
      </c>
      <c r="M8" s="109">
        <f>+K8</f>
        <v>0</v>
      </c>
      <c r="O8" s="109">
        <f>+M8</f>
        <v>0</v>
      </c>
      <c r="Q8" s="109">
        <f>+O8</f>
        <v>0</v>
      </c>
      <c r="S8" s="109">
        <f>+Q8</f>
        <v>0</v>
      </c>
      <c r="U8" s="109">
        <f>+S8</f>
        <v>0</v>
      </c>
    </row>
    <row r="10" spans="1:22" ht="12.75" customHeight="1">
      <c r="A10" s="2" t="s">
        <v>449</v>
      </c>
      <c r="C10" s="109"/>
      <c r="E10" s="109"/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450</v>
      </c>
      <c r="C12" s="110"/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451</v>
      </c>
      <c r="C14" s="121"/>
      <c r="E14" s="121"/>
      <c r="G14" s="206">
        <v>332000</v>
      </c>
      <c r="H14" s="12"/>
      <c r="I14" s="206">
        <f>+G14*1.02</f>
        <v>338640</v>
      </c>
      <c r="J14" s="12"/>
      <c r="K14" s="206">
        <f>+I14*1.02</f>
        <v>345412.8</v>
      </c>
      <c r="L14" s="12"/>
      <c r="M14" s="206">
        <f>+K14*1.02</f>
        <v>352321.05599999998</v>
      </c>
      <c r="N14" s="12"/>
      <c r="O14" s="206">
        <f>+M14*1.02</f>
        <v>359367.47712</v>
      </c>
      <c r="P14" s="12"/>
      <c r="Q14" s="206">
        <f>+O14*1.02</f>
        <v>366554.82666239998</v>
      </c>
      <c r="R14" s="12"/>
      <c r="S14" s="206">
        <f>+Q14*1.02</f>
        <v>373885.92319564801</v>
      </c>
      <c r="T14" s="12"/>
      <c r="U14" s="206">
        <f>+S14*1.02</f>
        <v>381363.64165956096</v>
      </c>
    </row>
    <row r="15" spans="1:22" ht="12.75" customHeight="1">
      <c r="A15" s="39">
        <v>7.0000000000000007E-2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</f>
        <v>0</v>
      </c>
      <c r="D19" s="80">
        <f>IFERROR(C19/C$28,0)</f>
        <v>0</v>
      </c>
      <c r="E19" s="208">
        <f>+E14-E20</f>
        <v>0</v>
      </c>
      <c r="F19" s="80">
        <f>IFERROR(E19/E$28,0)</f>
        <v>0</v>
      </c>
      <c r="G19" s="208">
        <f>+G14-G20</f>
        <v>155143.59999999998</v>
      </c>
      <c r="H19" s="80">
        <f>IFERROR(G19/G$28,0)</f>
        <v>0.46729999999999994</v>
      </c>
      <c r="I19" s="208">
        <f>+I14-I20</f>
        <v>158246.47199999998</v>
      </c>
      <c r="J19" s="80">
        <f>IFERROR(I19/I$28,0)</f>
        <v>0.46729999999999994</v>
      </c>
      <c r="K19" s="208">
        <f>+K14-K20</f>
        <v>161411.40143999996</v>
      </c>
      <c r="L19" s="80">
        <f>IFERROR(K19/K$28,0)</f>
        <v>0.46729999999999988</v>
      </c>
      <c r="M19" s="208">
        <f>+M14-M20</f>
        <v>164639.62946879995</v>
      </c>
      <c r="N19" s="80">
        <f>IFERROR(M19/M$28,0)</f>
        <v>0.46729999999999988</v>
      </c>
      <c r="O19" s="208">
        <f>+O14-O20</f>
        <v>167932.42205817596</v>
      </c>
      <c r="P19" s="80">
        <f>IFERROR(O19/O$28,0)</f>
        <v>0.46729999999999988</v>
      </c>
      <c r="Q19" s="208">
        <f>+Q14-Q20</f>
        <v>171291.07049933946</v>
      </c>
      <c r="R19" s="80">
        <f>IFERROR(Q19/Q$28,0)</f>
        <v>0.46729999999999988</v>
      </c>
      <c r="S19" s="208">
        <f>+S14-S20</f>
        <v>174716.89190932628</v>
      </c>
      <c r="T19" s="80">
        <f>IFERROR(S19/S$28,0)</f>
        <v>0.46729999999999994</v>
      </c>
      <c r="U19" s="208">
        <f>+U14-U20</f>
        <v>178211.22974751279</v>
      </c>
      <c r="V19" s="80">
        <f>IFERROR(U19/U$28,0)</f>
        <v>0.46729999999999988</v>
      </c>
    </row>
    <row r="20" spans="1:24" ht="12.75" customHeight="1">
      <c r="A20" s="2" t="s">
        <v>357</v>
      </c>
      <c r="B20" s="35"/>
      <c r="C20" s="111">
        <f>+C14*12.38%</f>
        <v>0</v>
      </c>
      <c r="D20" s="80">
        <f>IFERROR(C20/C$28,0)</f>
        <v>0</v>
      </c>
      <c r="E20" s="111">
        <f>+E14*53.27%</f>
        <v>0</v>
      </c>
      <c r="F20" s="80">
        <f>IFERROR(E20/E$28,0)</f>
        <v>0</v>
      </c>
      <c r="G20" s="111">
        <f>+G14*53.27%</f>
        <v>176856.40000000002</v>
      </c>
      <c r="H20" s="80">
        <f>IFERROR(G20/G$28,0)</f>
        <v>0.53270000000000006</v>
      </c>
      <c r="I20" s="111">
        <f t="shared" ref="G20:U21" si="0">G20*1.02</f>
        <v>180393.52800000002</v>
      </c>
      <c r="J20" s="80">
        <f>IFERROR(I20/I$28,0)</f>
        <v>0.53270000000000006</v>
      </c>
      <c r="K20" s="111">
        <f t="shared" si="0"/>
        <v>184001.39856000003</v>
      </c>
      <c r="L20" s="80">
        <f>IFERROR(K20/K$28,0)</f>
        <v>0.53270000000000006</v>
      </c>
      <c r="M20" s="111">
        <f t="shared" si="0"/>
        <v>187681.42653120004</v>
      </c>
      <c r="N20" s="80">
        <f>IFERROR(M20/M$28,0)</f>
        <v>0.53270000000000017</v>
      </c>
      <c r="O20" s="111">
        <f t="shared" si="0"/>
        <v>191435.05506182404</v>
      </c>
      <c r="P20" s="80">
        <f>IFERROR(O20/O$28,0)</f>
        <v>0.53270000000000006</v>
      </c>
      <c r="Q20" s="111">
        <f t="shared" si="0"/>
        <v>195263.75616306052</v>
      </c>
      <c r="R20" s="80">
        <f>IFERROR(Q20/Q$28,0)</f>
        <v>0.53270000000000017</v>
      </c>
      <c r="S20" s="111">
        <f t="shared" si="0"/>
        <v>199169.03128632173</v>
      </c>
      <c r="T20" s="80">
        <f>IFERROR(S20/S$28,0)</f>
        <v>0.53270000000000006</v>
      </c>
      <c r="U20" s="111">
        <f t="shared" si="0"/>
        <v>203152.41191204818</v>
      </c>
      <c r="V20" s="80">
        <f>IFERROR(U20/U$28,0)</f>
        <v>0.53270000000000017</v>
      </c>
    </row>
    <row r="21" spans="1:24" ht="12.75" customHeight="1">
      <c r="A21" s="2" t="s">
        <v>358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463</v>
      </c>
      <c r="B27" s="35"/>
      <c r="C27" s="112">
        <f>275000*0.1</f>
        <v>27500</v>
      </c>
      <c r="D27" s="80">
        <f t="shared" si="1"/>
        <v>1</v>
      </c>
      <c r="E27" s="112">
        <f>+C27*1.1</f>
        <v>30250.000000000004</v>
      </c>
      <c r="F27" s="80">
        <f t="shared" si="2"/>
        <v>1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365</v>
      </c>
      <c r="B28" s="53"/>
      <c r="C28" s="82">
        <f>SUM(C19:C27)</f>
        <v>27500</v>
      </c>
      <c r="D28" s="83">
        <f t="shared" si="1"/>
        <v>1</v>
      </c>
      <c r="E28" s="82">
        <f>SUM(E19:E27)</f>
        <v>30250.000000000004</v>
      </c>
      <c r="F28" s="83">
        <f t="shared" si="2"/>
        <v>1</v>
      </c>
      <c r="G28" s="82">
        <f>SUM(G19:G27)</f>
        <v>332000</v>
      </c>
      <c r="H28" s="83">
        <f t="shared" si="3"/>
        <v>1</v>
      </c>
      <c r="I28" s="82">
        <f>SUM(I19:I27)</f>
        <v>338640</v>
      </c>
      <c r="J28" s="83">
        <f t="shared" si="4"/>
        <v>1</v>
      </c>
      <c r="K28" s="82">
        <f>SUM(K19:K27)</f>
        <v>345412.8</v>
      </c>
      <c r="L28" s="83">
        <f t="shared" si="5"/>
        <v>1</v>
      </c>
      <c r="M28" s="82">
        <f>SUM(M19:M27)</f>
        <v>352321.05599999998</v>
      </c>
      <c r="N28" s="83">
        <f t="shared" si="6"/>
        <v>1</v>
      </c>
      <c r="O28" s="82">
        <f>SUM(O19:O27)</f>
        <v>359367.47712</v>
      </c>
      <c r="P28" s="83">
        <f t="shared" si="7"/>
        <v>1</v>
      </c>
      <c r="Q28" s="82">
        <f>SUM(Q19:Q27)</f>
        <v>366554.82666239998</v>
      </c>
      <c r="R28" s="83">
        <f t="shared" si="8"/>
        <v>1</v>
      </c>
      <c r="S28" s="82">
        <f>SUM(S19:S27)</f>
        <v>373885.92319564801</v>
      </c>
      <c r="T28" s="83">
        <f t="shared" si="9"/>
        <v>1</v>
      </c>
      <c r="U28" s="82">
        <f>SUM(U19:U27)</f>
        <v>381363.64165956096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0.33700000000000002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0</v>
      </c>
      <c r="D31" s="80">
        <f>IFERROR(C31/C$28,0)</f>
        <v>0</v>
      </c>
      <c r="E31" s="179">
        <f>$C$30*E14</f>
        <v>0</v>
      </c>
      <c r="F31" s="80">
        <f>IFERROR(E31/E$28,0)</f>
        <v>0</v>
      </c>
      <c r="G31" s="179">
        <f>$C$30*G14</f>
        <v>111884</v>
      </c>
      <c r="H31" s="80">
        <f>IFERROR(G31/G$28,0)</f>
        <v>0.33700000000000002</v>
      </c>
      <c r="I31" s="179">
        <f>$C$30*I14</f>
        <v>114121.68000000001</v>
      </c>
      <c r="J31" s="80">
        <f>IFERROR(I31/I$28,0)</f>
        <v>0.33700000000000002</v>
      </c>
      <c r="K31" s="179">
        <f>$C$30*K14</f>
        <v>116404.1136</v>
      </c>
      <c r="L31" s="80">
        <f>IFERROR(K31/K$28,0)</f>
        <v>0.33700000000000002</v>
      </c>
      <c r="M31" s="179">
        <f>$C$30*M14</f>
        <v>118732.195872</v>
      </c>
      <c r="N31" s="80">
        <f>IFERROR(M31/M$28,0)</f>
        <v>0.33700000000000002</v>
      </c>
      <c r="O31" s="179">
        <f>$C$30*O14</f>
        <v>121106.83978944001</v>
      </c>
      <c r="P31" s="80">
        <f>IFERROR(O31/O$28,0)</f>
        <v>0.33700000000000002</v>
      </c>
      <c r="Q31" s="179">
        <f>$C$30*Q14</f>
        <v>123528.9765852288</v>
      </c>
      <c r="R31" s="80">
        <f>IFERROR(Q31/Q$28,0)</f>
        <v>0.33700000000000002</v>
      </c>
      <c r="S31" s="179">
        <f>$C$30*S14</f>
        <v>125999.55611693338</v>
      </c>
      <c r="T31" s="80">
        <f>IFERROR(S31/S$28,0)</f>
        <v>0.33700000000000002</v>
      </c>
      <c r="U31" s="179">
        <f>$C$30*U14</f>
        <v>128519.54723927205</v>
      </c>
      <c r="V31" s="80">
        <f>IFERROR(U31/U$28,0)</f>
        <v>0.33700000000000002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0</v>
      </c>
      <c r="D33" s="83">
        <f>IFERROR(C33/C$28,0)</f>
        <v>0</v>
      </c>
      <c r="E33" s="82">
        <f>SUM(E31:E32)</f>
        <v>0</v>
      </c>
      <c r="F33" s="83">
        <f>IFERROR(E33/E$28,0)</f>
        <v>0</v>
      </c>
      <c r="G33" s="82">
        <f>SUM(G31:G32)</f>
        <v>111884</v>
      </c>
      <c r="H33" s="83">
        <f>IFERROR(G33/G$28,0)</f>
        <v>0.33700000000000002</v>
      </c>
      <c r="I33" s="82">
        <f>SUM(I31:I32)</f>
        <v>114121.68000000001</v>
      </c>
      <c r="J33" s="83">
        <f>IFERROR(I33/I$28,0)</f>
        <v>0.33700000000000002</v>
      </c>
      <c r="K33" s="82">
        <f>SUM(K31:K32)</f>
        <v>116404.1136</v>
      </c>
      <c r="L33" s="83">
        <f>IFERROR(K33/K$28,0)</f>
        <v>0.33700000000000002</v>
      </c>
      <c r="M33" s="82">
        <f>SUM(M31:M32)</f>
        <v>118732.195872</v>
      </c>
      <c r="N33" s="83">
        <f>IFERROR(M33/M$28,0)</f>
        <v>0.33700000000000002</v>
      </c>
      <c r="O33" s="82">
        <f>SUM(O31:O32)</f>
        <v>121106.83978944001</v>
      </c>
      <c r="P33" s="83">
        <f>IFERROR(O33/O$28,0)</f>
        <v>0.33700000000000002</v>
      </c>
      <c r="Q33" s="82">
        <f>SUM(Q31:Q32)</f>
        <v>123528.9765852288</v>
      </c>
      <c r="R33" s="83">
        <f>IFERROR(Q33/Q$28,0)</f>
        <v>0.33700000000000002</v>
      </c>
      <c r="S33" s="82">
        <f>SUM(S31:S32)</f>
        <v>125999.55611693338</v>
      </c>
      <c r="T33" s="83">
        <f>IFERROR(S33/S$28,0)</f>
        <v>0.33700000000000002</v>
      </c>
      <c r="U33" s="82">
        <f>SUM(U31:U32)</f>
        <v>128519.54723927205</v>
      </c>
      <c r="V33" s="83">
        <f>IFERROR(U33/U$28,0)</f>
        <v>0.33700000000000002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13"/>
      <c r="D36" s="80">
        <f t="shared" ref="D36:D46" si="11">IFERROR(C36/C$28,0)</f>
        <v>0</v>
      </c>
      <c r="E36" s="179"/>
      <c r="F36" s="80">
        <f t="shared" ref="F36:F46" si="12">IFERROR(E36/E$28,0)</f>
        <v>0</v>
      </c>
      <c r="G36" s="179"/>
      <c r="H36" s="80">
        <f t="shared" ref="H36:H46" si="13">IFERROR(G36/G$28,0)</f>
        <v>0</v>
      </c>
      <c r="I36" s="179"/>
      <c r="J36" s="80">
        <f t="shared" ref="J36:J46" si="14">IFERROR(I36/I$28,0)</f>
        <v>0</v>
      </c>
      <c r="K36" s="179"/>
      <c r="L36" s="80">
        <f t="shared" ref="L36:L46" si="15">IFERROR(K36/K$28,0)</f>
        <v>0</v>
      </c>
      <c r="M36" s="179"/>
      <c r="N36" s="80">
        <f t="shared" ref="N36:N46" si="16">IFERROR(M36/M$28,0)</f>
        <v>0</v>
      </c>
      <c r="O36" s="179"/>
      <c r="P36" s="80">
        <f t="shared" ref="P36:P46" si="17">IFERROR(O36/O$28,0)</f>
        <v>0</v>
      </c>
      <c r="Q36" s="179"/>
      <c r="R36" s="80">
        <f t="shared" ref="R36:R46" si="18">IFERROR(Q36/Q$28,0)</f>
        <v>0</v>
      </c>
      <c r="S36" s="179"/>
      <c r="T36" s="80">
        <f t="shared" ref="T36:T46" si="19">IFERROR(S36/S$28,0)</f>
        <v>0</v>
      </c>
      <c r="U36" s="179"/>
      <c r="V36" s="80">
        <f t="shared" ref="V36:V46" si="20">IFERROR(U36/U$28,0)</f>
        <v>0</v>
      </c>
    </row>
    <row r="37" spans="1:22" ht="12.75" customHeight="1">
      <c r="A37" s="2" t="s">
        <v>372</v>
      </c>
      <c r="B37" s="35"/>
      <c r="C37" s="113"/>
      <c r="D37" s="80">
        <f t="shared" si="11"/>
        <v>0</v>
      </c>
      <c r="E37" s="179"/>
      <c r="F37" s="80">
        <f t="shared" si="12"/>
        <v>0</v>
      </c>
      <c r="G37" s="179">
        <v>70467</v>
      </c>
      <c r="H37" s="80">
        <f t="shared" si="13"/>
        <v>0.21224999999999999</v>
      </c>
      <c r="I37" s="179">
        <f>+G37*1.032</f>
        <v>72721.944000000003</v>
      </c>
      <c r="J37" s="80">
        <f t="shared" si="14"/>
        <v>0.21474705882352943</v>
      </c>
      <c r="K37" s="179">
        <f>+I37*1.025</f>
        <v>74539.992599999998</v>
      </c>
      <c r="L37" s="80">
        <f t="shared" si="15"/>
        <v>0.21579974048442907</v>
      </c>
      <c r="M37" s="179">
        <f>+K37*1.025</f>
        <v>76403.492414999986</v>
      </c>
      <c r="N37" s="80">
        <f t="shared" si="16"/>
        <v>0.2168575823495488</v>
      </c>
      <c r="O37" s="179">
        <f>+M37*1.025</f>
        <v>78313.579725374977</v>
      </c>
      <c r="P37" s="80">
        <f t="shared" si="17"/>
        <v>0.21792060971400734</v>
      </c>
      <c r="Q37" s="179">
        <f>+O37*1.025</f>
        <v>80271.419218509342</v>
      </c>
      <c r="R37" s="80">
        <f t="shared" si="18"/>
        <v>0.21898884799691912</v>
      </c>
      <c r="S37" s="179">
        <f>+Q37*1.025</f>
        <v>82278.204698972069</v>
      </c>
      <c r="T37" s="80">
        <f t="shared" si="19"/>
        <v>0.22006232274200202</v>
      </c>
      <c r="U37" s="179">
        <f>+S37*1.025</f>
        <v>84335.159816446365</v>
      </c>
      <c r="V37" s="80">
        <f t="shared" si="20"/>
        <v>0.22114105961818828</v>
      </c>
    </row>
    <row r="38" spans="1:22" ht="12.75" customHeight="1">
      <c r="A38" s="2" t="s">
        <v>373</v>
      </c>
      <c r="B38" s="35"/>
      <c r="C38" s="113"/>
      <c r="D38" s="80">
        <f t="shared" si="11"/>
        <v>0</v>
      </c>
      <c r="E38" s="179"/>
      <c r="F38" s="80">
        <f t="shared" si="12"/>
        <v>0</v>
      </c>
      <c r="G38" s="179">
        <v>13255</v>
      </c>
      <c r="H38" s="80">
        <f t="shared" si="13"/>
        <v>3.9924698795180721E-2</v>
      </c>
      <c r="I38" s="179">
        <f>+G38*1.032</f>
        <v>13679.16</v>
      </c>
      <c r="J38" s="80">
        <f t="shared" si="14"/>
        <v>4.0394401133947558E-2</v>
      </c>
      <c r="K38" s="179">
        <f>+I38*1.025</f>
        <v>14021.138999999999</v>
      </c>
      <c r="L38" s="80">
        <f t="shared" si="15"/>
        <v>4.0592412904212005E-2</v>
      </c>
      <c r="M38" s="179">
        <f>+K38*1.025</f>
        <v>14371.667474999998</v>
      </c>
      <c r="N38" s="80">
        <f t="shared" si="16"/>
        <v>4.0791395320409117E-2</v>
      </c>
      <c r="O38" s="179">
        <f>+M38*1.025</f>
        <v>14730.959161874996</v>
      </c>
      <c r="P38" s="80">
        <f t="shared" si="17"/>
        <v>4.0991353140607194E-2</v>
      </c>
      <c r="Q38" s="179">
        <f>+O38*1.025</f>
        <v>15099.23314092187</v>
      </c>
      <c r="R38" s="80">
        <f t="shared" si="18"/>
        <v>4.1192291146198406E-2</v>
      </c>
      <c r="S38" s="179">
        <f>+Q38*1.025</f>
        <v>15476.713969444914</v>
      </c>
      <c r="T38" s="80">
        <f t="shared" si="19"/>
        <v>4.1394214142013094E-2</v>
      </c>
      <c r="U38" s="179">
        <f>+S38*1.025</f>
        <v>15863.631818681035</v>
      </c>
      <c r="V38" s="80">
        <f t="shared" si="20"/>
        <v>4.1597126956434721E-2</v>
      </c>
    </row>
    <row r="39" spans="1:22" ht="12.75" customHeight="1">
      <c r="A39" s="2" t="s">
        <v>374</v>
      </c>
      <c r="B39" s="35"/>
      <c r="C39" s="113"/>
      <c r="D39" s="80">
        <f t="shared" si="11"/>
        <v>0</v>
      </c>
      <c r="E39" s="179"/>
      <c r="F39" s="80">
        <f t="shared" si="12"/>
        <v>0</v>
      </c>
      <c r="G39" s="179">
        <v>19643</v>
      </c>
      <c r="H39" s="80">
        <f t="shared" si="13"/>
        <v>5.9165662650602413E-2</v>
      </c>
      <c r="I39" s="179">
        <f>+G39*1.032</f>
        <v>20271.576000000001</v>
      </c>
      <c r="J39" s="80">
        <f t="shared" si="14"/>
        <v>5.9861729270021265E-2</v>
      </c>
      <c r="K39" s="179">
        <f>+I39*1.025</f>
        <v>20778.365399999999</v>
      </c>
      <c r="L39" s="80">
        <f t="shared" si="15"/>
        <v>6.0155169119384108E-2</v>
      </c>
      <c r="M39" s="179">
        <f>+K39*1.025</f>
        <v>21297.824534999996</v>
      </c>
      <c r="N39" s="80">
        <f t="shared" si="16"/>
        <v>6.0450047399381084E-2</v>
      </c>
      <c r="O39" s="179">
        <f>+M39*1.025</f>
        <v>21830.270148374995</v>
      </c>
      <c r="P39" s="80">
        <f t="shared" si="17"/>
        <v>6.0746371161142752E-2</v>
      </c>
      <c r="Q39" s="179">
        <f>+O39*1.025</f>
        <v>22376.02690208437</v>
      </c>
      <c r="R39" s="80">
        <f t="shared" si="18"/>
        <v>6.1044147490364041E-2</v>
      </c>
      <c r="S39" s="179">
        <f>+Q39*1.025</f>
        <v>22935.427574636476</v>
      </c>
      <c r="T39" s="80">
        <f t="shared" si="19"/>
        <v>6.1343383507473655E-2</v>
      </c>
      <c r="U39" s="179">
        <f>+S39*1.025</f>
        <v>23508.813264002387</v>
      </c>
      <c r="V39" s="80">
        <f t="shared" si="20"/>
        <v>6.1644086367804406E-2</v>
      </c>
    </row>
    <row r="40" spans="1:22" ht="12.75" customHeight="1">
      <c r="A40" s="2" t="s">
        <v>375</v>
      </c>
      <c r="B40" s="35"/>
      <c r="C40" s="113"/>
      <c r="D40" s="80">
        <f t="shared" si="11"/>
        <v>0</v>
      </c>
      <c r="E40" s="113"/>
      <c r="F40" s="80">
        <f t="shared" si="12"/>
        <v>0</v>
      </c>
      <c r="G40" s="179">
        <f>G36*0.124</f>
        <v>0</v>
      </c>
      <c r="H40" s="80">
        <f t="shared" si="13"/>
        <v>0</v>
      </c>
      <c r="I40" s="179">
        <f>I36*0.124</f>
        <v>0</v>
      </c>
      <c r="J40" s="80">
        <f t="shared" si="14"/>
        <v>0</v>
      </c>
      <c r="K40" s="179">
        <f>K36*0.124</f>
        <v>0</v>
      </c>
      <c r="L40" s="80">
        <f t="shared" si="15"/>
        <v>0</v>
      </c>
      <c r="M40" s="179">
        <f>M36*0.124</f>
        <v>0</v>
      </c>
      <c r="N40" s="80">
        <f t="shared" si="16"/>
        <v>0</v>
      </c>
      <c r="O40" s="179">
        <f>O36*0.124</f>
        <v>0</v>
      </c>
      <c r="P40" s="80">
        <f t="shared" si="17"/>
        <v>0</v>
      </c>
      <c r="Q40" s="179">
        <f>Q36*0.124</f>
        <v>0</v>
      </c>
      <c r="R40" s="80">
        <f t="shared" si="18"/>
        <v>0</v>
      </c>
      <c r="S40" s="179">
        <f>S36*0.124</f>
        <v>0</v>
      </c>
      <c r="T40" s="80">
        <f t="shared" si="19"/>
        <v>0</v>
      </c>
      <c r="U40" s="179">
        <f>U36*0.124</f>
        <v>0</v>
      </c>
      <c r="V40" s="80">
        <f t="shared" si="20"/>
        <v>0</v>
      </c>
    </row>
    <row r="41" spans="1:22" ht="12.75" customHeight="1">
      <c r="A41" s="2" t="s">
        <v>376</v>
      </c>
      <c r="B41" s="35"/>
      <c r="C41" s="113"/>
      <c r="D41" s="80">
        <f t="shared" si="11"/>
        <v>0</v>
      </c>
      <c r="E41" s="113"/>
      <c r="F41" s="80">
        <f t="shared" si="12"/>
        <v>0</v>
      </c>
      <c r="G41" s="179">
        <f>G37*0.124</f>
        <v>8737.9079999999994</v>
      </c>
      <c r="H41" s="80">
        <f t="shared" si="13"/>
        <v>2.6318999999999999E-2</v>
      </c>
      <c r="I41" s="179">
        <f>I37*0.124</f>
        <v>9017.5210559999996</v>
      </c>
      <c r="J41" s="80">
        <f t="shared" si="14"/>
        <v>2.6628635294117645E-2</v>
      </c>
      <c r="K41" s="179">
        <f>K37*0.124</f>
        <v>9242.9590823999988</v>
      </c>
      <c r="L41" s="80">
        <f t="shared" si="15"/>
        <v>2.67591678200692E-2</v>
      </c>
      <c r="M41" s="179">
        <f>M37*0.124</f>
        <v>9474.0330594599982</v>
      </c>
      <c r="N41" s="80">
        <f t="shared" si="16"/>
        <v>2.6890340211344049E-2</v>
      </c>
      <c r="O41" s="179">
        <f>O37*0.124</f>
        <v>9710.8838859464977</v>
      </c>
      <c r="P41" s="80">
        <f t="shared" si="17"/>
        <v>2.7022155604536909E-2</v>
      </c>
      <c r="Q41" s="179">
        <f>Q37*0.124</f>
        <v>9953.6559830951592</v>
      </c>
      <c r="R41" s="80">
        <f t="shared" si="18"/>
        <v>2.7154617151617971E-2</v>
      </c>
      <c r="S41" s="179">
        <f>S37*0.124</f>
        <v>10202.497382672536</v>
      </c>
      <c r="T41" s="80">
        <f t="shared" si="19"/>
        <v>2.7287728020008249E-2</v>
      </c>
      <c r="U41" s="179">
        <f>U37*0.124</f>
        <v>10457.559817239349</v>
      </c>
      <c r="V41" s="80">
        <f t="shared" si="20"/>
        <v>2.7421491392655348E-2</v>
      </c>
    </row>
    <row r="42" spans="1:22" ht="12.75" customHeight="1">
      <c r="A42" s="2" t="s">
        <v>377</v>
      </c>
      <c r="B42" s="35"/>
      <c r="C42" s="113"/>
      <c r="D42" s="80">
        <f t="shared" si="11"/>
        <v>0</v>
      </c>
      <c r="E42" s="179"/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13"/>
      <c r="D43" s="80">
        <f t="shared" si="11"/>
        <v>0</v>
      </c>
      <c r="E43" s="179"/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13"/>
      <c r="D44" s="80">
        <f t="shared" si="11"/>
        <v>0</v>
      </c>
      <c r="E44" s="179"/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14"/>
      <c r="D45" s="80">
        <f t="shared" si="11"/>
        <v>0</v>
      </c>
      <c r="E45" s="114"/>
      <c r="F45" s="80">
        <f t="shared" si="12"/>
        <v>0</v>
      </c>
      <c r="G45" s="182">
        <f>SUM(G36:G39)*0.094</f>
        <v>9716.31</v>
      </c>
      <c r="H45" s="80">
        <f t="shared" si="13"/>
        <v>2.9265993975903612E-2</v>
      </c>
      <c r="I45" s="182">
        <f>SUM(I36:I39)*0.094</f>
        <v>10027.23192</v>
      </c>
      <c r="J45" s="80">
        <f t="shared" si="14"/>
        <v>2.9610299787384834E-2</v>
      </c>
      <c r="K45" s="182">
        <f>SUM(K36:K39)*0.094</f>
        <v>10277.912718</v>
      </c>
      <c r="L45" s="80">
        <f t="shared" si="15"/>
        <v>2.9755448315754367E-2</v>
      </c>
      <c r="M45" s="182">
        <f>SUM(M36:M39)*0.094</f>
        <v>10534.860535949998</v>
      </c>
      <c r="N45" s="80">
        <f t="shared" si="16"/>
        <v>2.9901308356517865E-2</v>
      </c>
      <c r="O45" s="182">
        <f>SUM(O36:O39)*0.094</f>
        <v>10798.232049348748</v>
      </c>
      <c r="P45" s="80">
        <f t="shared" si="17"/>
        <v>3.0047883397481184E-2</v>
      </c>
      <c r="Q45" s="182">
        <f>SUM(Q36:Q39)*0.094</f>
        <v>11068.187850582464</v>
      </c>
      <c r="R45" s="80">
        <f t="shared" si="18"/>
        <v>3.0195176943547265E-2</v>
      </c>
      <c r="S45" s="182">
        <f>SUM(S36:S39)*0.094</f>
        <v>11344.892546847024</v>
      </c>
      <c r="T45" s="80">
        <f t="shared" si="19"/>
        <v>3.0343192516799941E-2</v>
      </c>
      <c r="U45" s="182">
        <f>SUM(U36:U39)*0.094</f>
        <v>11628.5148605182</v>
      </c>
      <c r="V45" s="80">
        <f t="shared" si="20"/>
        <v>3.0491933656588179E-2</v>
      </c>
    </row>
    <row r="46" spans="1:22" ht="12.75" customHeight="1">
      <c r="A46" s="1" t="s">
        <v>381</v>
      </c>
      <c r="B46" s="53"/>
      <c r="C46" s="82">
        <f>SUM(C36:C45)</f>
        <v>0</v>
      </c>
      <c r="D46" s="83">
        <f t="shared" si="11"/>
        <v>0</v>
      </c>
      <c r="E46" s="82">
        <f>SUM(E36:E45)</f>
        <v>0</v>
      </c>
      <c r="F46" s="83">
        <f t="shared" si="12"/>
        <v>0</v>
      </c>
      <c r="G46" s="82">
        <f>SUM(G36:G45)</f>
        <v>121819.21799999999</v>
      </c>
      <c r="H46" s="83">
        <f t="shared" si="13"/>
        <v>0.36692535542168675</v>
      </c>
      <c r="I46" s="82">
        <f>SUM(I36:I45)</f>
        <v>125717.43297600001</v>
      </c>
      <c r="J46" s="83">
        <f t="shared" si="14"/>
        <v>0.37124212430900072</v>
      </c>
      <c r="K46" s="82">
        <f>SUM(K36:K45)</f>
        <v>128860.3688004</v>
      </c>
      <c r="L46" s="83">
        <f t="shared" si="15"/>
        <v>0.37306193864384879</v>
      </c>
      <c r="M46" s="82">
        <f>SUM(M36:M45)</f>
        <v>132081.87802040996</v>
      </c>
      <c r="N46" s="83">
        <f t="shared" si="16"/>
        <v>0.37489067363720086</v>
      </c>
      <c r="O46" s="82">
        <f>SUM(O36:O45)</f>
        <v>135383.92497092023</v>
      </c>
      <c r="P46" s="83">
        <f t="shared" si="17"/>
        <v>0.3767283730177754</v>
      </c>
      <c r="Q46" s="82">
        <f>SUM(Q36:Q45)</f>
        <v>138768.5230951932</v>
      </c>
      <c r="R46" s="83">
        <f t="shared" si="18"/>
        <v>0.37857508072864676</v>
      </c>
      <c r="S46" s="82">
        <f>SUM(S36:S45)</f>
        <v>142237.736172573</v>
      </c>
      <c r="T46" s="83">
        <f t="shared" si="19"/>
        <v>0.38043084092829693</v>
      </c>
      <c r="U46" s="82">
        <f>SUM(U36:U45)</f>
        <v>145793.67957688731</v>
      </c>
      <c r="V46" s="83">
        <f t="shared" si="20"/>
        <v>0.3822956979916709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1">IFERROR(C52/C$28,0)</f>
        <v>0</v>
      </c>
      <c r="E52" s="179">
        <v>0</v>
      </c>
      <c r="F52" s="80">
        <f t="shared" ref="F52:F104" si="22">IFERROR(E52/E$28,0)</f>
        <v>0</v>
      </c>
      <c r="G52" s="179">
        <v>0</v>
      </c>
      <c r="H52" s="80">
        <f t="shared" ref="H52:H104" si="23">IFERROR(G52/G$28,0)</f>
        <v>0</v>
      </c>
      <c r="I52" s="179">
        <v>0</v>
      </c>
      <c r="J52" s="80">
        <f t="shared" ref="J52:J104" si="24">IFERROR(I52/I$28,0)</f>
        <v>0</v>
      </c>
      <c r="K52" s="179">
        <v>0</v>
      </c>
      <c r="L52" s="80">
        <f t="shared" ref="L52:L104" si="25">IFERROR(K52/K$28,0)</f>
        <v>0</v>
      </c>
      <c r="M52" s="179">
        <v>0</v>
      </c>
      <c r="N52" s="80">
        <f t="shared" ref="N52:N104" si="26">IFERROR(M52/M$28,0)</f>
        <v>0</v>
      </c>
      <c r="O52" s="179">
        <v>0</v>
      </c>
      <c r="P52" s="80">
        <f t="shared" ref="P52:P104" si="27">IFERROR(O52/O$28,0)</f>
        <v>0</v>
      </c>
      <c r="Q52" s="179">
        <v>0</v>
      </c>
      <c r="R52" s="80">
        <f t="shared" ref="R52:R104" si="28">IFERROR(Q52/Q$28,0)</f>
        <v>0</v>
      </c>
      <c r="S52" s="179">
        <v>0</v>
      </c>
      <c r="T52" s="80">
        <f t="shared" ref="T52:T104" si="29">IFERROR(S52/S$28,0)</f>
        <v>0</v>
      </c>
      <c r="U52" s="179">
        <v>0</v>
      </c>
      <c r="V52" s="80">
        <f t="shared" ref="V52:V105" si="30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1"/>
        <v>0</v>
      </c>
      <c r="E53" s="179">
        <v>0</v>
      </c>
      <c r="F53" s="80">
        <f t="shared" si="22"/>
        <v>0</v>
      </c>
      <c r="G53" s="179">
        <v>0</v>
      </c>
      <c r="H53" s="80">
        <f t="shared" si="23"/>
        <v>0</v>
      </c>
      <c r="I53" s="179">
        <v>0</v>
      </c>
      <c r="J53" s="80">
        <f t="shared" si="24"/>
        <v>0</v>
      </c>
      <c r="K53" s="179">
        <v>0</v>
      </c>
      <c r="L53" s="80">
        <f t="shared" si="25"/>
        <v>0</v>
      </c>
      <c r="M53" s="179">
        <v>0</v>
      </c>
      <c r="N53" s="80">
        <f t="shared" si="26"/>
        <v>0</v>
      </c>
      <c r="O53" s="179">
        <v>0</v>
      </c>
      <c r="P53" s="80">
        <f t="shared" si="27"/>
        <v>0</v>
      </c>
      <c r="Q53" s="179">
        <v>0</v>
      </c>
      <c r="R53" s="80">
        <f t="shared" si="28"/>
        <v>0</v>
      </c>
      <c r="S53" s="179">
        <v>0</v>
      </c>
      <c r="T53" s="80">
        <f t="shared" si="29"/>
        <v>0</v>
      </c>
      <c r="U53" s="179">
        <v>0</v>
      </c>
      <c r="V53" s="80">
        <f t="shared" si="30"/>
        <v>0</v>
      </c>
      <c r="X53" s="200"/>
    </row>
    <row r="54" spans="1:24" ht="12.75" customHeight="1">
      <c r="A54" s="2" t="s">
        <v>385</v>
      </c>
      <c r="B54" s="35"/>
      <c r="C54" s="179">
        <v>19.25</v>
      </c>
      <c r="D54" s="80">
        <f t="shared" si="21"/>
        <v>6.9999999999999999E-4</v>
      </c>
      <c r="E54" s="179">
        <v>21.175000000000001</v>
      </c>
      <c r="F54" s="80">
        <f t="shared" si="22"/>
        <v>6.9999999999999999E-4</v>
      </c>
      <c r="G54" s="179">
        <v>232.4</v>
      </c>
      <c r="H54" s="80">
        <f t="shared" si="23"/>
        <v>6.9999999999999999E-4</v>
      </c>
      <c r="I54" s="179">
        <v>237.04799999999997</v>
      </c>
      <c r="J54" s="80">
        <f t="shared" si="24"/>
        <v>6.9999999999999988E-4</v>
      </c>
      <c r="K54" s="179">
        <v>241.78895999999997</v>
      </c>
      <c r="L54" s="80">
        <f t="shared" si="25"/>
        <v>6.9999999999999999E-4</v>
      </c>
      <c r="M54" s="179">
        <v>246.62473919999999</v>
      </c>
      <c r="N54" s="80">
        <f t="shared" si="26"/>
        <v>6.9999999999999999E-4</v>
      </c>
      <c r="O54" s="179">
        <v>251.55723398399999</v>
      </c>
      <c r="P54" s="80">
        <f t="shared" si="27"/>
        <v>6.9999999999999999E-4</v>
      </c>
      <c r="Q54" s="179">
        <v>256.58837866367998</v>
      </c>
      <c r="R54" s="80">
        <f t="shared" si="28"/>
        <v>6.9999999999999999E-4</v>
      </c>
      <c r="S54" s="179">
        <v>261.72014623695361</v>
      </c>
      <c r="T54" s="80">
        <f t="shared" si="29"/>
        <v>6.9999999999999999E-4</v>
      </c>
      <c r="U54" s="179">
        <v>266.95454916169268</v>
      </c>
      <c r="V54" s="80">
        <f t="shared" si="30"/>
        <v>6.9999999999999999E-4</v>
      </c>
      <c r="X54" s="200"/>
    </row>
    <row r="55" spans="1:24" ht="12.75" customHeight="1">
      <c r="A55" s="2" t="s">
        <v>386</v>
      </c>
      <c r="B55" s="35"/>
      <c r="C55" s="179"/>
      <c r="D55" s="80">
        <f t="shared" si="21"/>
        <v>0</v>
      </c>
      <c r="E55" s="179"/>
      <c r="F55" s="80">
        <f t="shared" si="22"/>
        <v>0</v>
      </c>
      <c r="G55" s="179"/>
      <c r="H55" s="80">
        <f t="shared" si="23"/>
        <v>0</v>
      </c>
      <c r="I55" s="179"/>
      <c r="J55" s="80">
        <f t="shared" si="24"/>
        <v>0</v>
      </c>
      <c r="K55" s="179"/>
      <c r="L55" s="80">
        <f t="shared" si="25"/>
        <v>0</v>
      </c>
      <c r="M55" s="179"/>
      <c r="N55" s="80">
        <f t="shared" si="26"/>
        <v>0</v>
      </c>
      <c r="O55" s="179"/>
      <c r="P55" s="80">
        <f t="shared" si="27"/>
        <v>0</v>
      </c>
      <c r="Q55" s="179"/>
      <c r="R55" s="80">
        <f t="shared" si="28"/>
        <v>0</v>
      </c>
      <c r="S55" s="179"/>
      <c r="T55" s="80">
        <f t="shared" si="29"/>
        <v>0</v>
      </c>
      <c r="U55" s="179"/>
      <c r="V55" s="80">
        <f t="shared" si="30"/>
        <v>0</v>
      </c>
      <c r="X55" s="200"/>
    </row>
    <row r="56" spans="1:24" ht="12.75" customHeight="1">
      <c r="A56" s="2" t="s">
        <v>387</v>
      </c>
      <c r="B56" s="35"/>
      <c r="C56" s="179">
        <v>14.025000000000002</v>
      </c>
      <c r="D56" s="80">
        <f t="shared" si="21"/>
        <v>5.1000000000000004E-4</v>
      </c>
      <c r="E56" s="179">
        <v>15.427500000000004</v>
      </c>
      <c r="F56" s="80">
        <f t="shared" si="22"/>
        <v>5.1000000000000004E-4</v>
      </c>
      <c r="G56" s="179">
        <v>169.32</v>
      </c>
      <c r="H56" s="80">
        <f t="shared" si="23"/>
        <v>5.0999999999999993E-4</v>
      </c>
      <c r="I56" s="179">
        <v>172.70640000000003</v>
      </c>
      <c r="J56" s="80">
        <f t="shared" si="24"/>
        <v>5.1000000000000004E-4</v>
      </c>
      <c r="K56" s="179">
        <v>176.160528</v>
      </c>
      <c r="L56" s="80">
        <f t="shared" si="25"/>
        <v>5.1000000000000004E-4</v>
      </c>
      <c r="M56" s="179">
        <v>179.68373855999999</v>
      </c>
      <c r="N56" s="80">
        <f t="shared" si="26"/>
        <v>5.1000000000000004E-4</v>
      </c>
      <c r="O56" s="179">
        <v>183.27741333120002</v>
      </c>
      <c r="P56" s="80">
        <f t="shared" si="27"/>
        <v>5.1000000000000004E-4</v>
      </c>
      <c r="Q56" s="179">
        <v>186.94296159782402</v>
      </c>
      <c r="R56" s="80">
        <f t="shared" si="28"/>
        <v>5.1000000000000015E-4</v>
      </c>
      <c r="S56" s="179">
        <v>190.68182082978049</v>
      </c>
      <c r="T56" s="80">
        <f t="shared" si="29"/>
        <v>5.1000000000000004E-4</v>
      </c>
      <c r="U56" s="179">
        <v>194.49545724637608</v>
      </c>
      <c r="V56" s="80">
        <f t="shared" si="30"/>
        <v>5.0999999999999993E-4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1"/>
        <v>0</v>
      </c>
      <c r="E57" s="179">
        <v>0</v>
      </c>
      <c r="F57" s="80">
        <f t="shared" si="22"/>
        <v>0</v>
      </c>
      <c r="G57" s="179">
        <v>0</v>
      </c>
      <c r="H57" s="80">
        <f t="shared" si="23"/>
        <v>0</v>
      </c>
      <c r="I57" s="179">
        <v>0</v>
      </c>
      <c r="J57" s="80">
        <f t="shared" si="24"/>
        <v>0</v>
      </c>
      <c r="K57" s="179">
        <v>0</v>
      </c>
      <c r="L57" s="80">
        <f t="shared" si="25"/>
        <v>0</v>
      </c>
      <c r="M57" s="179">
        <v>0</v>
      </c>
      <c r="N57" s="80">
        <f t="shared" si="26"/>
        <v>0</v>
      </c>
      <c r="O57" s="179">
        <v>0</v>
      </c>
      <c r="P57" s="80">
        <f t="shared" si="27"/>
        <v>0</v>
      </c>
      <c r="Q57" s="179">
        <v>0</v>
      </c>
      <c r="R57" s="80">
        <f t="shared" si="28"/>
        <v>0</v>
      </c>
      <c r="S57" s="179">
        <v>0</v>
      </c>
      <c r="T57" s="80">
        <f t="shared" si="29"/>
        <v>0</v>
      </c>
      <c r="U57" s="179">
        <v>0</v>
      </c>
      <c r="V57" s="80">
        <f t="shared" si="30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1"/>
        <v>0</v>
      </c>
      <c r="E58" s="179">
        <v>0</v>
      </c>
      <c r="F58" s="80">
        <f t="shared" si="22"/>
        <v>0</v>
      </c>
      <c r="G58" s="179">
        <v>0</v>
      </c>
      <c r="H58" s="80">
        <f t="shared" si="23"/>
        <v>0</v>
      </c>
      <c r="I58" s="179">
        <v>0</v>
      </c>
      <c r="J58" s="80">
        <f t="shared" si="24"/>
        <v>0</v>
      </c>
      <c r="K58" s="179">
        <v>0</v>
      </c>
      <c r="L58" s="80">
        <f t="shared" si="25"/>
        <v>0</v>
      </c>
      <c r="M58" s="179">
        <v>0</v>
      </c>
      <c r="N58" s="80">
        <f t="shared" si="26"/>
        <v>0</v>
      </c>
      <c r="O58" s="179">
        <v>0</v>
      </c>
      <c r="P58" s="80">
        <f t="shared" si="27"/>
        <v>0</v>
      </c>
      <c r="Q58" s="179">
        <v>0</v>
      </c>
      <c r="R58" s="80">
        <f t="shared" si="28"/>
        <v>0</v>
      </c>
      <c r="S58" s="179">
        <v>0</v>
      </c>
      <c r="T58" s="80">
        <f t="shared" si="29"/>
        <v>0</v>
      </c>
      <c r="U58" s="179">
        <v>0</v>
      </c>
      <c r="V58" s="80">
        <f t="shared" si="30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1"/>
        <v>0</v>
      </c>
      <c r="E59" s="179">
        <v>0</v>
      </c>
      <c r="F59" s="80">
        <f t="shared" si="22"/>
        <v>0</v>
      </c>
      <c r="G59" s="179">
        <v>0</v>
      </c>
      <c r="H59" s="80">
        <f t="shared" si="23"/>
        <v>0</v>
      </c>
      <c r="I59" s="179">
        <v>0</v>
      </c>
      <c r="J59" s="80">
        <f t="shared" si="24"/>
        <v>0</v>
      </c>
      <c r="K59" s="179">
        <v>0</v>
      </c>
      <c r="L59" s="80">
        <f t="shared" si="25"/>
        <v>0</v>
      </c>
      <c r="M59" s="179">
        <v>0</v>
      </c>
      <c r="N59" s="80">
        <f t="shared" si="26"/>
        <v>0</v>
      </c>
      <c r="O59" s="179">
        <v>0</v>
      </c>
      <c r="P59" s="80">
        <f t="shared" si="27"/>
        <v>0</v>
      </c>
      <c r="Q59" s="179">
        <v>0</v>
      </c>
      <c r="R59" s="80">
        <f t="shared" si="28"/>
        <v>0</v>
      </c>
      <c r="S59" s="179">
        <v>0</v>
      </c>
      <c r="T59" s="80">
        <f t="shared" si="29"/>
        <v>0</v>
      </c>
      <c r="U59" s="179">
        <v>0</v>
      </c>
      <c r="V59" s="80">
        <f t="shared" si="30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1"/>
        <v>0</v>
      </c>
      <c r="E60" s="179">
        <v>0</v>
      </c>
      <c r="F60" s="80">
        <f t="shared" si="22"/>
        <v>0</v>
      </c>
      <c r="G60" s="179">
        <v>0</v>
      </c>
      <c r="H60" s="80">
        <f t="shared" si="23"/>
        <v>0</v>
      </c>
      <c r="I60" s="179">
        <v>0</v>
      </c>
      <c r="J60" s="80">
        <f t="shared" si="24"/>
        <v>0</v>
      </c>
      <c r="K60" s="179">
        <v>0</v>
      </c>
      <c r="L60" s="80">
        <f t="shared" si="25"/>
        <v>0</v>
      </c>
      <c r="M60" s="179">
        <v>0</v>
      </c>
      <c r="N60" s="80">
        <f t="shared" si="26"/>
        <v>0</v>
      </c>
      <c r="O60" s="179">
        <v>0</v>
      </c>
      <c r="P60" s="80">
        <f t="shared" si="27"/>
        <v>0</v>
      </c>
      <c r="Q60" s="179">
        <v>0</v>
      </c>
      <c r="R60" s="80">
        <f t="shared" si="28"/>
        <v>0</v>
      </c>
      <c r="S60" s="179">
        <v>0</v>
      </c>
      <c r="T60" s="80">
        <f t="shared" si="29"/>
        <v>0</v>
      </c>
      <c r="U60" s="179">
        <v>0</v>
      </c>
      <c r="V60" s="80">
        <f t="shared" si="30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1"/>
        <v>0</v>
      </c>
      <c r="E61" s="179">
        <v>0</v>
      </c>
      <c r="F61" s="80">
        <f t="shared" si="22"/>
        <v>0</v>
      </c>
      <c r="G61" s="179">
        <v>0</v>
      </c>
      <c r="H61" s="80">
        <f t="shared" si="23"/>
        <v>0</v>
      </c>
      <c r="I61" s="179">
        <v>0</v>
      </c>
      <c r="J61" s="80">
        <f t="shared" si="24"/>
        <v>0</v>
      </c>
      <c r="K61" s="179">
        <v>0</v>
      </c>
      <c r="L61" s="80">
        <f t="shared" si="25"/>
        <v>0</v>
      </c>
      <c r="M61" s="179">
        <v>0</v>
      </c>
      <c r="N61" s="80">
        <f t="shared" si="26"/>
        <v>0</v>
      </c>
      <c r="O61" s="179">
        <v>0</v>
      </c>
      <c r="P61" s="80">
        <f t="shared" si="27"/>
        <v>0</v>
      </c>
      <c r="Q61" s="179">
        <v>0</v>
      </c>
      <c r="R61" s="80">
        <f t="shared" si="28"/>
        <v>0</v>
      </c>
      <c r="S61" s="179">
        <v>0</v>
      </c>
      <c r="T61" s="80">
        <f t="shared" si="29"/>
        <v>0</v>
      </c>
      <c r="U61" s="179">
        <v>0</v>
      </c>
      <c r="V61" s="80">
        <f t="shared" si="30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1"/>
        <v>0</v>
      </c>
      <c r="E62" s="179">
        <v>0</v>
      </c>
      <c r="F62" s="80">
        <f t="shared" si="22"/>
        <v>0</v>
      </c>
      <c r="G62" s="179">
        <v>0</v>
      </c>
      <c r="H62" s="80">
        <f t="shared" si="23"/>
        <v>0</v>
      </c>
      <c r="I62" s="179">
        <v>0</v>
      </c>
      <c r="J62" s="80">
        <f t="shared" si="24"/>
        <v>0</v>
      </c>
      <c r="K62" s="179">
        <v>0</v>
      </c>
      <c r="L62" s="80">
        <f t="shared" si="25"/>
        <v>0</v>
      </c>
      <c r="M62" s="179">
        <v>0</v>
      </c>
      <c r="N62" s="80">
        <f t="shared" si="26"/>
        <v>0</v>
      </c>
      <c r="O62" s="179">
        <v>0</v>
      </c>
      <c r="P62" s="80">
        <f t="shared" si="27"/>
        <v>0</v>
      </c>
      <c r="Q62" s="179">
        <v>0</v>
      </c>
      <c r="R62" s="80">
        <f t="shared" si="28"/>
        <v>0</v>
      </c>
      <c r="S62" s="179">
        <v>0</v>
      </c>
      <c r="T62" s="80">
        <f t="shared" si="29"/>
        <v>0</v>
      </c>
      <c r="U62" s="179">
        <v>0</v>
      </c>
      <c r="V62" s="80">
        <f t="shared" si="30"/>
        <v>0</v>
      </c>
      <c r="X62" s="200"/>
    </row>
    <row r="63" spans="1:24" ht="12.75" customHeight="1">
      <c r="A63" s="2" t="s">
        <v>394</v>
      </c>
      <c r="B63" s="35"/>
      <c r="C63" s="179">
        <v>377.36697760220659</v>
      </c>
      <c r="D63" s="80">
        <f t="shared" si="21"/>
        <v>1.3722435549171149E-2</v>
      </c>
      <c r="E63" s="179">
        <v>234.6589437283161</v>
      </c>
      <c r="F63" s="80">
        <f t="shared" si="22"/>
        <v>7.7573204538286308E-3</v>
      </c>
      <c r="G63" s="179">
        <v>2955.6450796794811</v>
      </c>
      <c r="H63" s="80">
        <f t="shared" si="23"/>
        <v>8.9025454207213289E-3</v>
      </c>
      <c r="I63" s="179">
        <v>2988.3829132148871</v>
      </c>
      <c r="J63" s="80">
        <f t="shared" si="24"/>
        <v>8.8246601500557732E-3</v>
      </c>
      <c r="K63" s="179">
        <v>3013.0471396191238</v>
      </c>
      <c r="L63" s="80">
        <f t="shared" si="25"/>
        <v>8.723032671687685E-3</v>
      </c>
      <c r="M63" s="179">
        <v>3066.8479915837506</v>
      </c>
      <c r="N63" s="80">
        <f t="shared" si="26"/>
        <v>8.7046968648497435E-3</v>
      </c>
      <c r="O63" s="179">
        <v>3121.7820331409039</v>
      </c>
      <c r="P63" s="80">
        <f t="shared" si="27"/>
        <v>8.6868796758101698E-3</v>
      </c>
      <c r="Q63" s="179">
        <v>3177.7635364602615</v>
      </c>
      <c r="R63" s="80">
        <f t="shared" si="28"/>
        <v>8.6692721124281037E-3</v>
      </c>
      <c r="S63" s="179">
        <v>3234.7075391221788</v>
      </c>
      <c r="T63" s="80">
        <f t="shared" si="29"/>
        <v>8.6515895315735451E-3</v>
      </c>
      <c r="U63" s="179">
        <v>3418.6023085925362</v>
      </c>
      <c r="V63" s="80">
        <f t="shared" si="30"/>
        <v>8.9641537240308933E-3</v>
      </c>
      <c r="X63" s="200"/>
    </row>
    <row r="64" spans="1:24" ht="12.75" customHeight="1">
      <c r="A64" s="2" t="s">
        <v>395</v>
      </c>
      <c r="B64" s="35"/>
      <c r="C64" s="179">
        <v>132</v>
      </c>
      <c r="D64" s="80">
        <f t="shared" si="21"/>
        <v>4.7999999999999996E-3</v>
      </c>
      <c r="E64" s="179">
        <v>145.19999999999999</v>
      </c>
      <c r="F64" s="80">
        <f t="shared" si="22"/>
        <v>4.7999999999999987E-3</v>
      </c>
      <c r="G64" s="179">
        <v>1593.5999999999997</v>
      </c>
      <c r="H64" s="80">
        <f t="shared" si="23"/>
        <v>4.7999999999999987E-3</v>
      </c>
      <c r="I64" s="179">
        <v>1625.4719999999998</v>
      </c>
      <c r="J64" s="80">
        <f t="shared" si="24"/>
        <v>4.7999999999999996E-3</v>
      </c>
      <c r="K64" s="179">
        <v>1657.9814399999996</v>
      </c>
      <c r="L64" s="80">
        <f t="shared" si="25"/>
        <v>4.7999999999999987E-3</v>
      </c>
      <c r="M64" s="179">
        <v>1691.1410687999996</v>
      </c>
      <c r="N64" s="80">
        <f t="shared" si="26"/>
        <v>4.7999999999999996E-3</v>
      </c>
      <c r="O64" s="179">
        <v>1724.9638901759997</v>
      </c>
      <c r="P64" s="80">
        <f t="shared" si="27"/>
        <v>4.7999999999999996E-3</v>
      </c>
      <c r="Q64" s="179">
        <v>1759.4631679795198</v>
      </c>
      <c r="R64" s="80">
        <f t="shared" si="28"/>
        <v>4.7999999999999996E-3</v>
      </c>
      <c r="S64" s="179">
        <v>1794.6524313391103</v>
      </c>
      <c r="T64" s="80">
        <f t="shared" si="29"/>
        <v>4.7999999999999996E-3</v>
      </c>
      <c r="U64" s="179">
        <v>1830.5454799658924</v>
      </c>
      <c r="V64" s="80">
        <f t="shared" si="30"/>
        <v>4.7999999999999996E-3</v>
      </c>
      <c r="X64" s="200"/>
    </row>
    <row r="65" spans="1:24" ht="12.75" customHeight="1">
      <c r="A65" s="2" t="s">
        <v>396</v>
      </c>
      <c r="B65" s="35"/>
      <c r="C65" s="179">
        <v>13.75</v>
      </c>
      <c r="D65" s="80">
        <f t="shared" si="21"/>
        <v>5.0000000000000001E-4</v>
      </c>
      <c r="E65" s="179">
        <v>15.125000000000002</v>
      </c>
      <c r="F65" s="80">
        <f t="shared" si="22"/>
        <v>5.0000000000000001E-4</v>
      </c>
      <c r="G65" s="179">
        <v>166</v>
      </c>
      <c r="H65" s="80">
        <f t="shared" si="23"/>
        <v>5.0000000000000001E-4</v>
      </c>
      <c r="I65" s="179">
        <v>169.32000000000002</v>
      </c>
      <c r="J65" s="80">
        <f t="shared" si="24"/>
        <v>5.0000000000000001E-4</v>
      </c>
      <c r="K65" s="179">
        <v>172.7064</v>
      </c>
      <c r="L65" s="80">
        <f t="shared" si="25"/>
        <v>5.0000000000000001E-4</v>
      </c>
      <c r="M65" s="179">
        <v>176.160528</v>
      </c>
      <c r="N65" s="80">
        <f t="shared" si="26"/>
        <v>5.0000000000000001E-4</v>
      </c>
      <c r="O65" s="179">
        <v>179.68373855999999</v>
      </c>
      <c r="P65" s="80">
        <f t="shared" si="27"/>
        <v>5.0000000000000001E-4</v>
      </c>
      <c r="Q65" s="179">
        <v>183.27741333119999</v>
      </c>
      <c r="R65" s="80">
        <f t="shared" si="28"/>
        <v>5.0000000000000001E-4</v>
      </c>
      <c r="S65" s="179">
        <v>186.942961597824</v>
      </c>
      <c r="T65" s="80">
        <f t="shared" si="29"/>
        <v>5.0000000000000001E-4</v>
      </c>
      <c r="U65" s="179">
        <v>190.68182082978046</v>
      </c>
      <c r="V65" s="80">
        <f t="shared" si="30"/>
        <v>4.999999999999999E-4</v>
      </c>
      <c r="X65" s="200"/>
    </row>
    <row r="66" spans="1:24" ht="12.75" customHeight="1">
      <c r="A66" s="2" t="s">
        <v>397</v>
      </c>
      <c r="B66" s="35"/>
      <c r="C66" s="179">
        <v>77</v>
      </c>
      <c r="D66" s="80">
        <f t="shared" si="21"/>
        <v>2.8E-3</v>
      </c>
      <c r="E66" s="179">
        <v>84.7</v>
      </c>
      <c r="F66" s="80">
        <f t="shared" si="22"/>
        <v>2.8E-3</v>
      </c>
      <c r="G66" s="179">
        <v>929.6</v>
      </c>
      <c r="H66" s="80">
        <f t="shared" si="23"/>
        <v>2.8E-3</v>
      </c>
      <c r="I66" s="179">
        <v>948.19199999999989</v>
      </c>
      <c r="J66" s="80">
        <f t="shared" si="24"/>
        <v>2.7999999999999995E-3</v>
      </c>
      <c r="K66" s="179">
        <v>967.1558399999999</v>
      </c>
      <c r="L66" s="80">
        <f t="shared" si="25"/>
        <v>2.8E-3</v>
      </c>
      <c r="M66" s="179">
        <v>986.49895679999997</v>
      </c>
      <c r="N66" s="80">
        <f t="shared" si="26"/>
        <v>2.8E-3</v>
      </c>
      <c r="O66" s="179">
        <v>1006.228935936</v>
      </c>
      <c r="P66" s="80">
        <f t="shared" si="27"/>
        <v>2.8E-3</v>
      </c>
      <c r="Q66" s="179">
        <v>1026.3535146547199</v>
      </c>
      <c r="R66" s="80">
        <f t="shared" si="28"/>
        <v>2.8E-3</v>
      </c>
      <c r="S66" s="179">
        <v>1046.8805849478144</v>
      </c>
      <c r="T66" s="80">
        <f t="shared" si="29"/>
        <v>2.8E-3</v>
      </c>
      <c r="U66" s="179">
        <v>1067.8181966467707</v>
      </c>
      <c r="V66" s="80">
        <f t="shared" si="30"/>
        <v>2.8E-3</v>
      </c>
      <c r="X66" s="200"/>
    </row>
    <row r="67" spans="1:24" ht="12.75" customHeight="1">
      <c r="A67" s="2" t="s">
        <v>398</v>
      </c>
      <c r="B67" s="35"/>
      <c r="C67" s="179">
        <v>412.5</v>
      </c>
      <c r="D67" s="80">
        <f t="shared" si="21"/>
        <v>1.4999999999999999E-2</v>
      </c>
      <c r="E67" s="179">
        <v>453.75</v>
      </c>
      <c r="F67" s="80">
        <f t="shared" si="22"/>
        <v>1.4999999999999998E-2</v>
      </c>
      <c r="G67" s="179">
        <v>4980</v>
      </c>
      <c r="H67" s="80">
        <f t="shared" si="23"/>
        <v>1.4999999999999999E-2</v>
      </c>
      <c r="I67" s="179">
        <v>5079.5999999999995</v>
      </c>
      <c r="J67" s="80">
        <f t="shared" si="24"/>
        <v>1.4999999999999998E-2</v>
      </c>
      <c r="K67" s="179">
        <v>5181.192</v>
      </c>
      <c r="L67" s="80">
        <f t="shared" si="25"/>
        <v>1.5000000000000001E-2</v>
      </c>
      <c r="M67" s="179">
        <v>5284.8158399999993</v>
      </c>
      <c r="N67" s="80">
        <f t="shared" si="26"/>
        <v>1.4999999999999999E-2</v>
      </c>
      <c r="O67" s="179">
        <v>5390.5121567999995</v>
      </c>
      <c r="P67" s="80">
        <f t="shared" si="27"/>
        <v>1.4999999999999999E-2</v>
      </c>
      <c r="Q67" s="179">
        <v>5498.3223999359998</v>
      </c>
      <c r="R67" s="80">
        <f t="shared" si="28"/>
        <v>1.4999999999999999E-2</v>
      </c>
      <c r="S67" s="179">
        <v>5608.2888479347203</v>
      </c>
      <c r="T67" s="80">
        <f t="shared" si="29"/>
        <v>1.5000000000000001E-2</v>
      </c>
      <c r="U67" s="179">
        <v>5720.4546248934139</v>
      </c>
      <c r="V67" s="80">
        <f t="shared" si="30"/>
        <v>1.4999999999999998E-2</v>
      </c>
      <c r="X67" s="200"/>
    </row>
    <row r="68" spans="1:24" ht="12.75" customHeight="1">
      <c r="A68" s="2" t="s">
        <v>399</v>
      </c>
      <c r="B68" s="35"/>
      <c r="C68" s="179">
        <v>46.75</v>
      </c>
      <c r="D68" s="80">
        <f t="shared" si="21"/>
        <v>1.6999999999999999E-3</v>
      </c>
      <c r="E68" s="179">
        <v>51.424999999999997</v>
      </c>
      <c r="F68" s="80">
        <f t="shared" si="22"/>
        <v>1.6999999999999997E-3</v>
      </c>
      <c r="G68" s="179">
        <v>564.4</v>
      </c>
      <c r="H68" s="80">
        <f t="shared" si="23"/>
        <v>1.6999999999999999E-3</v>
      </c>
      <c r="I68" s="179">
        <v>575.68799999999999</v>
      </c>
      <c r="J68" s="80">
        <f t="shared" si="24"/>
        <v>1.6999999999999999E-3</v>
      </c>
      <c r="K68" s="179">
        <v>587.20175999999992</v>
      </c>
      <c r="L68" s="80">
        <f t="shared" si="25"/>
        <v>1.6999999999999999E-3</v>
      </c>
      <c r="M68" s="179">
        <v>598.94579519999991</v>
      </c>
      <c r="N68" s="80">
        <f t="shared" si="26"/>
        <v>1.6999999999999999E-3</v>
      </c>
      <c r="O68" s="179">
        <v>610.92471110399993</v>
      </c>
      <c r="P68" s="80">
        <f t="shared" si="27"/>
        <v>1.6999999999999999E-3</v>
      </c>
      <c r="Q68" s="179">
        <v>623.14320532607996</v>
      </c>
      <c r="R68" s="80">
        <f t="shared" si="28"/>
        <v>1.6999999999999999E-3</v>
      </c>
      <c r="S68" s="179">
        <v>635.60606943260154</v>
      </c>
      <c r="T68" s="80">
        <f t="shared" si="29"/>
        <v>1.6999999999999999E-3</v>
      </c>
      <c r="U68" s="179">
        <v>648.31819082125355</v>
      </c>
      <c r="V68" s="80">
        <f t="shared" si="30"/>
        <v>1.6999999999999997E-3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1"/>
        <v>0</v>
      </c>
      <c r="E69" s="179">
        <v>0</v>
      </c>
      <c r="F69" s="80">
        <f t="shared" si="22"/>
        <v>0</v>
      </c>
      <c r="G69" s="179">
        <v>0</v>
      </c>
      <c r="H69" s="80">
        <f t="shared" si="23"/>
        <v>0</v>
      </c>
      <c r="I69" s="179">
        <v>0</v>
      </c>
      <c r="J69" s="80">
        <f t="shared" si="24"/>
        <v>0</v>
      </c>
      <c r="K69" s="179">
        <v>0</v>
      </c>
      <c r="L69" s="80">
        <f t="shared" si="25"/>
        <v>0</v>
      </c>
      <c r="M69" s="179">
        <v>0</v>
      </c>
      <c r="N69" s="80">
        <f t="shared" si="26"/>
        <v>0</v>
      </c>
      <c r="O69" s="179">
        <v>0</v>
      </c>
      <c r="P69" s="80">
        <f t="shared" si="27"/>
        <v>0</v>
      </c>
      <c r="Q69" s="179">
        <v>0</v>
      </c>
      <c r="R69" s="80">
        <f t="shared" si="28"/>
        <v>0</v>
      </c>
      <c r="S69" s="179">
        <v>0</v>
      </c>
      <c r="T69" s="80">
        <f t="shared" si="29"/>
        <v>0</v>
      </c>
      <c r="U69" s="179">
        <v>0</v>
      </c>
      <c r="V69" s="80">
        <f t="shared" si="30"/>
        <v>0</v>
      </c>
      <c r="X69" s="200"/>
    </row>
    <row r="70" spans="1:24" ht="12.75" customHeight="1">
      <c r="A70" s="2" t="s">
        <v>401</v>
      </c>
      <c r="B70" s="35"/>
      <c r="C70" s="179">
        <v>2.7500000000000004</v>
      </c>
      <c r="D70" s="80">
        <f t="shared" si="21"/>
        <v>1.0000000000000002E-4</v>
      </c>
      <c r="E70" s="179">
        <v>3.0250000000000004</v>
      </c>
      <c r="F70" s="80">
        <f t="shared" si="22"/>
        <v>1E-4</v>
      </c>
      <c r="G70" s="179">
        <v>33.199999999999996</v>
      </c>
      <c r="H70" s="80">
        <f t="shared" si="23"/>
        <v>9.9999999999999991E-5</v>
      </c>
      <c r="I70" s="179">
        <v>33.864000000000004</v>
      </c>
      <c r="J70" s="80">
        <f t="shared" si="24"/>
        <v>1.0000000000000002E-4</v>
      </c>
      <c r="K70" s="179">
        <v>34.54128</v>
      </c>
      <c r="L70" s="80">
        <f t="shared" si="25"/>
        <v>1E-4</v>
      </c>
      <c r="M70" s="179">
        <v>35.232105599999997</v>
      </c>
      <c r="N70" s="80">
        <f t="shared" si="26"/>
        <v>9.9999999999999991E-5</v>
      </c>
      <c r="O70" s="179">
        <v>35.936747712000006</v>
      </c>
      <c r="P70" s="80">
        <f t="shared" si="27"/>
        <v>1.0000000000000002E-4</v>
      </c>
      <c r="Q70" s="179">
        <v>36.655482666240005</v>
      </c>
      <c r="R70" s="80">
        <f t="shared" si="28"/>
        <v>1.0000000000000002E-4</v>
      </c>
      <c r="S70" s="179">
        <v>37.3885923195648</v>
      </c>
      <c r="T70" s="80">
        <f t="shared" si="29"/>
        <v>1E-4</v>
      </c>
      <c r="U70" s="179">
        <v>38.136364165956103</v>
      </c>
      <c r="V70" s="80">
        <f t="shared" si="30"/>
        <v>1.0000000000000002E-4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1"/>
        <v>0</v>
      </c>
      <c r="E71" s="179">
        <v>0</v>
      </c>
      <c r="F71" s="80">
        <f t="shared" si="22"/>
        <v>0</v>
      </c>
      <c r="G71" s="179">
        <v>0</v>
      </c>
      <c r="H71" s="80">
        <f t="shared" si="23"/>
        <v>0</v>
      </c>
      <c r="I71" s="179">
        <v>0</v>
      </c>
      <c r="J71" s="80">
        <f t="shared" si="24"/>
        <v>0</v>
      </c>
      <c r="K71" s="179">
        <v>0</v>
      </c>
      <c r="L71" s="80">
        <f t="shared" si="25"/>
        <v>0</v>
      </c>
      <c r="M71" s="179">
        <v>0</v>
      </c>
      <c r="N71" s="80">
        <f t="shared" si="26"/>
        <v>0</v>
      </c>
      <c r="O71" s="179">
        <v>0</v>
      </c>
      <c r="P71" s="80">
        <f t="shared" si="27"/>
        <v>0</v>
      </c>
      <c r="Q71" s="179">
        <v>0</v>
      </c>
      <c r="R71" s="80">
        <f t="shared" si="28"/>
        <v>0</v>
      </c>
      <c r="S71" s="179">
        <v>0</v>
      </c>
      <c r="T71" s="80">
        <f t="shared" si="29"/>
        <v>0</v>
      </c>
      <c r="U71" s="179">
        <v>0</v>
      </c>
      <c r="V71" s="80">
        <f t="shared" si="30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1"/>
        <v>0</v>
      </c>
      <c r="E72" s="179">
        <v>0</v>
      </c>
      <c r="F72" s="80">
        <f t="shared" si="22"/>
        <v>0</v>
      </c>
      <c r="G72" s="179">
        <v>0</v>
      </c>
      <c r="H72" s="80">
        <f t="shared" si="23"/>
        <v>0</v>
      </c>
      <c r="I72" s="179">
        <v>0</v>
      </c>
      <c r="J72" s="80">
        <f t="shared" si="24"/>
        <v>0</v>
      </c>
      <c r="K72" s="179">
        <v>0</v>
      </c>
      <c r="L72" s="80">
        <f t="shared" si="25"/>
        <v>0</v>
      </c>
      <c r="M72" s="179">
        <v>0</v>
      </c>
      <c r="N72" s="80">
        <f t="shared" si="26"/>
        <v>0</v>
      </c>
      <c r="O72" s="179">
        <v>0</v>
      </c>
      <c r="P72" s="80">
        <f t="shared" si="27"/>
        <v>0</v>
      </c>
      <c r="Q72" s="179">
        <v>0</v>
      </c>
      <c r="R72" s="80">
        <f t="shared" si="28"/>
        <v>0</v>
      </c>
      <c r="S72" s="179">
        <v>0</v>
      </c>
      <c r="T72" s="80">
        <f t="shared" si="29"/>
        <v>0</v>
      </c>
      <c r="U72" s="179">
        <v>0</v>
      </c>
      <c r="V72" s="80">
        <f t="shared" si="30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1"/>
        <v>0</v>
      </c>
      <c r="E73" s="179">
        <v>0</v>
      </c>
      <c r="F73" s="80">
        <f t="shared" si="22"/>
        <v>0</v>
      </c>
      <c r="G73" s="179">
        <v>0</v>
      </c>
      <c r="H73" s="80">
        <f t="shared" si="23"/>
        <v>0</v>
      </c>
      <c r="I73" s="179">
        <v>0</v>
      </c>
      <c r="J73" s="80">
        <f t="shared" si="24"/>
        <v>0</v>
      </c>
      <c r="K73" s="179">
        <v>0</v>
      </c>
      <c r="L73" s="80">
        <f t="shared" si="25"/>
        <v>0</v>
      </c>
      <c r="M73" s="179">
        <v>0</v>
      </c>
      <c r="N73" s="80">
        <f t="shared" si="26"/>
        <v>0</v>
      </c>
      <c r="O73" s="179">
        <v>0</v>
      </c>
      <c r="P73" s="80">
        <f t="shared" si="27"/>
        <v>0</v>
      </c>
      <c r="Q73" s="179">
        <v>0</v>
      </c>
      <c r="R73" s="80">
        <f t="shared" si="28"/>
        <v>0</v>
      </c>
      <c r="S73" s="179">
        <v>0</v>
      </c>
      <c r="T73" s="80">
        <f t="shared" si="29"/>
        <v>0</v>
      </c>
      <c r="U73" s="179">
        <v>0</v>
      </c>
      <c r="V73" s="80">
        <f t="shared" si="30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1"/>
        <v>0</v>
      </c>
      <c r="E74" s="179">
        <v>0</v>
      </c>
      <c r="F74" s="80">
        <f t="shared" si="22"/>
        <v>0</v>
      </c>
      <c r="G74" s="179">
        <v>0</v>
      </c>
      <c r="H74" s="80">
        <f t="shared" si="23"/>
        <v>0</v>
      </c>
      <c r="I74" s="179">
        <v>0</v>
      </c>
      <c r="J74" s="80">
        <f t="shared" si="24"/>
        <v>0</v>
      </c>
      <c r="K74" s="179">
        <v>0</v>
      </c>
      <c r="L74" s="80">
        <f t="shared" si="25"/>
        <v>0</v>
      </c>
      <c r="M74" s="179">
        <v>0</v>
      </c>
      <c r="N74" s="80">
        <f t="shared" si="26"/>
        <v>0</v>
      </c>
      <c r="O74" s="179">
        <v>0</v>
      </c>
      <c r="P74" s="80">
        <f t="shared" si="27"/>
        <v>0</v>
      </c>
      <c r="Q74" s="179">
        <v>0</v>
      </c>
      <c r="R74" s="80">
        <f t="shared" si="28"/>
        <v>0</v>
      </c>
      <c r="S74" s="179">
        <v>0</v>
      </c>
      <c r="T74" s="80">
        <f t="shared" si="29"/>
        <v>0</v>
      </c>
      <c r="U74" s="179">
        <v>0</v>
      </c>
      <c r="V74" s="80">
        <f t="shared" si="30"/>
        <v>0</v>
      </c>
      <c r="X74" s="200"/>
    </row>
    <row r="75" spans="1:24" ht="12.75" customHeight="1">
      <c r="A75" s="2" t="s">
        <v>406</v>
      </c>
      <c r="B75" s="35"/>
      <c r="C75" s="179">
        <v>137.5</v>
      </c>
      <c r="D75" s="80">
        <f t="shared" si="21"/>
        <v>5.0000000000000001E-3</v>
      </c>
      <c r="E75" s="179">
        <v>151.25</v>
      </c>
      <c r="F75" s="80">
        <f t="shared" si="22"/>
        <v>4.9999999999999992E-3</v>
      </c>
      <c r="G75" s="179">
        <v>1660</v>
      </c>
      <c r="H75" s="80">
        <f t="shared" si="23"/>
        <v>5.0000000000000001E-3</v>
      </c>
      <c r="I75" s="179">
        <v>1693.2</v>
      </c>
      <c r="J75" s="80">
        <f t="shared" si="24"/>
        <v>5.0000000000000001E-3</v>
      </c>
      <c r="K75" s="179">
        <v>1727.0640000000001</v>
      </c>
      <c r="L75" s="80">
        <f t="shared" si="25"/>
        <v>5.0000000000000001E-3</v>
      </c>
      <c r="M75" s="179">
        <v>1761.6052799999998</v>
      </c>
      <c r="N75" s="80">
        <f t="shared" si="26"/>
        <v>4.9999999999999992E-3</v>
      </c>
      <c r="O75" s="179">
        <v>1796.8373856000003</v>
      </c>
      <c r="P75" s="80">
        <f t="shared" si="27"/>
        <v>5.000000000000001E-3</v>
      </c>
      <c r="Q75" s="179">
        <v>1832.774133312</v>
      </c>
      <c r="R75" s="80">
        <f t="shared" si="28"/>
        <v>5.0000000000000001E-3</v>
      </c>
      <c r="S75" s="179">
        <v>1869.42961597824</v>
      </c>
      <c r="T75" s="80">
        <f t="shared" si="29"/>
        <v>5.0000000000000001E-3</v>
      </c>
      <c r="U75" s="179">
        <v>1906.8182082978046</v>
      </c>
      <c r="V75" s="80">
        <f t="shared" si="30"/>
        <v>4.9999999999999992E-3</v>
      </c>
      <c r="X75" s="200"/>
    </row>
    <row r="76" spans="1:24" ht="12.75" customHeight="1">
      <c r="A76" s="2" t="s">
        <v>407</v>
      </c>
      <c r="B76" s="35"/>
      <c r="C76" s="179">
        <v>11.000000000000002</v>
      </c>
      <c r="D76" s="80">
        <f t="shared" si="21"/>
        <v>4.0000000000000007E-4</v>
      </c>
      <c r="E76" s="179">
        <v>12.100000000000001</v>
      </c>
      <c r="F76" s="80">
        <f t="shared" si="22"/>
        <v>4.0000000000000002E-4</v>
      </c>
      <c r="G76" s="179">
        <v>132.79999999999998</v>
      </c>
      <c r="H76" s="80">
        <f t="shared" si="23"/>
        <v>3.9999999999999996E-4</v>
      </c>
      <c r="I76" s="179">
        <v>135.45600000000002</v>
      </c>
      <c r="J76" s="80">
        <f t="shared" si="24"/>
        <v>4.0000000000000007E-4</v>
      </c>
      <c r="K76" s="179">
        <v>138.16512</v>
      </c>
      <c r="L76" s="80">
        <f t="shared" si="25"/>
        <v>4.0000000000000002E-4</v>
      </c>
      <c r="M76" s="179">
        <v>140.92842239999999</v>
      </c>
      <c r="N76" s="80">
        <f t="shared" si="26"/>
        <v>3.9999999999999996E-4</v>
      </c>
      <c r="O76" s="179">
        <v>143.74699084800002</v>
      </c>
      <c r="P76" s="80">
        <f t="shared" si="27"/>
        <v>4.0000000000000007E-4</v>
      </c>
      <c r="Q76" s="179">
        <v>146.62193066496002</v>
      </c>
      <c r="R76" s="80">
        <f t="shared" si="28"/>
        <v>4.0000000000000007E-4</v>
      </c>
      <c r="S76" s="179">
        <v>149.5543692782592</v>
      </c>
      <c r="T76" s="80">
        <f t="shared" si="29"/>
        <v>4.0000000000000002E-4</v>
      </c>
      <c r="U76" s="179">
        <v>152.54545666382441</v>
      </c>
      <c r="V76" s="80">
        <f t="shared" si="30"/>
        <v>4.0000000000000007E-4</v>
      </c>
      <c r="X76" s="200"/>
    </row>
    <row r="77" spans="1:24" ht="12.75" customHeight="1">
      <c r="A77" s="2" t="s">
        <v>408</v>
      </c>
      <c r="B77" s="35"/>
      <c r="C77" s="179">
        <v>35.75</v>
      </c>
      <c r="D77" s="80">
        <f t="shared" si="21"/>
        <v>1.2999999999999999E-3</v>
      </c>
      <c r="E77" s="179">
        <v>39.324999999999996</v>
      </c>
      <c r="F77" s="80">
        <f t="shared" si="22"/>
        <v>1.2999999999999997E-3</v>
      </c>
      <c r="G77" s="179">
        <v>431.59999999999991</v>
      </c>
      <c r="H77" s="80">
        <f t="shared" si="23"/>
        <v>1.2999999999999997E-3</v>
      </c>
      <c r="I77" s="179">
        <v>440.23199999999997</v>
      </c>
      <c r="J77" s="80">
        <f t="shared" si="24"/>
        <v>1.2999999999999999E-3</v>
      </c>
      <c r="K77" s="179">
        <v>449.03663999999992</v>
      </c>
      <c r="L77" s="80">
        <f t="shared" si="25"/>
        <v>1.2999999999999997E-3</v>
      </c>
      <c r="M77" s="179">
        <v>458.01737279999992</v>
      </c>
      <c r="N77" s="80">
        <f t="shared" si="26"/>
        <v>1.2999999999999999E-3</v>
      </c>
      <c r="O77" s="179">
        <v>467.17772025599999</v>
      </c>
      <c r="P77" s="80">
        <f t="shared" si="27"/>
        <v>1.2999999999999999E-3</v>
      </c>
      <c r="Q77" s="179">
        <v>476.52127466112</v>
      </c>
      <c r="R77" s="80">
        <f t="shared" si="28"/>
        <v>1.3000000000000002E-3</v>
      </c>
      <c r="S77" s="179">
        <v>486.05170015434237</v>
      </c>
      <c r="T77" s="80">
        <f t="shared" si="29"/>
        <v>1.2999999999999999E-3</v>
      </c>
      <c r="U77" s="179">
        <v>495.77273415742923</v>
      </c>
      <c r="V77" s="80">
        <f t="shared" si="30"/>
        <v>1.2999999999999999E-3</v>
      </c>
      <c r="X77" s="200"/>
    </row>
    <row r="78" spans="1:24" ht="12.75" customHeight="1">
      <c r="A78" s="2" t="s">
        <v>409</v>
      </c>
      <c r="B78" s="35"/>
      <c r="C78" s="179">
        <v>605</v>
      </c>
      <c r="D78" s="80">
        <f t="shared" si="21"/>
        <v>2.1999999999999999E-2</v>
      </c>
      <c r="E78" s="179">
        <v>665.5</v>
      </c>
      <c r="F78" s="80">
        <f t="shared" si="22"/>
        <v>2.1999999999999999E-2</v>
      </c>
      <c r="G78" s="179">
        <v>7303.9999999999991</v>
      </c>
      <c r="H78" s="80">
        <f t="shared" si="23"/>
        <v>2.1999999999999999E-2</v>
      </c>
      <c r="I78" s="179">
        <v>7450.079999999999</v>
      </c>
      <c r="J78" s="80">
        <f t="shared" si="24"/>
        <v>2.1999999999999999E-2</v>
      </c>
      <c r="K78" s="179">
        <v>7599.0815999999995</v>
      </c>
      <c r="L78" s="80">
        <f t="shared" si="25"/>
        <v>2.1999999999999999E-2</v>
      </c>
      <c r="M78" s="179">
        <v>7751.0632319999995</v>
      </c>
      <c r="N78" s="80">
        <f t="shared" si="26"/>
        <v>2.1999999999999999E-2</v>
      </c>
      <c r="O78" s="179">
        <v>7906.0844966399991</v>
      </c>
      <c r="P78" s="80">
        <f t="shared" si="27"/>
        <v>2.1999999999999999E-2</v>
      </c>
      <c r="Q78" s="179">
        <v>8064.2061865727992</v>
      </c>
      <c r="R78" s="80">
        <f t="shared" si="28"/>
        <v>2.1999999999999999E-2</v>
      </c>
      <c r="S78" s="179">
        <v>8225.4903103042543</v>
      </c>
      <c r="T78" s="80">
        <f t="shared" si="29"/>
        <v>2.1999999999999995E-2</v>
      </c>
      <c r="U78" s="179">
        <v>8390.0001165103404</v>
      </c>
      <c r="V78" s="80">
        <f t="shared" si="30"/>
        <v>2.1999999999999999E-2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1"/>
        <v>0</v>
      </c>
      <c r="E79" s="179">
        <v>0</v>
      </c>
      <c r="F79" s="80">
        <f t="shared" si="22"/>
        <v>0</v>
      </c>
      <c r="G79" s="179">
        <v>0</v>
      </c>
      <c r="H79" s="80">
        <f t="shared" si="23"/>
        <v>0</v>
      </c>
      <c r="I79" s="179">
        <v>0</v>
      </c>
      <c r="J79" s="80">
        <f t="shared" si="24"/>
        <v>0</v>
      </c>
      <c r="K79" s="179">
        <v>0</v>
      </c>
      <c r="L79" s="80">
        <f t="shared" si="25"/>
        <v>0</v>
      </c>
      <c r="M79" s="179">
        <v>0</v>
      </c>
      <c r="N79" s="80">
        <f t="shared" si="26"/>
        <v>0</v>
      </c>
      <c r="O79" s="179">
        <v>0</v>
      </c>
      <c r="P79" s="80">
        <f t="shared" si="27"/>
        <v>0</v>
      </c>
      <c r="Q79" s="179">
        <v>0</v>
      </c>
      <c r="R79" s="80">
        <f t="shared" si="28"/>
        <v>0</v>
      </c>
      <c r="S79" s="179">
        <v>0</v>
      </c>
      <c r="T79" s="80">
        <f t="shared" si="29"/>
        <v>0</v>
      </c>
      <c r="U79" s="179">
        <v>0</v>
      </c>
      <c r="V79" s="80">
        <f t="shared" si="30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1"/>
        <v>0</v>
      </c>
      <c r="E80" s="179">
        <v>0</v>
      </c>
      <c r="F80" s="80">
        <f t="shared" si="22"/>
        <v>0</v>
      </c>
      <c r="G80" s="179">
        <v>0</v>
      </c>
      <c r="H80" s="80">
        <f t="shared" si="23"/>
        <v>0</v>
      </c>
      <c r="I80" s="179">
        <v>0</v>
      </c>
      <c r="J80" s="80">
        <f t="shared" si="24"/>
        <v>0</v>
      </c>
      <c r="K80" s="179">
        <v>0</v>
      </c>
      <c r="L80" s="80">
        <f t="shared" si="25"/>
        <v>0</v>
      </c>
      <c r="M80" s="179">
        <v>0</v>
      </c>
      <c r="N80" s="80">
        <f t="shared" si="26"/>
        <v>0</v>
      </c>
      <c r="O80" s="179">
        <v>0</v>
      </c>
      <c r="P80" s="80">
        <f t="shared" si="27"/>
        <v>0</v>
      </c>
      <c r="Q80" s="179">
        <v>0</v>
      </c>
      <c r="R80" s="80">
        <f t="shared" si="28"/>
        <v>0</v>
      </c>
      <c r="S80" s="179">
        <v>0</v>
      </c>
      <c r="T80" s="80">
        <f t="shared" si="29"/>
        <v>0</v>
      </c>
      <c r="U80" s="179">
        <v>0</v>
      </c>
      <c r="V80" s="80">
        <f t="shared" si="30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1"/>
        <v>0</v>
      </c>
      <c r="E81" s="179">
        <v>0</v>
      </c>
      <c r="F81" s="80">
        <f t="shared" si="22"/>
        <v>0</v>
      </c>
      <c r="G81" s="179">
        <v>0</v>
      </c>
      <c r="H81" s="80">
        <f t="shared" si="23"/>
        <v>0</v>
      </c>
      <c r="I81" s="179">
        <v>0</v>
      </c>
      <c r="J81" s="80">
        <f t="shared" si="24"/>
        <v>0</v>
      </c>
      <c r="K81" s="179">
        <v>0</v>
      </c>
      <c r="L81" s="80">
        <f t="shared" si="25"/>
        <v>0</v>
      </c>
      <c r="M81" s="179">
        <v>0</v>
      </c>
      <c r="N81" s="80">
        <f t="shared" si="26"/>
        <v>0</v>
      </c>
      <c r="O81" s="179">
        <v>0</v>
      </c>
      <c r="P81" s="80">
        <f t="shared" si="27"/>
        <v>0</v>
      </c>
      <c r="Q81" s="179">
        <v>0</v>
      </c>
      <c r="R81" s="80">
        <f t="shared" si="28"/>
        <v>0</v>
      </c>
      <c r="S81" s="179">
        <v>0</v>
      </c>
      <c r="T81" s="80">
        <f t="shared" si="29"/>
        <v>0</v>
      </c>
      <c r="U81" s="179">
        <v>0</v>
      </c>
      <c r="V81" s="80">
        <f t="shared" si="30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1"/>
        <v>0</v>
      </c>
      <c r="E82" s="179">
        <v>0</v>
      </c>
      <c r="F82" s="80">
        <f t="shared" si="22"/>
        <v>0</v>
      </c>
      <c r="G82" s="179">
        <v>0</v>
      </c>
      <c r="H82" s="80">
        <f t="shared" si="23"/>
        <v>0</v>
      </c>
      <c r="I82" s="179">
        <v>0</v>
      </c>
      <c r="J82" s="80">
        <f t="shared" si="24"/>
        <v>0</v>
      </c>
      <c r="K82" s="179">
        <v>0</v>
      </c>
      <c r="L82" s="80">
        <f t="shared" si="25"/>
        <v>0</v>
      </c>
      <c r="M82" s="179">
        <v>0</v>
      </c>
      <c r="N82" s="80">
        <f t="shared" si="26"/>
        <v>0</v>
      </c>
      <c r="O82" s="179">
        <v>0</v>
      </c>
      <c r="P82" s="80">
        <f t="shared" si="27"/>
        <v>0</v>
      </c>
      <c r="Q82" s="179">
        <v>0</v>
      </c>
      <c r="R82" s="80">
        <f t="shared" si="28"/>
        <v>0</v>
      </c>
      <c r="S82" s="179">
        <v>0</v>
      </c>
      <c r="T82" s="80">
        <f t="shared" si="29"/>
        <v>0</v>
      </c>
      <c r="U82" s="179">
        <v>0</v>
      </c>
      <c r="V82" s="80">
        <f t="shared" si="30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1"/>
        <v>0</v>
      </c>
      <c r="E83" s="179">
        <v>0</v>
      </c>
      <c r="F83" s="80">
        <f t="shared" si="22"/>
        <v>0</v>
      </c>
      <c r="G83" s="179">
        <v>0</v>
      </c>
      <c r="H83" s="80">
        <f t="shared" si="23"/>
        <v>0</v>
      </c>
      <c r="I83" s="179">
        <v>0</v>
      </c>
      <c r="J83" s="80">
        <f t="shared" si="24"/>
        <v>0</v>
      </c>
      <c r="K83" s="179">
        <v>0</v>
      </c>
      <c r="L83" s="80">
        <f t="shared" si="25"/>
        <v>0</v>
      </c>
      <c r="M83" s="179">
        <v>0</v>
      </c>
      <c r="N83" s="80">
        <f t="shared" si="26"/>
        <v>0</v>
      </c>
      <c r="O83" s="179">
        <v>0</v>
      </c>
      <c r="P83" s="80">
        <f t="shared" si="27"/>
        <v>0</v>
      </c>
      <c r="Q83" s="179">
        <v>0</v>
      </c>
      <c r="R83" s="80">
        <f t="shared" si="28"/>
        <v>0</v>
      </c>
      <c r="S83" s="179">
        <v>0</v>
      </c>
      <c r="T83" s="80">
        <f t="shared" si="29"/>
        <v>0</v>
      </c>
      <c r="U83" s="179">
        <v>0</v>
      </c>
      <c r="V83" s="80">
        <f t="shared" si="30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1"/>
        <v>0</v>
      </c>
      <c r="E84" s="179">
        <v>0</v>
      </c>
      <c r="F84" s="80">
        <f t="shared" si="22"/>
        <v>0</v>
      </c>
      <c r="G84" s="179">
        <v>0</v>
      </c>
      <c r="H84" s="80">
        <f t="shared" si="23"/>
        <v>0</v>
      </c>
      <c r="I84" s="179">
        <v>0</v>
      </c>
      <c r="J84" s="80">
        <f t="shared" si="24"/>
        <v>0</v>
      </c>
      <c r="K84" s="179">
        <v>0</v>
      </c>
      <c r="L84" s="80">
        <f t="shared" si="25"/>
        <v>0</v>
      </c>
      <c r="M84" s="179">
        <v>0</v>
      </c>
      <c r="N84" s="80">
        <f t="shared" si="26"/>
        <v>0</v>
      </c>
      <c r="O84" s="179">
        <v>0</v>
      </c>
      <c r="P84" s="80">
        <f t="shared" si="27"/>
        <v>0</v>
      </c>
      <c r="Q84" s="179">
        <v>0</v>
      </c>
      <c r="R84" s="80">
        <f t="shared" si="28"/>
        <v>0</v>
      </c>
      <c r="S84" s="179">
        <v>0</v>
      </c>
      <c r="T84" s="80">
        <f t="shared" si="29"/>
        <v>0</v>
      </c>
      <c r="U84" s="179">
        <v>0</v>
      </c>
      <c r="V84" s="80">
        <f t="shared" si="30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1"/>
        <v>0</v>
      </c>
      <c r="E85" s="179">
        <v>0</v>
      </c>
      <c r="F85" s="80">
        <f t="shared" si="22"/>
        <v>0</v>
      </c>
      <c r="G85" s="179">
        <v>0</v>
      </c>
      <c r="H85" s="80">
        <f t="shared" si="23"/>
        <v>0</v>
      </c>
      <c r="I85" s="179">
        <v>0</v>
      </c>
      <c r="J85" s="80">
        <f t="shared" si="24"/>
        <v>0</v>
      </c>
      <c r="K85" s="179">
        <v>0</v>
      </c>
      <c r="L85" s="80">
        <f t="shared" si="25"/>
        <v>0</v>
      </c>
      <c r="M85" s="179">
        <v>0</v>
      </c>
      <c r="N85" s="80">
        <f t="shared" si="26"/>
        <v>0</v>
      </c>
      <c r="O85" s="179">
        <v>0</v>
      </c>
      <c r="P85" s="80">
        <f t="shared" si="27"/>
        <v>0</v>
      </c>
      <c r="Q85" s="179">
        <v>0</v>
      </c>
      <c r="R85" s="80">
        <f t="shared" si="28"/>
        <v>0</v>
      </c>
      <c r="S85" s="179">
        <v>0</v>
      </c>
      <c r="T85" s="80">
        <f t="shared" si="29"/>
        <v>0</v>
      </c>
      <c r="U85" s="179">
        <v>0</v>
      </c>
      <c r="V85" s="80">
        <f t="shared" si="30"/>
        <v>0</v>
      </c>
      <c r="X85" s="200"/>
    </row>
    <row r="86" spans="1:24" ht="12.75" customHeight="1">
      <c r="A86" s="2" t="s">
        <v>417</v>
      </c>
      <c r="B86" s="35"/>
      <c r="C86" s="179">
        <v>110</v>
      </c>
      <c r="D86" s="80">
        <f t="shared" si="21"/>
        <v>4.0000000000000001E-3</v>
      </c>
      <c r="E86" s="179">
        <v>121.00000000000001</v>
      </c>
      <c r="F86" s="80">
        <f t="shared" si="22"/>
        <v>4.0000000000000001E-3</v>
      </c>
      <c r="G86" s="179">
        <v>1328</v>
      </c>
      <c r="H86" s="80">
        <f t="shared" si="23"/>
        <v>4.0000000000000001E-3</v>
      </c>
      <c r="I86" s="179">
        <v>1354.5600000000002</v>
      </c>
      <c r="J86" s="80">
        <f t="shared" si="24"/>
        <v>4.0000000000000001E-3</v>
      </c>
      <c r="K86" s="179">
        <v>1381.6512</v>
      </c>
      <c r="L86" s="80">
        <f t="shared" si="25"/>
        <v>4.0000000000000001E-3</v>
      </c>
      <c r="M86" s="179">
        <v>1409.284224</v>
      </c>
      <c r="N86" s="80">
        <f t="shared" si="26"/>
        <v>4.0000000000000001E-3</v>
      </c>
      <c r="O86" s="179">
        <v>1437.46990848</v>
      </c>
      <c r="P86" s="80">
        <f t="shared" si="27"/>
        <v>4.0000000000000001E-3</v>
      </c>
      <c r="Q86" s="179">
        <v>1466.2193066496</v>
      </c>
      <c r="R86" s="80">
        <f t="shared" si="28"/>
        <v>4.0000000000000001E-3</v>
      </c>
      <c r="S86" s="179">
        <v>1495.543692782592</v>
      </c>
      <c r="T86" s="80">
        <f t="shared" si="29"/>
        <v>4.0000000000000001E-3</v>
      </c>
      <c r="U86" s="179">
        <v>1525.4545666382437</v>
      </c>
      <c r="V86" s="80">
        <f t="shared" si="30"/>
        <v>3.9999999999999992E-3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1"/>
        <v>0</v>
      </c>
      <c r="E87" s="179">
        <v>0</v>
      </c>
      <c r="F87" s="80">
        <f t="shared" si="22"/>
        <v>0</v>
      </c>
      <c r="G87" s="179">
        <v>0</v>
      </c>
      <c r="H87" s="80">
        <f t="shared" si="23"/>
        <v>0</v>
      </c>
      <c r="I87" s="179">
        <v>0</v>
      </c>
      <c r="J87" s="80">
        <f t="shared" si="24"/>
        <v>0</v>
      </c>
      <c r="K87" s="179">
        <v>0</v>
      </c>
      <c r="L87" s="80">
        <f t="shared" si="25"/>
        <v>0</v>
      </c>
      <c r="M87" s="179">
        <v>0</v>
      </c>
      <c r="N87" s="80">
        <f t="shared" si="26"/>
        <v>0</v>
      </c>
      <c r="O87" s="179">
        <v>0</v>
      </c>
      <c r="P87" s="80">
        <f t="shared" si="27"/>
        <v>0</v>
      </c>
      <c r="Q87" s="179">
        <v>0</v>
      </c>
      <c r="R87" s="80">
        <f t="shared" si="28"/>
        <v>0</v>
      </c>
      <c r="S87" s="179">
        <v>0</v>
      </c>
      <c r="T87" s="80">
        <f t="shared" si="29"/>
        <v>0</v>
      </c>
      <c r="U87" s="179">
        <v>0</v>
      </c>
      <c r="V87" s="80">
        <f t="shared" si="30"/>
        <v>0</v>
      </c>
      <c r="X87" s="200"/>
    </row>
    <row r="88" spans="1:24" ht="12.75" customHeight="1">
      <c r="A88" s="2" t="s">
        <v>419</v>
      </c>
      <c r="B88" s="35"/>
      <c r="C88" s="179">
        <v>140.25000000000003</v>
      </c>
      <c r="D88" s="80">
        <f t="shared" si="21"/>
        <v>5.1000000000000012E-3</v>
      </c>
      <c r="E88" s="179">
        <v>154.27500000000001</v>
      </c>
      <c r="F88" s="80">
        <f t="shared" si="22"/>
        <v>5.0999999999999995E-3</v>
      </c>
      <c r="G88" s="179">
        <v>1693.2000000000003</v>
      </c>
      <c r="H88" s="80">
        <f t="shared" si="23"/>
        <v>5.1000000000000012E-3</v>
      </c>
      <c r="I88" s="179">
        <v>1727.0640000000001</v>
      </c>
      <c r="J88" s="80">
        <f t="shared" si="24"/>
        <v>5.1000000000000004E-3</v>
      </c>
      <c r="K88" s="179">
        <v>1761.6052800000002</v>
      </c>
      <c r="L88" s="80">
        <f t="shared" si="25"/>
        <v>5.1000000000000012E-3</v>
      </c>
      <c r="M88" s="179">
        <v>1796.8373856000001</v>
      </c>
      <c r="N88" s="80">
        <f t="shared" si="26"/>
        <v>5.1000000000000004E-3</v>
      </c>
      <c r="O88" s="179">
        <v>1832.7741333120002</v>
      </c>
      <c r="P88" s="80">
        <f t="shared" si="27"/>
        <v>5.1000000000000004E-3</v>
      </c>
      <c r="Q88" s="179">
        <v>1869.4296159782402</v>
      </c>
      <c r="R88" s="80">
        <f t="shared" si="28"/>
        <v>5.1000000000000012E-3</v>
      </c>
      <c r="S88" s="179">
        <v>1906.8182082978051</v>
      </c>
      <c r="T88" s="80">
        <f t="shared" si="29"/>
        <v>5.1000000000000004E-3</v>
      </c>
      <c r="U88" s="179">
        <v>1944.9545724637612</v>
      </c>
      <c r="V88" s="80">
        <f t="shared" si="30"/>
        <v>5.1000000000000012E-3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1"/>
        <v>0</v>
      </c>
      <c r="E89" s="179">
        <v>0</v>
      </c>
      <c r="F89" s="80">
        <f t="shared" si="22"/>
        <v>0</v>
      </c>
      <c r="G89" s="179">
        <v>0</v>
      </c>
      <c r="H89" s="80">
        <f t="shared" si="23"/>
        <v>0</v>
      </c>
      <c r="I89" s="179">
        <v>0</v>
      </c>
      <c r="J89" s="80">
        <f t="shared" si="24"/>
        <v>0</v>
      </c>
      <c r="K89" s="179">
        <v>0</v>
      </c>
      <c r="L89" s="80">
        <f t="shared" si="25"/>
        <v>0</v>
      </c>
      <c r="M89" s="179">
        <v>0</v>
      </c>
      <c r="N89" s="80">
        <f t="shared" si="26"/>
        <v>0</v>
      </c>
      <c r="O89" s="179">
        <v>0</v>
      </c>
      <c r="P89" s="80">
        <f t="shared" si="27"/>
        <v>0</v>
      </c>
      <c r="Q89" s="179">
        <v>0</v>
      </c>
      <c r="R89" s="80">
        <f t="shared" si="28"/>
        <v>0</v>
      </c>
      <c r="S89" s="179">
        <v>0</v>
      </c>
      <c r="T89" s="80">
        <f t="shared" si="29"/>
        <v>0</v>
      </c>
      <c r="U89" s="179">
        <v>0</v>
      </c>
      <c r="V89" s="80">
        <f t="shared" si="30"/>
        <v>0</v>
      </c>
      <c r="X89" s="200"/>
    </row>
    <row r="90" spans="1:24" ht="12.75" customHeight="1">
      <c r="A90" s="2" t="s">
        <v>421</v>
      </c>
      <c r="B90" s="35"/>
      <c r="C90" s="179">
        <v>5.5000000000000009</v>
      </c>
      <c r="D90" s="80">
        <f t="shared" si="21"/>
        <v>2.0000000000000004E-4</v>
      </c>
      <c r="E90" s="179">
        <v>6.0500000000000007</v>
      </c>
      <c r="F90" s="80">
        <f t="shared" si="22"/>
        <v>2.0000000000000001E-4</v>
      </c>
      <c r="G90" s="179">
        <v>66.399999999999991</v>
      </c>
      <c r="H90" s="80">
        <f t="shared" si="23"/>
        <v>1.9999999999999998E-4</v>
      </c>
      <c r="I90" s="179">
        <v>67.728000000000009</v>
      </c>
      <c r="J90" s="80">
        <f t="shared" si="24"/>
        <v>2.0000000000000004E-4</v>
      </c>
      <c r="K90" s="179">
        <v>69.082560000000001</v>
      </c>
      <c r="L90" s="80">
        <f t="shared" si="25"/>
        <v>2.0000000000000001E-4</v>
      </c>
      <c r="M90" s="179">
        <v>70.464211199999994</v>
      </c>
      <c r="N90" s="80">
        <f t="shared" si="26"/>
        <v>1.9999999999999998E-4</v>
      </c>
      <c r="O90" s="179">
        <v>71.873495424000012</v>
      </c>
      <c r="P90" s="80">
        <f t="shared" si="27"/>
        <v>2.0000000000000004E-4</v>
      </c>
      <c r="Q90" s="179">
        <v>73.310965332480009</v>
      </c>
      <c r="R90" s="80">
        <f t="shared" si="28"/>
        <v>2.0000000000000004E-4</v>
      </c>
      <c r="S90" s="179">
        <v>74.777184639129601</v>
      </c>
      <c r="T90" s="80">
        <f t="shared" si="29"/>
        <v>2.0000000000000001E-4</v>
      </c>
      <c r="U90" s="179">
        <v>76.272728331912205</v>
      </c>
      <c r="V90" s="80">
        <f t="shared" si="30"/>
        <v>2.0000000000000004E-4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21"/>
        <v>0</v>
      </c>
      <c r="E91" s="179">
        <v>0</v>
      </c>
      <c r="F91" s="80">
        <f t="shared" si="22"/>
        <v>0</v>
      </c>
      <c r="G91" s="179">
        <v>0</v>
      </c>
      <c r="H91" s="80">
        <f t="shared" si="23"/>
        <v>0</v>
      </c>
      <c r="I91" s="179">
        <v>0</v>
      </c>
      <c r="J91" s="80">
        <f t="shared" si="24"/>
        <v>0</v>
      </c>
      <c r="K91" s="179">
        <v>0</v>
      </c>
      <c r="L91" s="80">
        <f t="shared" si="25"/>
        <v>0</v>
      </c>
      <c r="M91" s="179">
        <v>0</v>
      </c>
      <c r="N91" s="80">
        <f t="shared" si="26"/>
        <v>0</v>
      </c>
      <c r="O91" s="179">
        <v>0</v>
      </c>
      <c r="P91" s="80">
        <f t="shared" si="27"/>
        <v>0</v>
      </c>
      <c r="Q91" s="179">
        <v>0</v>
      </c>
      <c r="R91" s="80">
        <f t="shared" si="28"/>
        <v>0</v>
      </c>
      <c r="S91" s="179">
        <v>0</v>
      </c>
      <c r="T91" s="80">
        <f t="shared" si="29"/>
        <v>0</v>
      </c>
      <c r="U91" s="179">
        <v>0</v>
      </c>
      <c r="V91" s="80">
        <f t="shared" si="30"/>
        <v>0</v>
      </c>
      <c r="X91" s="200"/>
    </row>
    <row r="92" spans="1:24" ht="12.75" customHeight="1">
      <c r="A92" s="2" t="s">
        <v>423</v>
      </c>
      <c r="B92" s="35"/>
      <c r="C92" s="179">
        <v>143</v>
      </c>
      <c r="D92" s="80">
        <f t="shared" si="21"/>
        <v>5.1999999999999998E-3</v>
      </c>
      <c r="E92" s="179">
        <v>157.29999999999998</v>
      </c>
      <c r="F92" s="80">
        <f t="shared" si="22"/>
        <v>5.1999999999999989E-3</v>
      </c>
      <c r="G92" s="179">
        <v>1726.3999999999996</v>
      </c>
      <c r="H92" s="80">
        <f t="shared" si="23"/>
        <v>5.1999999999999989E-3</v>
      </c>
      <c r="I92" s="179">
        <v>1760.9279999999999</v>
      </c>
      <c r="J92" s="80">
        <f t="shared" si="24"/>
        <v>5.1999999999999998E-3</v>
      </c>
      <c r="K92" s="179">
        <v>1796.1465599999997</v>
      </c>
      <c r="L92" s="80">
        <f t="shared" si="25"/>
        <v>5.1999999999999989E-3</v>
      </c>
      <c r="M92" s="179">
        <v>1832.0694911999997</v>
      </c>
      <c r="N92" s="80">
        <f t="shared" si="26"/>
        <v>5.1999999999999998E-3</v>
      </c>
      <c r="O92" s="179">
        <v>1868.7108810239999</v>
      </c>
      <c r="P92" s="80">
        <f t="shared" si="27"/>
        <v>5.1999999999999998E-3</v>
      </c>
      <c r="Q92" s="179">
        <v>1906.08509864448</v>
      </c>
      <c r="R92" s="80">
        <f t="shared" si="28"/>
        <v>5.2000000000000006E-3</v>
      </c>
      <c r="S92" s="179">
        <v>1944.2068006173695</v>
      </c>
      <c r="T92" s="80">
        <f t="shared" si="29"/>
        <v>5.1999999999999998E-3</v>
      </c>
      <c r="U92" s="179">
        <v>1983.0909366297169</v>
      </c>
      <c r="V92" s="80">
        <f t="shared" si="30"/>
        <v>5.1999999999999998E-3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1"/>
        <v>0</v>
      </c>
      <c r="E93" s="179">
        <v>0</v>
      </c>
      <c r="F93" s="80">
        <f t="shared" si="22"/>
        <v>0</v>
      </c>
      <c r="G93" s="179">
        <v>0</v>
      </c>
      <c r="H93" s="80">
        <f t="shared" si="23"/>
        <v>0</v>
      </c>
      <c r="I93" s="179">
        <v>0</v>
      </c>
      <c r="J93" s="80">
        <f t="shared" si="24"/>
        <v>0</v>
      </c>
      <c r="K93" s="179">
        <v>0</v>
      </c>
      <c r="L93" s="80">
        <f t="shared" si="25"/>
        <v>0</v>
      </c>
      <c r="M93" s="179">
        <v>0</v>
      </c>
      <c r="N93" s="80">
        <f t="shared" si="26"/>
        <v>0</v>
      </c>
      <c r="O93" s="179">
        <v>0</v>
      </c>
      <c r="P93" s="80">
        <f t="shared" si="27"/>
        <v>0</v>
      </c>
      <c r="Q93" s="179">
        <v>0</v>
      </c>
      <c r="R93" s="80">
        <f t="shared" si="28"/>
        <v>0</v>
      </c>
      <c r="S93" s="179">
        <v>0</v>
      </c>
      <c r="T93" s="80">
        <f t="shared" si="29"/>
        <v>0</v>
      </c>
      <c r="U93" s="179">
        <v>0</v>
      </c>
      <c r="V93" s="80">
        <f t="shared" si="30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1"/>
        <v>0</v>
      </c>
      <c r="E94" s="179">
        <v>0</v>
      </c>
      <c r="F94" s="80">
        <f t="shared" si="22"/>
        <v>0</v>
      </c>
      <c r="G94" s="179">
        <v>0</v>
      </c>
      <c r="H94" s="80">
        <f t="shared" si="23"/>
        <v>0</v>
      </c>
      <c r="I94" s="179">
        <v>0</v>
      </c>
      <c r="J94" s="80">
        <f t="shared" si="24"/>
        <v>0</v>
      </c>
      <c r="K94" s="179">
        <v>0</v>
      </c>
      <c r="L94" s="80">
        <f t="shared" si="25"/>
        <v>0</v>
      </c>
      <c r="M94" s="179">
        <v>0</v>
      </c>
      <c r="N94" s="80">
        <f t="shared" si="26"/>
        <v>0</v>
      </c>
      <c r="O94" s="179">
        <v>0</v>
      </c>
      <c r="P94" s="80">
        <f t="shared" si="27"/>
        <v>0</v>
      </c>
      <c r="Q94" s="179">
        <v>0</v>
      </c>
      <c r="R94" s="80">
        <f t="shared" si="28"/>
        <v>0</v>
      </c>
      <c r="S94" s="179">
        <v>0</v>
      </c>
      <c r="T94" s="80">
        <f t="shared" si="29"/>
        <v>0</v>
      </c>
      <c r="U94" s="179">
        <v>0</v>
      </c>
      <c r="V94" s="80">
        <f t="shared" si="30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1"/>
        <v>0</v>
      </c>
      <c r="E95" s="179">
        <v>0</v>
      </c>
      <c r="F95" s="80">
        <f t="shared" si="22"/>
        <v>0</v>
      </c>
      <c r="G95" s="179">
        <v>0</v>
      </c>
      <c r="H95" s="80">
        <f t="shared" si="23"/>
        <v>0</v>
      </c>
      <c r="I95" s="179">
        <v>0</v>
      </c>
      <c r="J95" s="80">
        <f t="shared" si="24"/>
        <v>0</v>
      </c>
      <c r="K95" s="179">
        <v>0</v>
      </c>
      <c r="L95" s="80">
        <f t="shared" si="25"/>
        <v>0</v>
      </c>
      <c r="M95" s="179">
        <v>0</v>
      </c>
      <c r="N95" s="80">
        <f t="shared" si="26"/>
        <v>0</v>
      </c>
      <c r="O95" s="179">
        <v>0</v>
      </c>
      <c r="P95" s="80">
        <f t="shared" si="27"/>
        <v>0</v>
      </c>
      <c r="Q95" s="179">
        <v>0</v>
      </c>
      <c r="R95" s="80">
        <f t="shared" si="28"/>
        <v>0</v>
      </c>
      <c r="S95" s="179">
        <v>0</v>
      </c>
      <c r="T95" s="80">
        <f t="shared" si="29"/>
        <v>0</v>
      </c>
      <c r="U95" s="179">
        <v>0</v>
      </c>
      <c r="V95" s="80">
        <f t="shared" si="30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1"/>
        <v>0</v>
      </c>
      <c r="E96" s="179">
        <v>0</v>
      </c>
      <c r="F96" s="80">
        <f t="shared" si="22"/>
        <v>0</v>
      </c>
      <c r="G96" s="179">
        <v>0</v>
      </c>
      <c r="H96" s="80">
        <f t="shared" si="23"/>
        <v>0</v>
      </c>
      <c r="I96" s="179">
        <v>0</v>
      </c>
      <c r="J96" s="80">
        <f t="shared" si="24"/>
        <v>0</v>
      </c>
      <c r="K96" s="179">
        <v>0</v>
      </c>
      <c r="L96" s="80">
        <f t="shared" si="25"/>
        <v>0</v>
      </c>
      <c r="M96" s="179">
        <v>0</v>
      </c>
      <c r="N96" s="80">
        <f t="shared" si="26"/>
        <v>0</v>
      </c>
      <c r="O96" s="179">
        <v>0</v>
      </c>
      <c r="P96" s="80">
        <f t="shared" si="27"/>
        <v>0</v>
      </c>
      <c r="Q96" s="179">
        <v>0</v>
      </c>
      <c r="R96" s="80">
        <f t="shared" si="28"/>
        <v>0</v>
      </c>
      <c r="S96" s="179">
        <v>0</v>
      </c>
      <c r="T96" s="80">
        <f t="shared" si="29"/>
        <v>0</v>
      </c>
      <c r="U96" s="179">
        <v>0</v>
      </c>
      <c r="V96" s="80">
        <f t="shared" si="30"/>
        <v>0</v>
      </c>
      <c r="X96" s="200"/>
    </row>
    <row r="97" spans="1:24" ht="12.75" customHeight="1">
      <c r="A97" s="2" t="s">
        <v>428</v>
      </c>
      <c r="B97" s="35"/>
      <c r="C97" s="179">
        <v>0</v>
      </c>
      <c r="D97" s="80">
        <f t="shared" si="21"/>
        <v>0</v>
      </c>
      <c r="E97" s="179">
        <v>0</v>
      </c>
      <c r="F97" s="80">
        <f t="shared" si="22"/>
        <v>0</v>
      </c>
      <c r="G97" s="179">
        <v>4579.0694999999996</v>
      </c>
      <c r="H97" s="80">
        <f t="shared" si="23"/>
        <v>1.3792378012048192E-2</v>
      </c>
      <c r="I97" s="179">
        <v>4725.5997240000006</v>
      </c>
      <c r="J97" s="80">
        <f t="shared" si="24"/>
        <v>1.3954641282778173E-2</v>
      </c>
      <c r="K97" s="179">
        <v>4843.7397170999993</v>
      </c>
      <c r="L97" s="80">
        <f t="shared" si="25"/>
        <v>1.4023046387105513E-2</v>
      </c>
      <c r="M97" s="179">
        <v>4964.8332100274984</v>
      </c>
      <c r="N97" s="80">
        <f t="shared" si="26"/>
        <v>1.4091786810571716E-2</v>
      </c>
      <c r="O97" s="179">
        <v>5088.9540402781859</v>
      </c>
      <c r="P97" s="80">
        <f t="shared" si="27"/>
        <v>1.4160864196898047E-2</v>
      </c>
      <c r="Q97" s="179">
        <v>5216.1778912851405</v>
      </c>
      <c r="R97" s="80">
        <f t="shared" si="28"/>
        <v>1.4230280197863234E-2</v>
      </c>
      <c r="S97" s="179">
        <v>5346.5823385672684</v>
      </c>
      <c r="T97" s="80">
        <f t="shared" si="29"/>
        <v>1.4300036473342952E-2</v>
      </c>
      <c r="U97" s="179">
        <v>5480.2468970314494</v>
      </c>
      <c r="V97" s="80">
        <f t="shared" si="30"/>
        <v>1.4370134691349535E-2</v>
      </c>
      <c r="X97" s="200"/>
    </row>
    <row r="98" spans="1:24" ht="12.75" customHeight="1">
      <c r="A98" s="117" t="s">
        <v>431</v>
      </c>
      <c r="B98" s="35"/>
      <c r="C98" s="179">
        <v>33</v>
      </c>
      <c r="D98" s="80">
        <f t="shared" si="21"/>
        <v>1.1999999999999999E-3</v>
      </c>
      <c r="E98" s="179">
        <v>36.299999999999997</v>
      </c>
      <c r="F98" s="80">
        <f t="shared" si="22"/>
        <v>1.1999999999999997E-3</v>
      </c>
      <c r="G98" s="179">
        <v>398.39999999999992</v>
      </c>
      <c r="H98" s="80">
        <f t="shared" si="23"/>
        <v>1.1999999999999997E-3</v>
      </c>
      <c r="I98" s="179">
        <v>406.36799999999994</v>
      </c>
      <c r="J98" s="80">
        <f t="shared" si="24"/>
        <v>1.1999999999999999E-3</v>
      </c>
      <c r="K98" s="179">
        <v>414.49535999999989</v>
      </c>
      <c r="L98" s="80">
        <f t="shared" si="25"/>
        <v>1.1999999999999997E-3</v>
      </c>
      <c r="M98" s="179">
        <v>422.78526719999991</v>
      </c>
      <c r="N98" s="80">
        <f t="shared" si="26"/>
        <v>1.1999999999999999E-3</v>
      </c>
      <c r="O98" s="179">
        <v>431.24097254399993</v>
      </c>
      <c r="P98" s="80">
        <f t="shared" si="27"/>
        <v>1.1999999999999999E-3</v>
      </c>
      <c r="Q98" s="179">
        <v>439.86579199487994</v>
      </c>
      <c r="R98" s="80">
        <f t="shared" si="28"/>
        <v>1.1999999999999999E-3</v>
      </c>
      <c r="S98" s="179">
        <v>448.66310783477758</v>
      </c>
      <c r="T98" s="80">
        <f t="shared" si="29"/>
        <v>1.1999999999999999E-3</v>
      </c>
      <c r="U98" s="179">
        <v>457.63636999147309</v>
      </c>
      <c r="V98" s="80">
        <f t="shared" si="30"/>
        <v>1.1999999999999999E-3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1"/>
        <v>0</v>
      </c>
      <c r="E99" s="179">
        <v>0</v>
      </c>
      <c r="F99" s="80">
        <f t="shared" si="22"/>
        <v>0</v>
      </c>
      <c r="G99" s="179">
        <v>0</v>
      </c>
      <c r="H99" s="80">
        <f t="shared" si="23"/>
        <v>0</v>
      </c>
      <c r="I99" s="179">
        <v>0</v>
      </c>
      <c r="J99" s="80">
        <f t="shared" si="24"/>
        <v>0</v>
      </c>
      <c r="K99" s="179">
        <v>0</v>
      </c>
      <c r="L99" s="80">
        <f t="shared" si="25"/>
        <v>0</v>
      </c>
      <c r="M99" s="179">
        <v>0</v>
      </c>
      <c r="N99" s="80">
        <f t="shared" si="26"/>
        <v>0</v>
      </c>
      <c r="O99" s="179">
        <v>0</v>
      </c>
      <c r="P99" s="80">
        <f t="shared" si="27"/>
        <v>0</v>
      </c>
      <c r="Q99" s="179">
        <v>0</v>
      </c>
      <c r="R99" s="80">
        <f t="shared" si="28"/>
        <v>0</v>
      </c>
      <c r="S99" s="179">
        <v>0</v>
      </c>
      <c r="T99" s="80">
        <f t="shared" si="29"/>
        <v>0</v>
      </c>
      <c r="U99" s="179">
        <v>0</v>
      </c>
      <c r="V99" s="80">
        <f t="shared" si="30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1"/>
        <v>0</v>
      </c>
      <c r="E100" s="179">
        <v>0</v>
      </c>
      <c r="F100" s="80">
        <f t="shared" si="22"/>
        <v>0</v>
      </c>
      <c r="G100" s="179">
        <v>0</v>
      </c>
      <c r="H100" s="80">
        <f t="shared" si="23"/>
        <v>0</v>
      </c>
      <c r="I100" s="179">
        <v>0</v>
      </c>
      <c r="J100" s="80">
        <f t="shared" si="24"/>
        <v>0</v>
      </c>
      <c r="K100" s="179">
        <v>0</v>
      </c>
      <c r="L100" s="80">
        <f t="shared" si="25"/>
        <v>0</v>
      </c>
      <c r="M100" s="179">
        <v>0</v>
      </c>
      <c r="N100" s="80">
        <f t="shared" si="26"/>
        <v>0</v>
      </c>
      <c r="O100" s="179">
        <v>0</v>
      </c>
      <c r="P100" s="80">
        <f t="shared" si="27"/>
        <v>0</v>
      </c>
      <c r="Q100" s="179">
        <v>0</v>
      </c>
      <c r="R100" s="80">
        <f t="shared" si="28"/>
        <v>0</v>
      </c>
      <c r="S100" s="179">
        <v>0</v>
      </c>
      <c r="T100" s="80">
        <f t="shared" si="29"/>
        <v>0</v>
      </c>
      <c r="U100" s="179">
        <v>0</v>
      </c>
      <c r="V100" s="80">
        <f t="shared" si="30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1"/>
        <v>0</v>
      </c>
      <c r="E101" s="179"/>
      <c r="F101" s="80">
        <f t="shared" si="22"/>
        <v>0</v>
      </c>
      <c r="G101" s="179"/>
      <c r="H101" s="80">
        <f t="shared" si="23"/>
        <v>0</v>
      </c>
      <c r="I101" s="179">
        <v>0</v>
      </c>
      <c r="J101" s="80">
        <f t="shared" si="24"/>
        <v>0</v>
      </c>
      <c r="K101" s="179">
        <v>0</v>
      </c>
      <c r="L101" s="80">
        <f t="shared" si="25"/>
        <v>0</v>
      </c>
      <c r="M101" s="179">
        <v>0</v>
      </c>
      <c r="N101" s="80">
        <f t="shared" si="26"/>
        <v>0</v>
      </c>
      <c r="O101" s="179">
        <v>0</v>
      </c>
      <c r="P101" s="80">
        <f t="shared" si="27"/>
        <v>0</v>
      </c>
      <c r="Q101" s="179">
        <v>0</v>
      </c>
      <c r="R101" s="80">
        <f t="shared" si="28"/>
        <v>0</v>
      </c>
      <c r="S101" s="179">
        <v>0</v>
      </c>
      <c r="T101" s="80">
        <f t="shared" si="29"/>
        <v>0</v>
      </c>
      <c r="U101" s="179">
        <v>0</v>
      </c>
      <c r="V101" s="80">
        <f t="shared" si="30"/>
        <v>0</v>
      </c>
      <c r="X101" s="200"/>
    </row>
    <row r="102" spans="1:24" ht="12.75" customHeight="1">
      <c r="A102" s="117" t="s">
        <v>433</v>
      </c>
      <c r="B102" s="35"/>
      <c r="C102" s="179">
        <v>275</v>
      </c>
      <c r="D102" s="80">
        <f t="shared" si="21"/>
        <v>0.01</v>
      </c>
      <c r="E102" s="179">
        <v>302.5</v>
      </c>
      <c r="F102" s="80">
        <f t="shared" si="22"/>
        <v>9.9999999999999985E-3</v>
      </c>
      <c r="G102" s="179">
        <v>3320</v>
      </c>
      <c r="H102" s="80">
        <f t="shared" si="23"/>
        <v>0.01</v>
      </c>
      <c r="I102" s="179">
        <v>3386.4</v>
      </c>
      <c r="J102" s="80">
        <f t="shared" si="24"/>
        <v>0.01</v>
      </c>
      <c r="K102" s="179">
        <v>3454.1280000000002</v>
      </c>
      <c r="L102" s="80">
        <f t="shared" si="25"/>
        <v>0.01</v>
      </c>
      <c r="M102" s="179">
        <v>3523.2105599999995</v>
      </c>
      <c r="N102" s="80">
        <f t="shared" si="26"/>
        <v>9.9999999999999985E-3</v>
      </c>
      <c r="O102" s="179">
        <v>3593.6747712000006</v>
      </c>
      <c r="P102" s="80">
        <f t="shared" si="27"/>
        <v>1.0000000000000002E-2</v>
      </c>
      <c r="Q102" s="179">
        <v>3665.548266624</v>
      </c>
      <c r="R102" s="80">
        <f t="shared" si="28"/>
        <v>0.01</v>
      </c>
      <c r="S102" s="179">
        <v>3738.85923195648</v>
      </c>
      <c r="T102" s="80">
        <f t="shared" si="29"/>
        <v>0.01</v>
      </c>
      <c r="U102" s="179">
        <v>3813.6364165956093</v>
      </c>
      <c r="V102" s="80">
        <f t="shared" si="30"/>
        <v>9.9999999999999985E-3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1"/>
        <v>0</v>
      </c>
      <c r="E103" s="179">
        <v>0</v>
      </c>
      <c r="F103" s="80">
        <f t="shared" si="22"/>
        <v>0</v>
      </c>
      <c r="G103" s="179">
        <v>0</v>
      </c>
      <c r="H103" s="80">
        <f t="shared" si="23"/>
        <v>0</v>
      </c>
      <c r="I103" s="179">
        <v>0</v>
      </c>
      <c r="J103" s="80">
        <f t="shared" si="24"/>
        <v>0</v>
      </c>
      <c r="K103" s="179">
        <v>0</v>
      </c>
      <c r="L103" s="80">
        <f t="shared" si="25"/>
        <v>0</v>
      </c>
      <c r="M103" s="179">
        <v>0</v>
      </c>
      <c r="N103" s="80">
        <f t="shared" si="26"/>
        <v>0</v>
      </c>
      <c r="O103" s="179">
        <v>0</v>
      </c>
      <c r="P103" s="80">
        <f t="shared" si="27"/>
        <v>0</v>
      </c>
      <c r="Q103" s="179">
        <v>0</v>
      </c>
      <c r="R103" s="80">
        <f t="shared" si="28"/>
        <v>0</v>
      </c>
      <c r="S103" s="179">
        <v>0</v>
      </c>
      <c r="T103" s="80">
        <f t="shared" si="29"/>
        <v>0</v>
      </c>
      <c r="U103" s="179">
        <v>0</v>
      </c>
      <c r="V103" s="80">
        <f t="shared" si="30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1"/>
        <v>0</v>
      </c>
      <c r="E104" s="179">
        <v>0</v>
      </c>
      <c r="F104" s="80">
        <f t="shared" si="22"/>
        <v>0</v>
      </c>
      <c r="G104" s="179">
        <v>0</v>
      </c>
      <c r="H104" s="80">
        <f t="shared" si="23"/>
        <v>0</v>
      </c>
      <c r="I104" s="179">
        <v>0</v>
      </c>
      <c r="J104" s="80">
        <f t="shared" si="24"/>
        <v>0</v>
      </c>
      <c r="K104" s="179">
        <v>0</v>
      </c>
      <c r="L104" s="80">
        <f t="shared" si="25"/>
        <v>0</v>
      </c>
      <c r="M104" s="179">
        <v>0</v>
      </c>
      <c r="N104" s="80">
        <f t="shared" si="26"/>
        <v>0</v>
      </c>
      <c r="O104" s="179">
        <v>0</v>
      </c>
      <c r="P104" s="80">
        <f t="shared" si="27"/>
        <v>0</v>
      </c>
      <c r="Q104" s="179">
        <v>0</v>
      </c>
      <c r="R104" s="80">
        <f t="shared" si="28"/>
        <v>0</v>
      </c>
      <c r="S104" s="179">
        <v>0</v>
      </c>
      <c r="T104" s="80">
        <f t="shared" si="29"/>
        <v>0</v>
      </c>
      <c r="U104" s="179">
        <v>0</v>
      </c>
      <c r="V104" s="80">
        <f t="shared" si="30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2591.3919776022067</v>
      </c>
      <c r="D105" s="83">
        <f t="shared" ref="D105" si="31">IFERROR(C105/C$28,0)</f>
        <v>9.4232435549171156E-2</v>
      </c>
      <c r="E105" s="82">
        <f>SUM(E52:E104)</f>
        <v>2670.0864437283167</v>
      </c>
      <c r="F105" s="83">
        <f t="shared" ref="F105" si="32">IFERROR(E105/E$28,0)</f>
        <v>8.8267320453828638E-2</v>
      </c>
      <c r="G105" s="82">
        <f>SUM(G52:G104)</f>
        <v>34264.034579679479</v>
      </c>
      <c r="H105" s="83">
        <f t="shared" ref="H105" si="33">IFERROR(G105/G$28,0)</f>
        <v>0.10320492343276952</v>
      </c>
      <c r="I105" s="82">
        <f>SUM(I52:I104)</f>
        <v>34977.889037214882</v>
      </c>
      <c r="J105" s="83">
        <f t="shared" ref="J105" si="34">IFERROR(I105/I$28,0)</f>
        <v>0.10328930143283394</v>
      </c>
      <c r="K105" s="82">
        <f>SUM(K52:K104)</f>
        <v>35665.971384719116</v>
      </c>
      <c r="L105" s="83">
        <f t="shared" ref="L105" si="35">IFERROR(K105/K$28,0)</f>
        <v>0.10325607905879318</v>
      </c>
      <c r="M105" s="82">
        <f>SUM(M52:M104)</f>
        <v>36397.049420171243</v>
      </c>
      <c r="N105" s="83">
        <f t="shared" ref="N105" si="36">IFERROR(M105/M$28,0)</f>
        <v>0.10330648367542145</v>
      </c>
      <c r="O105" s="82">
        <f>SUM(O52:O104)</f>
        <v>37143.41165635029</v>
      </c>
      <c r="P105" s="83">
        <f t="shared" ref="P105" si="37">IFERROR(O105/O$28,0)</f>
        <v>0.10335774387270821</v>
      </c>
      <c r="Q105" s="82">
        <f>SUM(Q52:Q104)</f>
        <v>37905.270522335217</v>
      </c>
      <c r="R105" s="83">
        <f t="shared" ref="R105" si="38">IFERROR(Q105/Q$28,0)</f>
        <v>0.10340955231029132</v>
      </c>
      <c r="S105" s="82">
        <f>SUM(S52:S104)</f>
        <v>38682.845554171065</v>
      </c>
      <c r="T105" s="83">
        <f t="shared" ref="T105" si="39">IFERROR(S105/S$28,0)</f>
        <v>0.10346162600491648</v>
      </c>
      <c r="U105" s="82">
        <f>SUM(U52:U104)</f>
        <v>39602.435995635235</v>
      </c>
      <c r="V105" s="83">
        <f t="shared" si="30"/>
        <v>0.10384428841538042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24908.608022397792</v>
      </c>
      <c r="D107" s="83">
        <f>IFERROR(C107/C$28,0)</f>
        <v>0.90576756445082873</v>
      </c>
      <c r="E107" s="82">
        <f>E28-E33-E46-E105</f>
        <v>27579.913556271687</v>
      </c>
      <c r="F107" s="83">
        <f>IFERROR(E107/E$28,0)</f>
        <v>0.91173267954617132</v>
      </c>
      <c r="G107" s="82">
        <f>G28-G33-G46-G105</f>
        <v>64032.747420320527</v>
      </c>
      <c r="H107" s="83">
        <f>IFERROR(G107/G$28,0)</f>
        <v>0.19286972114554377</v>
      </c>
      <c r="I107" s="82">
        <f>I28-I33-I46-I105</f>
        <v>63822.997986785114</v>
      </c>
      <c r="J107" s="83">
        <f>IFERROR(I107/I$28,0)</f>
        <v>0.18846857425816535</v>
      </c>
      <c r="K107" s="82">
        <f>K28-K33-K46-K105</f>
        <v>64482.34621488089</v>
      </c>
      <c r="L107" s="83">
        <f>IFERROR(K107/K$28,0)</f>
        <v>0.18668198229735811</v>
      </c>
      <c r="M107" s="82">
        <f>M28-M33-M46-M105</f>
        <v>65109.932687418768</v>
      </c>
      <c r="N107" s="83">
        <f>IFERROR(M107/M$28,0)</f>
        <v>0.18480284268737765</v>
      </c>
      <c r="O107" s="82">
        <f>O28-O33-O46-O105</f>
        <v>65733.300703289467</v>
      </c>
      <c r="P107" s="83">
        <f>IFERROR(O107/O$28,0)</f>
        <v>0.18291388310951634</v>
      </c>
      <c r="Q107" s="82">
        <f>Q28-Q33-Q46-Q105</f>
        <v>66352.056459642743</v>
      </c>
      <c r="R107" s="83">
        <f>IFERROR(Q107/Q$28,0)</f>
        <v>0.18101536696106182</v>
      </c>
      <c r="S107" s="82">
        <f>S28-S33-S46-S105</f>
        <v>66965.785351970553</v>
      </c>
      <c r="T107" s="83">
        <f>IFERROR(S107/S$28,0)</f>
        <v>0.17910753306678659</v>
      </c>
      <c r="U107" s="82">
        <f>U28-U33-U46-U105</f>
        <v>67447.978847766382</v>
      </c>
      <c r="V107" s="83">
        <f>IFERROR(U107/U$28,0)</f>
        <v>0.17686001359294873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  <row r="120" spans="1:22" ht="12.75" customHeight="1">
      <c r="A120" s="2" t="s">
        <v>464</v>
      </c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7" tint="0.59999389629810485"/>
  </sheetPr>
  <dimension ref="A1:X119"/>
  <sheetViews>
    <sheetView topLeftCell="A33" zoomScale="70" zoomScaleNormal="70" workbookViewId="0" xr3:uid="{E6B2BAC2-667D-5CCD-8069-8C8F7D962337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36.1406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465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Half Moon Empanadas (Parking Garage 5)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36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/>
      <c r="E8" s="109">
        <f>+C8</f>
        <v>0</v>
      </c>
      <c r="G8" s="109">
        <f>+E8</f>
        <v>0</v>
      </c>
      <c r="I8" s="109">
        <f>+G8</f>
        <v>0</v>
      </c>
      <c r="K8" s="109">
        <f>+I8</f>
        <v>0</v>
      </c>
      <c r="M8" s="109">
        <f>+K8</f>
        <v>0</v>
      </c>
      <c r="O8" s="109">
        <f>+M8</f>
        <v>0</v>
      </c>
      <c r="Q8" s="109">
        <f>+O8</f>
        <v>0</v>
      </c>
      <c r="S8" s="109">
        <f>+Q8</f>
        <v>0</v>
      </c>
      <c r="U8" s="109">
        <f>+S8</f>
        <v>0</v>
      </c>
    </row>
    <row r="10" spans="1:22" ht="12.75" customHeight="1">
      <c r="A10" s="2" t="s">
        <v>449</v>
      </c>
      <c r="C10" s="109"/>
      <c r="E10" s="109"/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450</v>
      </c>
      <c r="C12" s="110"/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451</v>
      </c>
      <c r="C14" s="121">
        <f>C12*C10*C8</f>
        <v>0</v>
      </c>
      <c r="E14" s="121">
        <f>E12*E10*E8</f>
        <v>0</v>
      </c>
      <c r="G14" s="121">
        <f>G12*G10*G8</f>
        <v>0</v>
      </c>
      <c r="I14" s="121">
        <f>I12*I10*I8</f>
        <v>0</v>
      </c>
      <c r="K14" s="121">
        <f>K12*K10*K8</f>
        <v>0</v>
      </c>
      <c r="M14" s="121">
        <f>M12*M10*M8</f>
        <v>0</v>
      </c>
      <c r="O14" s="121">
        <f>O12*O10*O8</f>
        <v>0</v>
      </c>
      <c r="Q14" s="121">
        <f>Q12*Q10*Q8</f>
        <v>0</v>
      </c>
      <c r="S14" s="121">
        <f>S12*S10*S8</f>
        <v>0</v>
      </c>
      <c r="U14" s="121">
        <f>U12*U10*U8</f>
        <v>0</v>
      </c>
    </row>
    <row r="15" spans="1:22" ht="12.75" customHeight="1">
      <c r="A15" s="39">
        <v>7.0000000000000007E-2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</f>
        <v>0</v>
      </c>
      <c r="D19" s="80">
        <f>IFERROR(C19/C$28,0)</f>
        <v>0</v>
      </c>
      <c r="E19" s="208">
        <f>+E14-E20</f>
        <v>0</v>
      </c>
      <c r="F19" s="80">
        <f>IFERROR(E19/E$28,0)</f>
        <v>0</v>
      </c>
      <c r="G19" s="208">
        <f>+G14-G20</f>
        <v>0</v>
      </c>
      <c r="H19" s="80">
        <f>IFERROR(G19/G$28,0)</f>
        <v>0</v>
      </c>
      <c r="I19" s="208">
        <f>+I14-I20</f>
        <v>0</v>
      </c>
      <c r="J19" s="80">
        <f>IFERROR(I19/I$28,0)</f>
        <v>0</v>
      </c>
      <c r="K19" s="208">
        <f>+K14-K20</f>
        <v>0</v>
      </c>
      <c r="L19" s="80">
        <f>IFERROR(K19/K$28,0)</f>
        <v>0</v>
      </c>
      <c r="M19" s="208">
        <f>+M14-M20</f>
        <v>0</v>
      </c>
      <c r="N19" s="80">
        <f>IFERROR(M19/M$28,0)</f>
        <v>0</v>
      </c>
      <c r="O19" s="208">
        <f>+O14-O20</f>
        <v>0</v>
      </c>
      <c r="P19" s="80">
        <f>IFERROR(O19/O$28,0)</f>
        <v>0</v>
      </c>
      <c r="Q19" s="208">
        <f>+Q14-Q20</f>
        <v>0</v>
      </c>
      <c r="R19" s="80">
        <f>IFERROR(Q19/Q$28,0)</f>
        <v>0</v>
      </c>
      <c r="S19" s="208">
        <f>+S14-S20</f>
        <v>0</v>
      </c>
      <c r="T19" s="80">
        <f>IFERROR(S19/S$28,0)</f>
        <v>0</v>
      </c>
      <c r="U19" s="208">
        <f>+U14-U20</f>
        <v>0</v>
      </c>
      <c r="V19" s="80">
        <f>IFERROR(U19/U$28,0)</f>
        <v>0</v>
      </c>
    </row>
    <row r="20" spans="1:24" ht="12.75" customHeight="1">
      <c r="A20" s="2" t="s">
        <v>357</v>
      </c>
      <c r="B20" s="35"/>
      <c r="C20" s="111">
        <f>+C14*12.38%</f>
        <v>0</v>
      </c>
      <c r="D20" s="80">
        <f>IFERROR(C20/C$28,0)</f>
        <v>0</v>
      </c>
      <c r="E20" s="111">
        <f>+E14*53.27%</f>
        <v>0</v>
      </c>
      <c r="F20" s="80">
        <f>IFERROR(E20/E$28,0)</f>
        <v>0</v>
      </c>
      <c r="G20" s="111">
        <f t="shared" ref="G20:U21" si="0">E20*1.02</f>
        <v>0</v>
      </c>
      <c r="H20" s="80">
        <f>IFERROR(G20/G$28,0)</f>
        <v>0</v>
      </c>
      <c r="I20" s="111">
        <f t="shared" si="0"/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2" t="s">
        <v>358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460</v>
      </c>
      <c r="B27" s="35"/>
      <c r="C27" s="112">
        <f>20000+37500</f>
        <v>57500</v>
      </c>
      <c r="D27" s="80">
        <f t="shared" si="1"/>
        <v>1</v>
      </c>
      <c r="E27" s="112">
        <f>+C27*1.1</f>
        <v>63250.000000000007</v>
      </c>
      <c r="F27" s="80">
        <f t="shared" si="2"/>
        <v>1</v>
      </c>
      <c r="G27" s="112">
        <f>+E27*1.02</f>
        <v>64515.000000000007</v>
      </c>
      <c r="H27" s="80">
        <f t="shared" si="3"/>
        <v>1</v>
      </c>
      <c r="I27" s="112">
        <f>+G27*1.02</f>
        <v>65805.3</v>
      </c>
      <c r="J27" s="80">
        <f t="shared" si="4"/>
        <v>1</v>
      </c>
      <c r="K27" s="112">
        <f>+I27*1.02</f>
        <v>67121.406000000003</v>
      </c>
      <c r="L27" s="80">
        <f t="shared" si="5"/>
        <v>1</v>
      </c>
      <c r="M27" s="112">
        <f>+K27*1.02</f>
        <v>68463.83412</v>
      </c>
      <c r="N27" s="80">
        <f t="shared" si="6"/>
        <v>1</v>
      </c>
      <c r="O27" s="112">
        <f>+M27*1.02</f>
        <v>69833.110802399999</v>
      </c>
      <c r="P27" s="80">
        <f t="shared" si="7"/>
        <v>1</v>
      </c>
      <c r="Q27" s="112">
        <f>+O27*1.02</f>
        <v>71229.773018448002</v>
      </c>
      <c r="R27" s="80">
        <f t="shared" si="8"/>
        <v>1</v>
      </c>
      <c r="S27" s="112">
        <f>+Q27*1.02</f>
        <v>72654.368478816963</v>
      </c>
      <c r="T27" s="80">
        <f t="shared" si="9"/>
        <v>1</v>
      </c>
      <c r="U27" s="112">
        <f>+S27*1.02</f>
        <v>74107.455848393307</v>
      </c>
      <c r="V27" s="80">
        <f t="shared" si="10"/>
        <v>1</v>
      </c>
    </row>
    <row r="28" spans="1:24" ht="12.75" customHeight="1">
      <c r="A28" s="1" t="s">
        <v>365</v>
      </c>
      <c r="B28" s="53"/>
      <c r="C28" s="82">
        <f>SUM(C19:C27)</f>
        <v>57500</v>
      </c>
      <c r="D28" s="83">
        <f t="shared" si="1"/>
        <v>1</v>
      </c>
      <c r="E28" s="82">
        <f>SUM(E19:E27)</f>
        <v>63250.000000000007</v>
      </c>
      <c r="F28" s="83">
        <f t="shared" si="2"/>
        <v>1</v>
      </c>
      <c r="G28" s="82">
        <f>SUM(G19:G27)</f>
        <v>64515.000000000007</v>
      </c>
      <c r="H28" s="83">
        <f t="shared" si="3"/>
        <v>1</v>
      </c>
      <c r="I28" s="82">
        <f>SUM(I19:I27)</f>
        <v>65805.3</v>
      </c>
      <c r="J28" s="83">
        <f t="shared" si="4"/>
        <v>1</v>
      </c>
      <c r="K28" s="82">
        <f>SUM(K19:K27)</f>
        <v>67121.406000000003</v>
      </c>
      <c r="L28" s="83">
        <f t="shared" si="5"/>
        <v>1</v>
      </c>
      <c r="M28" s="82">
        <f>SUM(M19:M27)</f>
        <v>68463.83412</v>
      </c>
      <c r="N28" s="83">
        <f t="shared" si="6"/>
        <v>1</v>
      </c>
      <c r="O28" s="82">
        <f>SUM(O19:O27)</f>
        <v>69833.110802399999</v>
      </c>
      <c r="P28" s="83">
        <f t="shared" si="7"/>
        <v>1</v>
      </c>
      <c r="Q28" s="82">
        <f>SUM(Q19:Q27)</f>
        <v>71229.773018448002</v>
      </c>
      <c r="R28" s="83">
        <f t="shared" si="8"/>
        <v>1</v>
      </c>
      <c r="S28" s="82">
        <f>SUM(S19:S27)</f>
        <v>72654.368478816963</v>
      </c>
      <c r="T28" s="83">
        <f t="shared" si="9"/>
        <v>1</v>
      </c>
      <c r="U28" s="82">
        <f>SUM(U19:U27)</f>
        <v>74107.455848393307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0</v>
      </c>
      <c r="D31" s="80">
        <f>IFERROR(C31/C$28,0)</f>
        <v>0</v>
      </c>
      <c r="E31" s="179">
        <f>$C$30*E14</f>
        <v>0</v>
      </c>
      <c r="F31" s="80">
        <f>IFERROR(E31/E$28,0)</f>
        <v>0</v>
      </c>
      <c r="G31" s="179">
        <f>$C$30*G14</f>
        <v>0</v>
      </c>
      <c r="H31" s="80">
        <f>IFERROR(G31/G$28,0)</f>
        <v>0</v>
      </c>
      <c r="I31" s="179">
        <f>$C$30*I14</f>
        <v>0</v>
      </c>
      <c r="J31" s="80">
        <f>IFERROR(I31/I$28,0)</f>
        <v>0</v>
      </c>
      <c r="K31" s="179">
        <f>$C$30*K14</f>
        <v>0</v>
      </c>
      <c r="L31" s="80">
        <f>IFERROR(K31/K$28,0)</f>
        <v>0</v>
      </c>
      <c r="M31" s="179">
        <f>$C$30*M14</f>
        <v>0</v>
      </c>
      <c r="N31" s="80">
        <f>IFERROR(M31/M$28,0)</f>
        <v>0</v>
      </c>
      <c r="O31" s="179">
        <f>$C$30*O14</f>
        <v>0</v>
      </c>
      <c r="P31" s="80">
        <f>IFERROR(O31/O$28,0)</f>
        <v>0</v>
      </c>
      <c r="Q31" s="179">
        <f>$C$30*Q14</f>
        <v>0</v>
      </c>
      <c r="R31" s="80">
        <f>IFERROR(Q31/Q$28,0)</f>
        <v>0</v>
      </c>
      <c r="S31" s="179">
        <f>$C$30*S14</f>
        <v>0</v>
      </c>
      <c r="T31" s="80">
        <f>IFERROR(S31/S$28,0)</f>
        <v>0</v>
      </c>
      <c r="U31" s="179">
        <f>$C$30*U14</f>
        <v>0</v>
      </c>
      <c r="V31" s="80">
        <f>IFERROR(U31/U$28,0)</f>
        <v>0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0</v>
      </c>
      <c r="D33" s="83">
        <f>IFERROR(C33/C$28,0)</f>
        <v>0</v>
      </c>
      <c r="E33" s="82">
        <f>SUM(E31:E32)</f>
        <v>0</v>
      </c>
      <c r="F33" s="83">
        <f>IFERROR(E33/E$28,0)</f>
        <v>0</v>
      </c>
      <c r="G33" s="82">
        <f>SUM(G31:G32)</f>
        <v>0</v>
      </c>
      <c r="H33" s="83">
        <f>IFERROR(G33/G$28,0)</f>
        <v>0</v>
      </c>
      <c r="I33" s="82">
        <f>SUM(I31:I32)</f>
        <v>0</v>
      </c>
      <c r="J33" s="83">
        <f>IFERROR(I33/I$28,0)</f>
        <v>0</v>
      </c>
      <c r="K33" s="82">
        <f>SUM(K31:K32)</f>
        <v>0</v>
      </c>
      <c r="L33" s="83">
        <f>IFERROR(K33/K$28,0)</f>
        <v>0</v>
      </c>
      <c r="M33" s="82">
        <f>SUM(M31:M32)</f>
        <v>0</v>
      </c>
      <c r="N33" s="83">
        <f>IFERROR(M33/M$28,0)</f>
        <v>0</v>
      </c>
      <c r="O33" s="82">
        <f>SUM(O31:O32)</f>
        <v>0</v>
      </c>
      <c r="P33" s="83">
        <f>IFERROR(O33/O$28,0)</f>
        <v>0</v>
      </c>
      <c r="Q33" s="82">
        <f>SUM(Q31:Q32)</f>
        <v>0</v>
      </c>
      <c r="R33" s="83">
        <f>IFERROR(Q33/Q$28,0)</f>
        <v>0</v>
      </c>
      <c r="S33" s="82">
        <f>SUM(S31:S32)</f>
        <v>0</v>
      </c>
      <c r="T33" s="83">
        <f>IFERROR(S33/S$28,0)</f>
        <v>0</v>
      </c>
      <c r="U33" s="82">
        <f>SUM(U31:U32)</f>
        <v>0</v>
      </c>
      <c r="V33" s="83">
        <f>IFERROR(U33/U$28,0)</f>
        <v>0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13"/>
      <c r="D36" s="80">
        <f t="shared" ref="D36:D46" si="11">IFERROR(C36/C$28,0)</f>
        <v>0</v>
      </c>
      <c r="E36" s="179"/>
      <c r="F36" s="80">
        <f t="shared" ref="F36:F46" si="12">IFERROR(E36/E$28,0)</f>
        <v>0</v>
      </c>
      <c r="G36" s="179"/>
      <c r="H36" s="80">
        <f t="shared" ref="H36:H46" si="13">IFERROR(G36/G$28,0)</f>
        <v>0</v>
      </c>
      <c r="I36" s="179"/>
      <c r="J36" s="80">
        <f t="shared" ref="J36:J46" si="14">IFERROR(I36/I$28,0)</f>
        <v>0</v>
      </c>
      <c r="K36" s="179"/>
      <c r="L36" s="80">
        <f t="shared" ref="L36:L46" si="15">IFERROR(K36/K$28,0)</f>
        <v>0</v>
      </c>
      <c r="M36" s="179"/>
      <c r="N36" s="80">
        <f t="shared" ref="N36:N46" si="16">IFERROR(M36/M$28,0)</f>
        <v>0</v>
      </c>
      <c r="O36" s="179"/>
      <c r="P36" s="80">
        <f t="shared" ref="P36:P46" si="17">IFERROR(O36/O$28,0)</f>
        <v>0</v>
      </c>
      <c r="Q36" s="179"/>
      <c r="R36" s="80">
        <f t="shared" ref="R36:R46" si="18">IFERROR(Q36/Q$28,0)</f>
        <v>0</v>
      </c>
      <c r="S36" s="179"/>
      <c r="T36" s="80">
        <f t="shared" ref="T36:T46" si="19">IFERROR(S36/S$28,0)</f>
        <v>0</v>
      </c>
      <c r="U36" s="179"/>
      <c r="V36" s="80">
        <f t="shared" ref="V36:V46" si="20">IFERROR(U36/U$28,0)</f>
        <v>0</v>
      </c>
    </row>
    <row r="37" spans="1:22" ht="12.75" customHeight="1">
      <c r="A37" s="2" t="s">
        <v>372</v>
      </c>
      <c r="B37" s="35"/>
      <c r="C37" s="113"/>
      <c r="D37" s="80">
        <f t="shared" si="11"/>
        <v>0</v>
      </c>
      <c r="E37" s="179">
        <f>+C37*1.112</f>
        <v>0</v>
      </c>
      <c r="F37" s="80">
        <f t="shared" si="12"/>
        <v>0</v>
      </c>
      <c r="G37" s="179">
        <f>+E37*1.035</f>
        <v>0</v>
      </c>
      <c r="H37" s="80">
        <f t="shared" si="13"/>
        <v>0</v>
      </c>
      <c r="I37" s="179">
        <f>+G37*1.032</f>
        <v>0</v>
      </c>
      <c r="J37" s="80">
        <f t="shared" si="14"/>
        <v>0</v>
      </c>
      <c r="K37" s="179">
        <f>+I37*1.025</f>
        <v>0</v>
      </c>
      <c r="L37" s="80">
        <f t="shared" si="15"/>
        <v>0</v>
      </c>
      <c r="M37" s="179">
        <f>+K37*1.025</f>
        <v>0</v>
      </c>
      <c r="N37" s="80">
        <f t="shared" si="16"/>
        <v>0</v>
      </c>
      <c r="O37" s="179">
        <f>+M37*1.025</f>
        <v>0</v>
      </c>
      <c r="P37" s="80">
        <f t="shared" si="17"/>
        <v>0</v>
      </c>
      <c r="Q37" s="179">
        <f>+O37*1.025</f>
        <v>0</v>
      </c>
      <c r="R37" s="80">
        <f t="shared" si="18"/>
        <v>0</v>
      </c>
      <c r="S37" s="179">
        <f>+Q37*1.025</f>
        <v>0</v>
      </c>
      <c r="T37" s="80">
        <f t="shared" si="19"/>
        <v>0</v>
      </c>
      <c r="U37" s="179">
        <f>+S37*1.025</f>
        <v>0</v>
      </c>
      <c r="V37" s="80">
        <f t="shared" si="20"/>
        <v>0</v>
      </c>
    </row>
    <row r="38" spans="1:22" ht="12.75" customHeight="1">
      <c r="A38" s="2" t="s">
        <v>373</v>
      </c>
      <c r="B38" s="35"/>
      <c r="C38" s="113"/>
      <c r="D38" s="80">
        <f t="shared" si="11"/>
        <v>0</v>
      </c>
      <c r="E38" s="179">
        <f t="shared" ref="E38:E39" si="21">+C38*1.112</f>
        <v>0</v>
      </c>
      <c r="F38" s="80">
        <f t="shared" si="12"/>
        <v>0</v>
      </c>
      <c r="G38" s="179">
        <f>+E38*1.035</f>
        <v>0</v>
      </c>
      <c r="H38" s="80">
        <f t="shared" si="13"/>
        <v>0</v>
      </c>
      <c r="I38" s="179">
        <f>+G38*1.032</f>
        <v>0</v>
      </c>
      <c r="J38" s="80">
        <f t="shared" si="14"/>
        <v>0</v>
      </c>
      <c r="K38" s="179">
        <f>+I38*1.025</f>
        <v>0</v>
      </c>
      <c r="L38" s="80">
        <f t="shared" si="15"/>
        <v>0</v>
      </c>
      <c r="M38" s="179">
        <f>+K38*1.025</f>
        <v>0</v>
      </c>
      <c r="N38" s="80">
        <f t="shared" si="16"/>
        <v>0</v>
      </c>
      <c r="O38" s="179">
        <f>+M38*1.025</f>
        <v>0</v>
      </c>
      <c r="P38" s="80">
        <f t="shared" si="17"/>
        <v>0</v>
      </c>
      <c r="Q38" s="179">
        <f>+O38*1.025</f>
        <v>0</v>
      </c>
      <c r="R38" s="80">
        <f t="shared" si="18"/>
        <v>0</v>
      </c>
      <c r="S38" s="179">
        <f>+Q38*1.025</f>
        <v>0</v>
      </c>
      <c r="T38" s="80">
        <f t="shared" si="19"/>
        <v>0</v>
      </c>
      <c r="U38" s="179">
        <f>+S38*1.025</f>
        <v>0</v>
      </c>
      <c r="V38" s="80">
        <f t="shared" si="20"/>
        <v>0</v>
      </c>
    </row>
    <row r="39" spans="1:22" ht="12.75" customHeight="1">
      <c r="A39" s="2" t="s">
        <v>374</v>
      </c>
      <c r="B39" s="35"/>
      <c r="C39" s="113"/>
      <c r="D39" s="80">
        <f t="shared" si="11"/>
        <v>0</v>
      </c>
      <c r="E39" s="179">
        <f t="shared" si="21"/>
        <v>0</v>
      </c>
      <c r="F39" s="80">
        <f t="shared" si="12"/>
        <v>0</v>
      </c>
      <c r="G39" s="179">
        <f>+E39*1.035</f>
        <v>0</v>
      </c>
      <c r="H39" s="80">
        <f t="shared" si="13"/>
        <v>0</v>
      </c>
      <c r="I39" s="179">
        <f>+G39*1.032</f>
        <v>0</v>
      </c>
      <c r="J39" s="80">
        <f t="shared" si="14"/>
        <v>0</v>
      </c>
      <c r="K39" s="179">
        <f>+I39*1.025</f>
        <v>0</v>
      </c>
      <c r="L39" s="80">
        <f t="shared" si="15"/>
        <v>0</v>
      </c>
      <c r="M39" s="179">
        <f>+K39*1.025</f>
        <v>0</v>
      </c>
      <c r="N39" s="80">
        <f t="shared" si="16"/>
        <v>0</v>
      </c>
      <c r="O39" s="179">
        <f>+M39*1.025</f>
        <v>0</v>
      </c>
      <c r="P39" s="80">
        <f t="shared" si="17"/>
        <v>0</v>
      </c>
      <c r="Q39" s="179">
        <f>+O39*1.025</f>
        <v>0</v>
      </c>
      <c r="R39" s="80">
        <f t="shared" si="18"/>
        <v>0</v>
      </c>
      <c r="S39" s="179">
        <f>+Q39*1.025</f>
        <v>0</v>
      </c>
      <c r="T39" s="80">
        <f t="shared" si="19"/>
        <v>0</v>
      </c>
      <c r="U39" s="179">
        <f>+S39*1.025</f>
        <v>0</v>
      </c>
      <c r="V39" s="80">
        <f t="shared" si="20"/>
        <v>0</v>
      </c>
    </row>
    <row r="40" spans="1:22" ht="12.75" customHeight="1">
      <c r="A40" s="2" t="s">
        <v>375</v>
      </c>
      <c r="B40" s="35"/>
      <c r="C40" s="113">
        <f>C36*0.124</f>
        <v>0</v>
      </c>
      <c r="D40" s="80">
        <f t="shared" si="11"/>
        <v>0</v>
      </c>
      <c r="E40" s="113">
        <f>E36*0.124</f>
        <v>0</v>
      </c>
      <c r="F40" s="80">
        <f t="shared" si="12"/>
        <v>0</v>
      </c>
      <c r="G40" s="113">
        <f>G36*0.124</f>
        <v>0</v>
      </c>
      <c r="H40" s="80">
        <f t="shared" si="13"/>
        <v>0</v>
      </c>
      <c r="I40" s="113">
        <f>I36*0.124</f>
        <v>0</v>
      </c>
      <c r="J40" s="80">
        <f t="shared" si="14"/>
        <v>0</v>
      </c>
      <c r="K40" s="113">
        <f>K36*0.124</f>
        <v>0</v>
      </c>
      <c r="L40" s="80">
        <f t="shared" si="15"/>
        <v>0</v>
      </c>
      <c r="M40" s="113">
        <f>M36*0.124</f>
        <v>0</v>
      </c>
      <c r="N40" s="80">
        <f t="shared" si="16"/>
        <v>0</v>
      </c>
      <c r="O40" s="113">
        <f>O36*0.124</f>
        <v>0</v>
      </c>
      <c r="P40" s="80">
        <f t="shared" si="17"/>
        <v>0</v>
      </c>
      <c r="Q40" s="113">
        <f>Q36*0.124</f>
        <v>0</v>
      </c>
      <c r="R40" s="80">
        <f t="shared" si="18"/>
        <v>0</v>
      </c>
      <c r="S40" s="113">
        <f>S36*0.124</f>
        <v>0</v>
      </c>
      <c r="T40" s="80">
        <f t="shared" si="19"/>
        <v>0</v>
      </c>
      <c r="U40" s="113">
        <f>U36*0.124</f>
        <v>0</v>
      </c>
      <c r="V40" s="80">
        <f t="shared" si="20"/>
        <v>0</v>
      </c>
    </row>
    <row r="41" spans="1:22" ht="12.75" customHeight="1">
      <c r="A41" s="2" t="s">
        <v>376</v>
      </c>
      <c r="B41" s="35"/>
      <c r="C41" s="113">
        <f>C37*0.124</f>
        <v>0</v>
      </c>
      <c r="D41" s="80">
        <f t="shared" si="11"/>
        <v>0</v>
      </c>
      <c r="E41" s="113">
        <f>E37*0.124</f>
        <v>0</v>
      </c>
      <c r="F41" s="80">
        <f t="shared" si="12"/>
        <v>0</v>
      </c>
      <c r="G41" s="113">
        <f>G37*0.124</f>
        <v>0</v>
      </c>
      <c r="H41" s="80">
        <f t="shared" si="13"/>
        <v>0</v>
      </c>
      <c r="I41" s="113">
        <f>I37*0.124</f>
        <v>0</v>
      </c>
      <c r="J41" s="80">
        <f t="shared" si="14"/>
        <v>0</v>
      </c>
      <c r="K41" s="113">
        <f>K37*0.124</f>
        <v>0</v>
      </c>
      <c r="L41" s="80">
        <f t="shared" si="15"/>
        <v>0</v>
      </c>
      <c r="M41" s="113">
        <f>M37*0.124</f>
        <v>0</v>
      </c>
      <c r="N41" s="80">
        <f t="shared" si="16"/>
        <v>0</v>
      </c>
      <c r="O41" s="113">
        <f>O37*0.124</f>
        <v>0</v>
      </c>
      <c r="P41" s="80">
        <f t="shared" si="17"/>
        <v>0</v>
      </c>
      <c r="Q41" s="113">
        <f>Q37*0.124</f>
        <v>0</v>
      </c>
      <c r="R41" s="80">
        <f t="shared" si="18"/>
        <v>0</v>
      </c>
      <c r="S41" s="113">
        <f>S37*0.124</f>
        <v>0</v>
      </c>
      <c r="T41" s="80">
        <f t="shared" si="19"/>
        <v>0</v>
      </c>
      <c r="U41" s="113">
        <f>U37*0.124</f>
        <v>0</v>
      </c>
      <c r="V41" s="80">
        <f t="shared" si="20"/>
        <v>0</v>
      </c>
    </row>
    <row r="42" spans="1:22" ht="12.75" customHeight="1">
      <c r="A42" s="2" t="s">
        <v>377</v>
      </c>
      <c r="B42" s="35"/>
      <c r="C42" s="113"/>
      <c r="D42" s="80">
        <f t="shared" si="11"/>
        <v>0</v>
      </c>
      <c r="E42" s="179"/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13"/>
      <c r="D43" s="80">
        <f t="shared" si="11"/>
        <v>0</v>
      </c>
      <c r="E43" s="179"/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13"/>
      <c r="D44" s="80">
        <f t="shared" si="11"/>
        <v>0</v>
      </c>
      <c r="E44" s="179"/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14">
        <f>SUM(C36:C39)*0.094</f>
        <v>0</v>
      </c>
      <c r="D45" s="80">
        <f t="shared" si="11"/>
        <v>0</v>
      </c>
      <c r="E45" s="114">
        <f>SUM(E36:E39)*0.094</f>
        <v>0</v>
      </c>
      <c r="F45" s="80">
        <f t="shared" si="12"/>
        <v>0</v>
      </c>
      <c r="G45" s="114">
        <f>SUM(G36:G39)*0.094</f>
        <v>0</v>
      </c>
      <c r="H45" s="80">
        <f t="shared" si="13"/>
        <v>0</v>
      </c>
      <c r="I45" s="114">
        <f>SUM(I36:I39)*0.094</f>
        <v>0</v>
      </c>
      <c r="J45" s="80">
        <f t="shared" si="14"/>
        <v>0</v>
      </c>
      <c r="K45" s="114">
        <f>SUM(K36:K39)*0.094</f>
        <v>0</v>
      </c>
      <c r="L45" s="80">
        <f t="shared" si="15"/>
        <v>0</v>
      </c>
      <c r="M45" s="114">
        <f>SUM(M36:M39)*0.094</f>
        <v>0</v>
      </c>
      <c r="N45" s="80">
        <f t="shared" si="16"/>
        <v>0</v>
      </c>
      <c r="O45" s="114">
        <f>SUM(O36:O39)*0.094</f>
        <v>0</v>
      </c>
      <c r="P45" s="80">
        <f t="shared" si="17"/>
        <v>0</v>
      </c>
      <c r="Q45" s="114">
        <f>SUM(Q36:Q39)*0.094</f>
        <v>0</v>
      </c>
      <c r="R45" s="80">
        <f t="shared" si="18"/>
        <v>0</v>
      </c>
      <c r="S45" s="114">
        <f>SUM(S36:S39)*0.094</f>
        <v>0</v>
      </c>
      <c r="T45" s="80">
        <f t="shared" si="19"/>
        <v>0</v>
      </c>
      <c r="U45" s="114">
        <f>SUM(U36:U39)*0.094</f>
        <v>0</v>
      </c>
      <c r="V45" s="80">
        <f t="shared" si="20"/>
        <v>0</v>
      </c>
    </row>
    <row r="46" spans="1:22" ht="12.75" customHeight="1">
      <c r="A46" s="1" t="s">
        <v>381</v>
      </c>
      <c r="B46" s="53"/>
      <c r="C46" s="82">
        <f>SUM(C36:C45)</f>
        <v>0</v>
      </c>
      <c r="D46" s="83">
        <f t="shared" si="11"/>
        <v>0</v>
      </c>
      <c r="E46" s="82">
        <f>SUM(E36:E45)</f>
        <v>0</v>
      </c>
      <c r="F46" s="83">
        <f t="shared" si="12"/>
        <v>0</v>
      </c>
      <c r="G46" s="82">
        <f>SUM(G36:G45)</f>
        <v>0</v>
      </c>
      <c r="H46" s="83">
        <f t="shared" si="13"/>
        <v>0</v>
      </c>
      <c r="I46" s="82">
        <f>SUM(I36:I45)</f>
        <v>0</v>
      </c>
      <c r="J46" s="83">
        <f t="shared" si="14"/>
        <v>0</v>
      </c>
      <c r="K46" s="82">
        <f>SUM(K36:K45)</f>
        <v>0</v>
      </c>
      <c r="L46" s="83">
        <f t="shared" si="15"/>
        <v>0</v>
      </c>
      <c r="M46" s="82">
        <f>SUM(M36:M45)</f>
        <v>0</v>
      </c>
      <c r="N46" s="83">
        <f t="shared" si="16"/>
        <v>0</v>
      </c>
      <c r="O46" s="82">
        <f>SUM(O36:O45)</f>
        <v>0</v>
      </c>
      <c r="P46" s="83">
        <f t="shared" si="17"/>
        <v>0</v>
      </c>
      <c r="Q46" s="82">
        <f>SUM(Q36:Q45)</f>
        <v>0</v>
      </c>
      <c r="R46" s="83">
        <f t="shared" si="18"/>
        <v>0</v>
      </c>
      <c r="S46" s="82">
        <f>SUM(S36:S45)</f>
        <v>0</v>
      </c>
      <c r="T46" s="83">
        <f t="shared" si="19"/>
        <v>0</v>
      </c>
      <c r="U46" s="82">
        <f>SUM(U36:U45)</f>
        <v>0</v>
      </c>
      <c r="V46" s="83">
        <f t="shared" si="20"/>
        <v>0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83" si="22">IFERROR(C52/C$28,0)</f>
        <v>0</v>
      </c>
      <c r="E52" s="179">
        <v>0</v>
      </c>
      <c r="F52" s="80">
        <f t="shared" ref="F52:F105" si="23">IFERROR(E52/E$28,0)</f>
        <v>0</v>
      </c>
      <c r="G52" s="179">
        <v>0</v>
      </c>
      <c r="H52" s="80">
        <f t="shared" ref="H52:H105" si="24">IFERROR(G52/G$28,0)</f>
        <v>0</v>
      </c>
      <c r="I52" s="179">
        <v>0</v>
      </c>
      <c r="J52" s="80">
        <f t="shared" ref="J52:J105" si="25">IFERROR(I52/I$28,0)</f>
        <v>0</v>
      </c>
      <c r="K52" s="179">
        <v>0</v>
      </c>
      <c r="L52" s="80">
        <f t="shared" ref="L52:L105" si="26">IFERROR(K52/K$28,0)</f>
        <v>0</v>
      </c>
      <c r="M52" s="179">
        <v>0</v>
      </c>
      <c r="N52" s="80">
        <f t="shared" ref="N52:N105" si="27">IFERROR(M52/M$28,0)</f>
        <v>0</v>
      </c>
      <c r="O52" s="179">
        <v>0</v>
      </c>
      <c r="P52" s="80">
        <f t="shared" ref="P52:P105" si="28">IFERROR(O52/O$28,0)</f>
        <v>0</v>
      </c>
      <c r="Q52" s="179">
        <v>0</v>
      </c>
      <c r="R52" s="80">
        <f t="shared" ref="R52:R105" si="29">IFERROR(Q52/Q$28,0)</f>
        <v>0</v>
      </c>
      <c r="S52" s="179">
        <v>0</v>
      </c>
      <c r="T52" s="80">
        <f t="shared" ref="T52:T105" si="30">IFERROR(S52/S$28,0)</f>
        <v>0</v>
      </c>
      <c r="U52" s="179">
        <v>0</v>
      </c>
      <c r="V52" s="80">
        <f t="shared" ref="V52:V105" si="31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2"/>
        <v>0</v>
      </c>
      <c r="E53" s="179">
        <v>0</v>
      </c>
      <c r="F53" s="80">
        <f t="shared" si="23"/>
        <v>0</v>
      </c>
      <c r="G53" s="179">
        <v>0</v>
      </c>
      <c r="H53" s="80">
        <f t="shared" si="24"/>
        <v>0</v>
      </c>
      <c r="I53" s="179">
        <v>0</v>
      </c>
      <c r="J53" s="80">
        <f t="shared" si="25"/>
        <v>0</v>
      </c>
      <c r="K53" s="179">
        <v>0</v>
      </c>
      <c r="L53" s="80">
        <f t="shared" si="26"/>
        <v>0</v>
      </c>
      <c r="M53" s="179">
        <v>0</v>
      </c>
      <c r="N53" s="80">
        <f t="shared" si="27"/>
        <v>0</v>
      </c>
      <c r="O53" s="179">
        <v>0</v>
      </c>
      <c r="P53" s="80">
        <f t="shared" si="28"/>
        <v>0</v>
      </c>
      <c r="Q53" s="179">
        <v>0</v>
      </c>
      <c r="R53" s="80">
        <f t="shared" si="29"/>
        <v>0</v>
      </c>
      <c r="S53" s="179">
        <v>0</v>
      </c>
      <c r="T53" s="80">
        <f t="shared" si="30"/>
        <v>0</v>
      </c>
      <c r="U53" s="179">
        <v>0</v>
      </c>
      <c r="V53" s="80">
        <f t="shared" si="31"/>
        <v>0</v>
      </c>
      <c r="X53" s="200"/>
    </row>
    <row r="54" spans="1:24" ht="12.75" customHeight="1">
      <c r="A54" s="2" t="s">
        <v>385</v>
      </c>
      <c r="B54" s="35"/>
      <c r="C54" s="179">
        <v>0</v>
      </c>
      <c r="D54" s="80">
        <f t="shared" si="22"/>
        <v>0</v>
      </c>
      <c r="E54" s="179">
        <v>0</v>
      </c>
      <c r="F54" s="80">
        <f t="shared" si="23"/>
        <v>0</v>
      </c>
      <c r="G54" s="179">
        <v>0</v>
      </c>
      <c r="H54" s="80">
        <f t="shared" si="24"/>
        <v>0</v>
      </c>
      <c r="I54" s="179">
        <v>0</v>
      </c>
      <c r="J54" s="80">
        <f t="shared" si="25"/>
        <v>0</v>
      </c>
      <c r="K54" s="179">
        <v>0</v>
      </c>
      <c r="L54" s="80">
        <f t="shared" si="26"/>
        <v>0</v>
      </c>
      <c r="M54" s="179">
        <v>0</v>
      </c>
      <c r="N54" s="80">
        <f t="shared" si="27"/>
        <v>0</v>
      </c>
      <c r="O54" s="179">
        <v>0</v>
      </c>
      <c r="P54" s="80">
        <f t="shared" si="28"/>
        <v>0</v>
      </c>
      <c r="Q54" s="179">
        <v>0</v>
      </c>
      <c r="R54" s="80">
        <f t="shared" si="29"/>
        <v>0</v>
      </c>
      <c r="S54" s="179">
        <v>0</v>
      </c>
      <c r="T54" s="80">
        <f t="shared" si="30"/>
        <v>0</v>
      </c>
      <c r="U54" s="179">
        <v>0</v>
      </c>
      <c r="V54" s="80">
        <f t="shared" si="31"/>
        <v>0</v>
      </c>
      <c r="X54" s="200"/>
    </row>
    <row r="55" spans="1:24" ht="12.75" customHeight="1">
      <c r="A55" s="2" t="s">
        <v>386</v>
      </c>
      <c r="B55" s="35"/>
      <c r="C55" s="179">
        <v>0</v>
      </c>
      <c r="D55" s="80">
        <f t="shared" si="22"/>
        <v>0</v>
      </c>
      <c r="E55" s="179">
        <v>0</v>
      </c>
      <c r="F55" s="80">
        <f t="shared" si="23"/>
        <v>0</v>
      </c>
      <c r="G55" s="179">
        <v>0</v>
      </c>
      <c r="H55" s="80">
        <f t="shared" si="24"/>
        <v>0</v>
      </c>
      <c r="I55" s="179">
        <v>0</v>
      </c>
      <c r="J55" s="80">
        <f t="shared" si="25"/>
        <v>0</v>
      </c>
      <c r="K55" s="179">
        <v>0</v>
      </c>
      <c r="L55" s="80">
        <f t="shared" si="26"/>
        <v>0</v>
      </c>
      <c r="M55" s="179">
        <v>0</v>
      </c>
      <c r="N55" s="80">
        <f t="shared" si="27"/>
        <v>0</v>
      </c>
      <c r="O55" s="179">
        <v>0</v>
      </c>
      <c r="P55" s="80">
        <f t="shared" si="28"/>
        <v>0</v>
      </c>
      <c r="Q55" s="179">
        <v>0</v>
      </c>
      <c r="R55" s="80">
        <f t="shared" si="29"/>
        <v>0</v>
      </c>
      <c r="S55" s="179">
        <v>0</v>
      </c>
      <c r="T55" s="80">
        <f t="shared" si="30"/>
        <v>0</v>
      </c>
      <c r="U55" s="179">
        <v>0</v>
      </c>
      <c r="V55" s="80">
        <f t="shared" si="31"/>
        <v>0</v>
      </c>
      <c r="X55" s="200"/>
    </row>
    <row r="56" spans="1:24" ht="12.75" customHeight="1">
      <c r="A56" s="2" t="s">
        <v>387</v>
      </c>
      <c r="B56" s="35"/>
      <c r="C56" s="179">
        <v>0</v>
      </c>
      <c r="D56" s="80">
        <f t="shared" si="22"/>
        <v>0</v>
      </c>
      <c r="E56" s="179">
        <v>0</v>
      </c>
      <c r="F56" s="80">
        <f t="shared" si="23"/>
        <v>0</v>
      </c>
      <c r="G56" s="179">
        <v>0</v>
      </c>
      <c r="H56" s="80">
        <f t="shared" si="24"/>
        <v>0</v>
      </c>
      <c r="I56" s="179">
        <v>0</v>
      </c>
      <c r="J56" s="80">
        <f t="shared" si="25"/>
        <v>0</v>
      </c>
      <c r="K56" s="179">
        <v>0</v>
      </c>
      <c r="L56" s="80">
        <f t="shared" si="26"/>
        <v>0</v>
      </c>
      <c r="M56" s="179">
        <v>0</v>
      </c>
      <c r="N56" s="80">
        <f t="shared" si="27"/>
        <v>0</v>
      </c>
      <c r="O56" s="179">
        <v>0</v>
      </c>
      <c r="P56" s="80">
        <f t="shared" si="28"/>
        <v>0</v>
      </c>
      <c r="Q56" s="179">
        <v>0</v>
      </c>
      <c r="R56" s="80">
        <f t="shared" si="29"/>
        <v>0</v>
      </c>
      <c r="S56" s="179">
        <v>0</v>
      </c>
      <c r="T56" s="80">
        <f t="shared" si="30"/>
        <v>0</v>
      </c>
      <c r="U56" s="179">
        <v>0</v>
      </c>
      <c r="V56" s="80">
        <f t="shared" si="31"/>
        <v>0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2"/>
        <v>0</v>
      </c>
      <c r="E57" s="179">
        <v>0</v>
      </c>
      <c r="F57" s="80">
        <f t="shared" si="23"/>
        <v>0</v>
      </c>
      <c r="G57" s="179">
        <v>0</v>
      </c>
      <c r="H57" s="80">
        <f t="shared" si="24"/>
        <v>0</v>
      </c>
      <c r="I57" s="179">
        <v>0</v>
      </c>
      <c r="J57" s="80">
        <f t="shared" si="25"/>
        <v>0</v>
      </c>
      <c r="K57" s="179">
        <v>0</v>
      </c>
      <c r="L57" s="80">
        <f t="shared" si="26"/>
        <v>0</v>
      </c>
      <c r="M57" s="179">
        <v>0</v>
      </c>
      <c r="N57" s="80">
        <f t="shared" si="27"/>
        <v>0</v>
      </c>
      <c r="O57" s="179">
        <v>0</v>
      </c>
      <c r="P57" s="80">
        <f t="shared" si="28"/>
        <v>0</v>
      </c>
      <c r="Q57" s="179">
        <v>0</v>
      </c>
      <c r="R57" s="80">
        <f t="shared" si="29"/>
        <v>0</v>
      </c>
      <c r="S57" s="179">
        <v>0</v>
      </c>
      <c r="T57" s="80">
        <f t="shared" si="30"/>
        <v>0</v>
      </c>
      <c r="U57" s="179">
        <v>0</v>
      </c>
      <c r="V57" s="80">
        <f t="shared" si="31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2"/>
        <v>0</v>
      </c>
      <c r="E58" s="179">
        <v>0</v>
      </c>
      <c r="F58" s="80">
        <f t="shared" si="23"/>
        <v>0</v>
      </c>
      <c r="G58" s="179">
        <v>0</v>
      </c>
      <c r="H58" s="80">
        <f t="shared" si="24"/>
        <v>0</v>
      </c>
      <c r="I58" s="179">
        <v>0</v>
      </c>
      <c r="J58" s="80">
        <f t="shared" si="25"/>
        <v>0</v>
      </c>
      <c r="K58" s="179">
        <v>0</v>
      </c>
      <c r="L58" s="80">
        <f t="shared" si="26"/>
        <v>0</v>
      </c>
      <c r="M58" s="179">
        <v>0</v>
      </c>
      <c r="N58" s="80">
        <f t="shared" si="27"/>
        <v>0</v>
      </c>
      <c r="O58" s="179">
        <v>0</v>
      </c>
      <c r="P58" s="80">
        <f t="shared" si="28"/>
        <v>0</v>
      </c>
      <c r="Q58" s="179">
        <v>0</v>
      </c>
      <c r="R58" s="80">
        <f t="shared" si="29"/>
        <v>0</v>
      </c>
      <c r="S58" s="179">
        <v>0</v>
      </c>
      <c r="T58" s="80">
        <f t="shared" si="30"/>
        <v>0</v>
      </c>
      <c r="U58" s="179">
        <v>0</v>
      </c>
      <c r="V58" s="80">
        <f t="shared" si="31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2"/>
        <v>0</v>
      </c>
      <c r="E59" s="179">
        <v>0</v>
      </c>
      <c r="F59" s="80">
        <f t="shared" si="23"/>
        <v>0</v>
      </c>
      <c r="G59" s="179">
        <v>0</v>
      </c>
      <c r="H59" s="80">
        <f t="shared" si="24"/>
        <v>0</v>
      </c>
      <c r="I59" s="179">
        <v>0</v>
      </c>
      <c r="J59" s="80">
        <f t="shared" si="25"/>
        <v>0</v>
      </c>
      <c r="K59" s="179">
        <v>0</v>
      </c>
      <c r="L59" s="80">
        <f t="shared" si="26"/>
        <v>0</v>
      </c>
      <c r="M59" s="179">
        <v>0</v>
      </c>
      <c r="N59" s="80">
        <f t="shared" si="27"/>
        <v>0</v>
      </c>
      <c r="O59" s="179">
        <v>0</v>
      </c>
      <c r="P59" s="80">
        <f t="shared" si="28"/>
        <v>0</v>
      </c>
      <c r="Q59" s="179">
        <v>0</v>
      </c>
      <c r="R59" s="80">
        <f t="shared" si="29"/>
        <v>0</v>
      </c>
      <c r="S59" s="179">
        <v>0</v>
      </c>
      <c r="T59" s="80">
        <f t="shared" si="30"/>
        <v>0</v>
      </c>
      <c r="U59" s="179">
        <v>0</v>
      </c>
      <c r="V59" s="80">
        <f t="shared" si="31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2"/>
        <v>0</v>
      </c>
      <c r="E60" s="179">
        <v>0</v>
      </c>
      <c r="F60" s="80">
        <f t="shared" si="23"/>
        <v>0</v>
      </c>
      <c r="G60" s="179">
        <v>0</v>
      </c>
      <c r="H60" s="80">
        <f t="shared" si="24"/>
        <v>0</v>
      </c>
      <c r="I60" s="179">
        <v>0</v>
      </c>
      <c r="J60" s="80">
        <f t="shared" si="25"/>
        <v>0</v>
      </c>
      <c r="K60" s="179">
        <v>0</v>
      </c>
      <c r="L60" s="80">
        <f t="shared" si="26"/>
        <v>0</v>
      </c>
      <c r="M60" s="179">
        <v>0</v>
      </c>
      <c r="N60" s="80">
        <f t="shared" si="27"/>
        <v>0</v>
      </c>
      <c r="O60" s="179">
        <v>0</v>
      </c>
      <c r="P60" s="80">
        <f t="shared" si="28"/>
        <v>0</v>
      </c>
      <c r="Q60" s="179">
        <v>0</v>
      </c>
      <c r="R60" s="80">
        <f t="shared" si="29"/>
        <v>0</v>
      </c>
      <c r="S60" s="179">
        <v>0</v>
      </c>
      <c r="T60" s="80">
        <f t="shared" si="30"/>
        <v>0</v>
      </c>
      <c r="U60" s="179">
        <v>0</v>
      </c>
      <c r="V60" s="80">
        <f t="shared" si="31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2"/>
        <v>0</v>
      </c>
      <c r="E61" s="179">
        <v>0</v>
      </c>
      <c r="F61" s="80">
        <f t="shared" si="23"/>
        <v>0</v>
      </c>
      <c r="G61" s="179">
        <v>0</v>
      </c>
      <c r="H61" s="80">
        <f t="shared" si="24"/>
        <v>0</v>
      </c>
      <c r="I61" s="179">
        <v>0</v>
      </c>
      <c r="J61" s="80">
        <f t="shared" si="25"/>
        <v>0</v>
      </c>
      <c r="K61" s="179">
        <v>0</v>
      </c>
      <c r="L61" s="80">
        <f t="shared" si="26"/>
        <v>0</v>
      </c>
      <c r="M61" s="179">
        <v>0</v>
      </c>
      <c r="N61" s="80">
        <f t="shared" si="27"/>
        <v>0</v>
      </c>
      <c r="O61" s="179">
        <v>0</v>
      </c>
      <c r="P61" s="80">
        <f t="shared" si="28"/>
        <v>0</v>
      </c>
      <c r="Q61" s="179">
        <v>0</v>
      </c>
      <c r="R61" s="80">
        <f t="shared" si="29"/>
        <v>0</v>
      </c>
      <c r="S61" s="179">
        <v>0</v>
      </c>
      <c r="T61" s="80">
        <f t="shared" si="30"/>
        <v>0</v>
      </c>
      <c r="U61" s="179">
        <v>0</v>
      </c>
      <c r="V61" s="80">
        <f t="shared" si="31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2"/>
        <v>0</v>
      </c>
      <c r="E62" s="179">
        <v>0</v>
      </c>
      <c r="F62" s="80">
        <f t="shared" si="23"/>
        <v>0</v>
      </c>
      <c r="G62" s="179">
        <v>0</v>
      </c>
      <c r="H62" s="80">
        <f t="shared" si="24"/>
        <v>0</v>
      </c>
      <c r="I62" s="179">
        <v>0</v>
      </c>
      <c r="J62" s="80">
        <f t="shared" si="25"/>
        <v>0</v>
      </c>
      <c r="K62" s="179">
        <v>0</v>
      </c>
      <c r="L62" s="80">
        <f t="shared" si="26"/>
        <v>0</v>
      </c>
      <c r="M62" s="179">
        <v>0</v>
      </c>
      <c r="N62" s="80">
        <f t="shared" si="27"/>
        <v>0</v>
      </c>
      <c r="O62" s="179">
        <v>0</v>
      </c>
      <c r="P62" s="80">
        <f t="shared" si="28"/>
        <v>0</v>
      </c>
      <c r="Q62" s="179">
        <v>0</v>
      </c>
      <c r="R62" s="80">
        <f t="shared" si="29"/>
        <v>0</v>
      </c>
      <c r="S62" s="179">
        <v>0</v>
      </c>
      <c r="T62" s="80">
        <f t="shared" si="30"/>
        <v>0</v>
      </c>
      <c r="U62" s="179">
        <v>0</v>
      </c>
      <c r="V62" s="80">
        <f t="shared" si="31"/>
        <v>0</v>
      </c>
      <c r="X62" s="200"/>
    </row>
    <row r="63" spans="1:24" ht="12.75" customHeight="1">
      <c r="A63" s="2" t="s">
        <v>394</v>
      </c>
      <c r="B63" s="35"/>
      <c r="C63" s="179">
        <v>0</v>
      </c>
      <c r="D63" s="80">
        <f t="shared" si="22"/>
        <v>0</v>
      </c>
      <c r="E63" s="179">
        <v>0</v>
      </c>
      <c r="F63" s="80">
        <f t="shared" si="23"/>
        <v>0</v>
      </c>
      <c r="G63" s="179">
        <v>0</v>
      </c>
      <c r="H63" s="80">
        <f t="shared" si="24"/>
        <v>0</v>
      </c>
      <c r="I63" s="179">
        <v>0</v>
      </c>
      <c r="J63" s="80">
        <f t="shared" si="25"/>
        <v>0</v>
      </c>
      <c r="K63" s="179">
        <v>0</v>
      </c>
      <c r="L63" s="80">
        <f t="shared" si="26"/>
        <v>0</v>
      </c>
      <c r="M63" s="179">
        <v>0</v>
      </c>
      <c r="N63" s="80">
        <f t="shared" si="27"/>
        <v>0</v>
      </c>
      <c r="O63" s="179">
        <v>0</v>
      </c>
      <c r="P63" s="80">
        <f t="shared" si="28"/>
        <v>0</v>
      </c>
      <c r="Q63" s="179">
        <v>0</v>
      </c>
      <c r="R63" s="80">
        <f t="shared" si="29"/>
        <v>0</v>
      </c>
      <c r="S63" s="179">
        <v>0</v>
      </c>
      <c r="T63" s="80">
        <f t="shared" si="30"/>
        <v>0</v>
      </c>
      <c r="U63" s="179">
        <v>0</v>
      </c>
      <c r="V63" s="80">
        <f t="shared" si="31"/>
        <v>0</v>
      </c>
      <c r="X63" s="200"/>
    </row>
    <row r="64" spans="1:24" ht="12.75" customHeight="1">
      <c r="A64" s="2" t="s">
        <v>395</v>
      </c>
      <c r="B64" s="35"/>
      <c r="C64" s="179">
        <v>0</v>
      </c>
      <c r="D64" s="80">
        <f t="shared" si="22"/>
        <v>0</v>
      </c>
      <c r="E64" s="179">
        <v>0</v>
      </c>
      <c r="F64" s="80">
        <f t="shared" si="23"/>
        <v>0</v>
      </c>
      <c r="G64" s="179">
        <v>0</v>
      </c>
      <c r="H64" s="80">
        <f t="shared" si="24"/>
        <v>0</v>
      </c>
      <c r="I64" s="179">
        <v>0</v>
      </c>
      <c r="J64" s="80">
        <f t="shared" si="25"/>
        <v>0</v>
      </c>
      <c r="K64" s="179">
        <v>0</v>
      </c>
      <c r="L64" s="80">
        <f t="shared" si="26"/>
        <v>0</v>
      </c>
      <c r="M64" s="179">
        <v>0</v>
      </c>
      <c r="N64" s="80">
        <f t="shared" si="27"/>
        <v>0</v>
      </c>
      <c r="O64" s="179">
        <v>0</v>
      </c>
      <c r="P64" s="80">
        <f t="shared" si="28"/>
        <v>0</v>
      </c>
      <c r="Q64" s="179">
        <v>0</v>
      </c>
      <c r="R64" s="80">
        <f t="shared" si="29"/>
        <v>0</v>
      </c>
      <c r="S64" s="179">
        <v>0</v>
      </c>
      <c r="T64" s="80">
        <f t="shared" si="30"/>
        <v>0</v>
      </c>
      <c r="U64" s="179">
        <v>0</v>
      </c>
      <c r="V64" s="80">
        <f t="shared" si="31"/>
        <v>0</v>
      </c>
      <c r="X64" s="200"/>
    </row>
    <row r="65" spans="1:24" ht="12.75" customHeight="1">
      <c r="A65" s="2" t="s">
        <v>396</v>
      </c>
      <c r="B65" s="35"/>
      <c r="C65" s="179">
        <v>0</v>
      </c>
      <c r="D65" s="80">
        <f t="shared" si="22"/>
        <v>0</v>
      </c>
      <c r="E65" s="179">
        <v>0</v>
      </c>
      <c r="F65" s="80">
        <f t="shared" si="23"/>
        <v>0</v>
      </c>
      <c r="G65" s="179">
        <v>0</v>
      </c>
      <c r="H65" s="80">
        <f t="shared" si="24"/>
        <v>0</v>
      </c>
      <c r="I65" s="179">
        <v>0</v>
      </c>
      <c r="J65" s="80">
        <f t="shared" si="25"/>
        <v>0</v>
      </c>
      <c r="K65" s="179">
        <v>0</v>
      </c>
      <c r="L65" s="80">
        <f t="shared" si="26"/>
        <v>0</v>
      </c>
      <c r="M65" s="179">
        <v>0</v>
      </c>
      <c r="N65" s="80">
        <f t="shared" si="27"/>
        <v>0</v>
      </c>
      <c r="O65" s="179">
        <v>0</v>
      </c>
      <c r="P65" s="80">
        <f t="shared" si="28"/>
        <v>0</v>
      </c>
      <c r="Q65" s="179">
        <v>0</v>
      </c>
      <c r="R65" s="80">
        <f t="shared" si="29"/>
        <v>0</v>
      </c>
      <c r="S65" s="179">
        <v>0</v>
      </c>
      <c r="T65" s="80">
        <f t="shared" si="30"/>
        <v>0</v>
      </c>
      <c r="U65" s="179">
        <v>0</v>
      </c>
      <c r="V65" s="80">
        <f t="shared" si="31"/>
        <v>0</v>
      </c>
      <c r="X65" s="200"/>
    </row>
    <row r="66" spans="1:24" ht="12.75" customHeight="1">
      <c r="A66" s="2" t="s">
        <v>397</v>
      </c>
      <c r="B66" s="35"/>
      <c r="C66" s="179">
        <v>0</v>
      </c>
      <c r="D66" s="80">
        <f t="shared" si="22"/>
        <v>0</v>
      </c>
      <c r="E66" s="179">
        <v>0</v>
      </c>
      <c r="F66" s="80">
        <f t="shared" si="23"/>
        <v>0</v>
      </c>
      <c r="G66" s="179">
        <v>0</v>
      </c>
      <c r="H66" s="80">
        <f t="shared" si="24"/>
        <v>0</v>
      </c>
      <c r="I66" s="179">
        <v>0</v>
      </c>
      <c r="J66" s="80">
        <f t="shared" si="25"/>
        <v>0</v>
      </c>
      <c r="K66" s="179">
        <v>0</v>
      </c>
      <c r="L66" s="80">
        <f t="shared" si="26"/>
        <v>0</v>
      </c>
      <c r="M66" s="179">
        <v>0</v>
      </c>
      <c r="N66" s="80">
        <f t="shared" si="27"/>
        <v>0</v>
      </c>
      <c r="O66" s="179">
        <v>0</v>
      </c>
      <c r="P66" s="80">
        <f t="shared" si="28"/>
        <v>0</v>
      </c>
      <c r="Q66" s="179">
        <v>0</v>
      </c>
      <c r="R66" s="80">
        <f t="shared" si="29"/>
        <v>0</v>
      </c>
      <c r="S66" s="179">
        <v>0</v>
      </c>
      <c r="T66" s="80">
        <f t="shared" si="30"/>
        <v>0</v>
      </c>
      <c r="U66" s="179">
        <v>0</v>
      </c>
      <c r="V66" s="80">
        <f t="shared" si="31"/>
        <v>0</v>
      </c>
      <c r="X66" s="200"/>
    </row>
    <row r="67" spans="1:24" ht="12.75" customHeight="1">
      <c r="A67" s="2" t="s">
        <v>398</v>
      </c>
      <c r="B67" s="35"/>
      <c r="C67" s="179">
        <v>0</v>
      </c>
      <c r="D67" s="80">
        <f t="shared" si="22"/>
        <v>0</v>
      </c>
      <c r="E67" s="179">
        <v>0</v>
      </c>
      <c r="F67" s="80">
        <f t="shared" si="23"/>
        <v>0</v>
      </c>
      <c r="G67" s="179">
        <v>0</v>
      </c>
      <c r="H67" s="80">
        <f t="shared" si="24"/>
        <v>0</v>
      </c>
      <c r="I67" s="179">
        <v>0</v>
      </c>
      <c r="J67" s="80">
        <f t="shared" si="25"/>
        <v>0</v>
      </c>
      <c r="K67" s="179">
        <v>0</v>
      </c>
      <c r="L67" s="80">
        <f t="shared" si="26"/>
        <v>0</v>
      </c>
      <c r="M67" s="179">
        <v>0</v>
      </c>
      <c r="N67" s="80">
        <f t="shared" si="27"/>
        <v>0</v>
      </c>
      <c r="O67" s="179">
        <v>0</v>
      </c>
      <c r="P67" s="80">
        <f t="shared" si="28"/>
        <v>0</v>
      </c>
      <c r="Q67" s="179">
        <v>0</v>
      </c>
      <c r="R67" s="80">
        <f t="shared" si="29"/>
        <v>0</v>
      </c>
      <c r="S67" s="179">
        <v>0</v>
      </c>
      <c r="T67" s="80">
        <f t="shared" si="30"/>
        <v>0</v>
      </c>
      <c r="U67" s="179">
        <v>0</v>
      </c>
      <c r="V67" s="80">
        <f t="shared" si="31"/>
        <v>0</v>
      </c>
      <c r="X67" s="200"/>
    </row>
    <row r="68" spans="1:24" ht="12.75" customHeight="1">
      <c r="A68" s="2" t="s">
        <v>399</v>
      </c>
      <c r="B68" s="35"/>
      <c r="C68" s="179">
        <v>0</v>
      </c>
      <c r="D68" s="80">
        <f t="shared" si="22"/>
        <v>0</v>
      </c>
      <c r="E68" s="179">
        <v>0</v>
      </c>
      <c r="F68" s="80">
        <f t="shared" si="23"/>
        <v>0</v>
      </c>
      <c r="G68" s="179">
        <v>0</v>
      </c>
      <c r="H68" s="80">
        <f t="shared" si="24"/>
        <v>0</v>
      </c>
      <c r="I68" s="179">
        <v>0</v>
      </c>
      <c r="J68" s="80">
        <f t="shared" si="25"/>
        <v>0</v>
      </c>
      <c r="K68" s="179">
        <v>0</v>
      </c>
      <c r="L68" s="80">
        <f t="shared" si="26"/>
        <v>0</v>
      </c>
      <c r="M68" s="179">
        <v>0</v>
      </c>
      <c r="N68" s="80">
        <f t="shared" si="27"/>
        <v>0</v>
      </c>
      <c r="O68" s="179">
        <v>0</v>
      </c>
      <c r="P68" s="80">
        <f t="shared" si="28"/>
        <v>0</v>
      </c>
      <c r="Q68" s="179">
        <v>0</v>
      </c>
      <c r="R68" s="80">
        <f t="shared" si="29"/>
        <v>0</v>
      </c>
      <c r="S68" s="179">
        <v>0</v>
      </c>
      <c r="T68" s="80">
        <f t="shared" si="30"/>
        <v>0</v>
      </c>
      <c r="U68" s="179">
        <v>0</v>
      </c>
      <c r="V68" s="80">
        <f t="shared" si="31"/>
        <v>0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2"/>
        <v>0</v>
      </c>
      <c r="E69" s="179">
        <v>0</v>
      </c>
      <c r="F69" s="80">
        <f t="shared" si="23"/>
        <v>0</v>
      </c>
      <c r="G69" s="179">
        <v>0</v>
      </c>
      <c r="H69" s="80">
        <f t="shared" si="24"/>
        <v>0</v>
      </c>
      <c r="I69" s="179">
        <v>0</v>
      </c>
      <c r="J69" s="80">
        <f t="shared" si="25"/>
        <v>0</v>
      </c>
      <c r="K69" s="179">
        <v>0</v>
      </c>
      <c r="L69" s="80">
        <f t="shared" si="26"/>
        <v>0</v>
      </c>
      <c r="M69" s="179">
        <v>0</v>
      </c>
      <c r="N69" s="80">
        <f t="shared" si="27"/>
        <v>0</v>
      </c>
      <c r="O69" s="179">
        <v>0</v>
      </c>
      <c r="P69" s="80">
        <f t="shared" si="28"/>
        <v>0</v>
      </c>
      <c r="Q69" s="179">
        <v>0</v>
      </c>
      <c r="R69" s="80">
        <f t="shared" si="29"/>
        <v>0</v>
      </c>
      <c r="S69" s="179">
        <v>0</v>
      </c>
      <c r="T69" s="80">
        <f t="shared" si="30"/>
        <v>0</v>
      </c>
      <c r="U69" s="179">
        <v>0</v>
      </c>
      <c r="V69" s="80">
        <f t="shared" si="31"/>
        <v>0</v>
      </c>
      <c r="X69" s="200"/>
    </row>
    <row r="70" spans="1:24" ht="12.75" customHeight="1">
      <c r="A70" s="2" t="s">
        <v>401</v>
      </c>
      <c r="B70" s="35"/>
      <c r="C70" s="179">
        <v>0</v>
      </c>
      <c r="D70" s="80">
        <f t="shared" si="22"/>
        <v>0</v>
      </c>
      <c r="E70" s="179">
        <v>0</v>
      </c>
      <c r="F70" s="80">
        <f t="shared" si="23"/>
        <v>0</v>
      </c>
      <c r="G70" s="179">
        <v>0</v>
      </c>
      <c r="H70" s="80">
        <f t="shared" si="24"/>
        <v>0</v>
      </c>
      <c r="I70" s="179">
        <v>0</v>
      </c>
      <c r="J70" s="80">
        <f t="shared" si="25"/>
        <v>0</v>
      </c>
      <c r="K70" s="179">
        <v>0</v>
      </c>
      <c r="L70" s="80">
        <f t="shared" si="26"/>
        <v>0</v>
      </c>
      <c r="M70" s="179">
        <v>0</v>
      </c>
      <c r="N70" s="80">
        <f t="shared" si="27"/>
        <v>0</v>
      </c>
      <c r="O70" s="179">
        <v>0</v>
      </c>
      <c r="P70" s="80">
        <f t="shared" si="28"/>
        <v>0</v>
      </c>
      <c r="Q70" s="179">
        <v>0</v>
      </c>
      <c r="R70" s="80">
        <f t="shared" si="29"/>
        <v>0</v>
      </c>
      <c r="S70" s="179">
        <v>0</v>
      </c>
      <c r="T70" s="80">
        <f t="shared" si="30"/>
        <v>0</v>
      </c>
      <c r="U70" s="179">
        <v>0</v>
      </c>
      <c r="V70" s="80">
        <f t="shared" si="31"/>
        <v>0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2"/>
        <v>0</v>
      </c>
      <c r="E71" s="179">
        <v>0</v>
      </c>
      <c r="F71" s="80">
        <f t="shared" si="23"/>
        <v>0</v>
      </c>
      <c r="G71" s="179">
        <v>0</v>
      </c>
      <c r="H71" s="80">
        <f t="shared" si="24"/>
        <v>0</v>
      </c>
      <c r="I71" s="179">
        <v>0</v>
      </c>
      <c r="J71" s="80">
        <f t="shared" si="25"/>
        <v>0</v>
      </c>
      <c r="K71" s="179">
        <v>0</v>
      </c>
      <c r="L71" s="80">
        <f t="shared" si="26"/>
        <v>0</v>
      </c>
      <c r="M71" s="179">
        <v>0</v>
      </c>
      <c r="N71" s="80">
        <f t="shared" si="27"/>
        <v>0</v>
      </c>
      <c r="O71" s="179">
        <v>0</v>
      </c>
      <c r="P71" s="80">
        <f t="shared" si="28"/>
        <v>0</v>
      </c>
      <c r="Q71" s="179">
        <v>0</v>
      </c>
      <c r="R71" s="80">
        <f t="shared" si="29"/>
        <v>0</v>
      </c>
      <c r="S71" s="179">
        <v>0</v>
      </c>
      <c r="T71" s="80">
        <f t="shared" si="30"/>
        <v>0</v>
      </c>
      <c r="U71" s="179">
        <v>0</v>
      </c>
      <c r="V71" s="80">
        <f t="shared" si="31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2"/>
        <v>0</v>
      </c>
      <c r="E72" s="179">
        <v>0</v>
      </c>
      <c r="F72" s="80">
        <f t="shared" si="23"/>
        <v>0</v>
      </c>
      <c r="G72" s="179">
        <v>0</v>
      </c>
      <c r="H72" s="80">
        <f t="shared" si="24"/>
        <v>0</v>
      </c>
      <c r="I72" s="179">
        <v>0</v>
      </c>
      <c r="J72" s="80">
        <f t="shared" si="25"/>
        <v>0</v>
      </c>
      <c r="K72" s="179">
        <v>0</v>
      </c>
      <c r="L72" s="80">
        <f t="shared" si="26"/>
        <v>0</v>
      </c>
      <c r="M72" s="179">
        <v>0</v>
      </c>
      <c r="N72" s="80">
        <f t="shared" si="27"/>
        <v>0</v>
      </c>
      <c r="O72" s="179">
        <v>0</v>
      </c>
      <c r="P72" s="80">
        <f t="shared" si="28"/>
        <v>0</v>
      </c>
      <c r="Q72" s="179">
        <v>0</v>
      </c>
      <c r="R72" s="80">
        <f t="shared" si="29"/>
        <v>0</v>
      </c>
      <c r="S72" s="179">
        <v>0</v>
      </c>
      <c r="T72" s="80">
        <f t="shared" si="30"/>
        <v>0</v>
      </c>
      <c r="U72" s="179">
        <v>0</v>
      </c>
      <c r="V72" s="80">
        <f t="shared" si="31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2"/>
        <v>0</v>
      </c>
      <c r="E73" s="179">
        <v>0</v>
      </c>
      <c r="F73" s="80">
        <f t="shared" si="23"/>
        <v>0</v>
      </c>
      <c r="G73" s="179">
        <v>0</v>
      </c>
      <c r="H73" s="80">
        <f t="shared" si="24"/>
        <v>0</v>
      </c>
      <c r="I73" s="179">
        <v>0</v>
      </c>
      <c r="J73" s="80">
        <f t="shared" si="25"/>
        <v>0</v>
      </c>
      <c r="K73" s="179">
        <v>0</v>
      </c>
      <c r="L73" s="80">
        <f t="shared" si="26"/>
        <v>0</v>
      </c>
      <c r="M73" s="179">
        <v>0</v>
      </c>
      <c r="N73" s="80">
        <f t="shared" si="27"/>
        <v>0</v>
      </c>
      <c r="O73" s="179">
        <v>0</v>
      </c>
      <c r="P73" s="80">
        <f t="shared" si="28"/>
        <v>0</v>
      </c>
      <c r="Q73" s="179">
        <v>0</v>
      </c>
      <c r="R73" s="80">
        <f t="shared" si="29"/>
        <v>0</v>
      </c>
      <c r="S73" s="179">
        <v>0</v>
      </c>
      <c r="T73" s="80">
        <f t="shared" si="30"/>
        <v>0</v>
      </c>
      <c r="U73" s="179">
        <v>0</v>
      </c>
      <c r="V73" s="80">
        <f t="shared" si="31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2"/>
        <v>0</v>
      </c>
      <c r="E74" s="179">
        <v>0</v>
      </c>
      <c r="F74" s="80">
        <f t="shared" si="23"/>
        <v>0</v>
      </c>
      <c r="G74" s="179">
        <v>0</v>
      </c>
      <c r="H74" s="80">
        <f t="shared" si="24"/>
        <v>0</v>
      </c>
      <c r="I74" s="179">
        <v>0</v>
      </c>
      <c r="J74" s="80">
        <f t="shared" si="25"/>
        <v>0</v>
      </c>
      <c r="K74" s="179">
        <v>0</v>
      </c>
      <c r="L74" s="80">
        <f t="shared" si="26"/>
        <v>0</v>
      </c>
      <c r="M74" s="179">
        <v>0</v>
      </c>
      <c r="N74" s="80">
        <f t="shared" si="27"/>
        <v>0</v>
      </c>
      <c r="O74" s="179">
        <v>0</v>
      </c>
      <c r="P74" s="80">
        <f t="shared" si="28"/>
        <v>0</v>
      </c>
      <c r="Q74" s="179">
        <v>0</v>
      </c>
      <c r="R74" s="80">
        <f t="shared" si="29"/>
        <v>0</v>
      </c>
      <c r="S74" s="179">
        <v>0</v>
      </c>
      <c r="T74" s="80">
        <f t="shared" si="30"/>
        <v>0</v>
      </c>
      <c r="U74" s="179">
        <v>0</v>
      </c>
      <c r="V74" s="80">
        <f t="shared" si="31"/>
        <v>0</v>
      </c>
      <c r="X74" s="200"/>
    </row>
    <row r="75" spans="1:24" ht="12.75" customHeight="1">
      <c r="A75" s="2" t="s">
        <v>406</v>
      </c>
      <c r="B75" s="35"/>
      <c r="C75" s="179">
        <v>0</v>
      </c>
      <c r="D75" s="80">
        <f t="shared" si="22"/>
        <v>0</v>
      </c>
      <c r="E75" s="179">
        <v>0</v>
      </c>
      <c r="F75" s="80">
        <f t="shared" si="23"/>
        <v>0</v>
      </c>
      <c r="G75" s="179">
        <v>0</v>
      </c>
      <c r="H75" s="80">
        <f t="shared" si="24"/>
        <v>0</v>
      </c>
      <c r="I75" s="179">
        <v>0</v>
      </c>
      <c r="J75" s="80">
        <f t="shared" si="25"/>
        <v>0</v>
      </c>
      <c r="K75" s="179">
        <v>0</v>
      </c>
      <c r="L75" s="80">
        <f t="shared" si="26"/>
        <v>0</v>
      </c>
      <c r="M75" s="179">
        <v>0</v>
      </c>
      <c r="N75" s="80">
        <f t="shared" si="27"/>
        <v>0</v>
      </c>
      <c r="O75" s="179">
        <v>0</v>
      </c>
      <c r="P75" s="80">
        <f t="shared" si="28"/>
        <v>0</v>
      </c>
      <c r="Q75" s="179">
        <v>0</v>
      </c>
      <c r="R75" s="80">
        <f t="shared" si="29"/>
        <v>0</v>
      </c>
      <c r="S75" s="179">
        <v>0</v>
      </c>
      <c r="T75" s="80">
        <f t="shared" si="30"/>
        <v>0</v>
      </c>
      <c r="U75" s="179">
        <v>0</v>
      </c>
      <c r="V75" s="80">
        <f t="shared" si="31"/>
        <v>0</v>
      </c>
      <c r="X75" s="200"/>
    </row>
    <row r="76" spans="1:24" ht="12.75" customHeight="1">
      <c r="A76" s="2" t="s">
        <v>407</v>
      </c>
      <c r="B76" s="35"/>
      <c r="C76" s="179">
        <v>0</v>
      </c>
      <c r="D76" s="80">
        <f t="shared" si="22"/>
        <v>0</v>
      </c>
      <c r="E76" s="179">
        <v>0</v>
      </c>
      <c r="F76" s="80">
        <f t="shared" si="23"/>
        <v>0</v>
      </c>
      <c r="G76" s="179">
        <v>0</v>
      </c>
      <c r="H76" s="80">
        <f t="shared" si="24"/>
        <v>0</v>
      </c>
      <c r="I76" s="179">
        <v>0</v>
      </c>
      <c r="J76" s="80">
        <f t="shared" si="25"/>
        <v>0</v>
      </c>
      <c r="K76" s="179">
        <v>0</v>
      </c>
      <c r="L76" s="80">
        <f t="shared" si="26"/>
        <v>0</v>
      </c>
      <c r="M76" s="179">
        <v>0</v>
      </c>
      <c r="N76" s="80">
        <f t="shared" si="27"/>
        <v>0</v>
      </c>
      <c r="O76" s="179">
        <v>0</v>
      </c>
      <c r="P76" s="80">
        <f t="shared" si="28"/>
        <v>0</v>
      </c>
      <c r="Q76" s="179">
        <v>0</v>
      </c>
      <c r="R76" s="80">
        <f t="shared" si="29"/>
        <v>0</v>
      </c>
      <c r="S76" s="179">
        <v>0</v>
      </c>
      <c r="T76" s="80">
        <f t="shared" si="30"/>
        <v>0</v>
      </c>
      <c r="U76" s="179">
        <v>0</v>
      </c>
      <c r="V76" s="80">
        <f t="shared" si="31"/>
        <v>0</v>
      </c>
      <c r="X76" s="200"/>
    </row>
    <row r="77" spans="1:24" ht="12.75" customHeight="1">
      <c r="A77" s="2" t="s">
        <v>408</v>
      </c>
      <c r="B77" s="35"/>
      <c r="C77" s="179">
        <v>0</v>
      </c>
      <c r="D77" s="80">
        <f t="shared" si="22"/>
        <v>0</v>
      </c>
      <c r="E77" s="179">
        <v>0</v>
      </c>
      <c r="F77" s="80">
        <f t="shared" si="23"/>
        <v>0</v>
      </c>
      <c r="G77" s="179">
        <v>0</v>
      </c>
      <c r="H77" s="80">
        <f t="shared" si="24"/>
        <v>0</v>
      </c>
      <c r="I77" s="179">
        <v>0</v>
      </c>
      <c r="J77" s="80">
        <f t="shared" si="25"/>
        <v>0</v>
      </c>
      <c r="K77" s="179">
        <v>0</v>
      </c>
      <c r="L77" s="80">
        <f t="shared" si="26"/>
        <v>0</v>
      </c>
      <c r="M77" s="179">
        <v>0</v>
      </c>
      <c r="N77" s="80">
        <f t="shared" si="27"/>
        <v>0</v>
      </c>
      <c r="O77" s="179">
        <v>0</v>
      </c>
      <c r="P77" s="80">
        <f t="shared" si="28"/>
        <v>0</v>
      </c>
      <c r="Q77" s="179">
        <v>0</v>
      </c>
      <c r="R77" s="80">
        <f t="shared" si="29"/>
        <v>0</v>
      </c>
      <c r="S77" s="179">
        <v>0</v>
      </c>
      <c r="T77" s="80">
        <f t="shared" si="30"/>
        <v>0</v>
      </c>
      <c r="U77" s="179">
        <v>0</v>
      </c>
      <c r="V77" s="80">
        <f t="shared" si="31"/>
        <v>0</v>
      </c>
      <c r="X77" s="200"/>
    </row>
    <row r="78" spans="1:24" ht="12.75" customHeight="1">
      <c r="A78" s="2" t="s">
        <v>409</v>
      </c>
      <c r="B78" s="35"/>
      <c r="C78" s="179">
        <v>0</v>
      </c>
      <c r="D78" s="80">
        <f t="shared" si="22"/>
        <v>0</v>
      </c>
      <c r="E78" s="179">
        <v>0</v>
      </c>
      <c r="F78" s="80">
        <f t="shared" si="23"/>
        <v>0</v>
      </c>
      <c r="G78" s="179">
        <v>0</v>
      </c>
      <c r="H78" s="80">
        <f t="shared" si="24"/>
        <v>0</v>
      </c>
      <c r="I78" s="179">
        <v>0</v>
      </c>
      <c r="J78" s="80">
        <f t="shared" si="25"/>
        <v>0</v>
      </c>
      <c r="K78" s="179">
        <v>0</v>
      </c>
      <c r="L78" s="80">
        <f t="shared" si="26"/>
        <v>0</v>
      </c>
      <c r="M78" s="179">
        <v>0</v>
      </c>
      <c r="N78" s="80">
        <f t="shared" si="27"/>
        <v>0</v>
      </c>
      <c r="O78" s="179">
        <v>0</v>
      </c>
      <c r="P78" s="80">
        <f t="shared" si="28"/>
        <v>0</v>
      </c>
      <c r="Q78" s="179">
        <v>0</v>
      </c>
      <c r="R78" s="80">
        <f t="shared" si="29"/>
        <v>0</v>
      </c>
      <c r="S78" s="179">
        <v>0</v>
      </c>
      <c r="T78" s="80">
        <f t="shared" si="30"/>
        <v>0</v>
      </c>
      <c r="U78" s="179">
        <v>0</v>
      </c>
      <c r="V78" s="80">
        <f t="shared" si="31"/>
        <v>0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2"/>
        <v>0</v>
      </c>
      <c r="E79" s="179">
        <v>0</v>
      </c>
      <c r="F79" s="80">
        <f t="shared" si="23"/>
        <v>0</v>
      </c>
      <c r="G79" s="179">
        <v>0</v>
      </c>
      <c r="H79" s="80">
        <f t="shared" si="24"/>
        <v>0</v>
      </c>
      <c r="I79" s="179">
        <v>0</v>
      </c>
      <c r="J79" s="80">
        <f t="shared" si="25"/>
        <v>0</v>
      </c>
      <c r="K79" s="179">
        <v>0</v>
      </c>
      <c r="L79" s="80">
        <f t="shared" si="26"/>
        <v>0</v>
      </c>
      <c r="M79" s="179">
        <v>0</v>
      </c>
      <c r="N79" s="80">
        <f t="shared" si="27"/>
        <v>0</v>
      </c>
      <c r="O79" s="179">
        <v>0</v>
      </c>
      <c r="P79" s="80">
        <f t="shared" si="28"/>
        <v>0</v>
      </c>
      <c r="Q79" s="179">
        <v>0</v>
      </c>
      <c r="R79" s="80">
        <f t="shared" si="29"/>
        <v>0</v>
      </c>
      <c r="S79" s="179">
        <v>0</v>
      </c>
      <c r="T79" s="80">
        <f t="shared" si="30"/>
        <v>0</v>
      </c>
      <c r="U79" s="179">
        <v>0</v>
      </c>
      <c r="V79" s="80">
        <f t="shared" si="31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2"/>
        <v>0</v>
      </c>
      <c r="E80" s="179">
        <v>0</v>
      </c>
      <c r="F80" s="80">
        <f t="shared" si="23"/>
        <v>0</v>
      </c>
      <c r="G80" s="179">
        <v>0</v>
      </c>
      <c r="H80" s="80">
        <f t="shared" si="24"/>
        <v>0</v>
      </c>
      <c r="I80" s="179">
        <v>0</v>
      </c>
      <c r="J80" s="80">
        <f t="shared" si="25"/>
        <v>0</v>
      </c>
      <c r="K80" s="179">
        <v>0</v>
      </c>
      <c r="L80" s="80">
        <f t="shared" si="26"/>
        <v>0</v>
      </c>
      <c r="M80" s="179">
        <v>0</v>
      </c>
      <c r="N80" s="80">
        <f t="shared" si="27"/>
        <v>0</v>
      </c>
      <c r="O80" s="179">
        <v>0</v>
      </c>
      <c r="P80" s="80">
        <f t="shared" si="28"/>
        <v>0</v>
      </c>
      <c r="Q80" s="179">
        <v>0</v>
      </c>
      <c r="R80" s="80">
        <f t="shared" si="29"/>
        <v>0</v>
      </c>
      <c r="S80" s="179">
        <v>0</v>
      </c>
      <c r="T80" s="80">
        <f t="shared" si="30"/>
        <v>0</v>
      </c>
      <c r="U80" s="179">
        <v>0</v>
      </c>
      <c r="V80" s="80">
        <f t="shared" si="31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2"/>
        <v>0</v>
      </c>
      <c r="E81" s="179">
        <v>0</v>
      </c>
      <c r="F81" s="80">
        <f t="shared" si="23"/>
        <v>0</v>
      </c>
      <c r="G81" s="179">
        <v>0</v>
      </c>
      <c r="H81" s="80">
        <f t="shared" si="24"/>
        <v>0</v>
      </c>
      <c r="I81" s="179">
        <v>0</v>
      </c>
      <c r="J81" s="80">
        <f t="shared" si="25"/>
        <v>0</v>
      </c>
      <c r="K81" s="179">
        <v>0</v>
      </c>
      <c r="L81" s="80">
        <f t="shared" si="26"/>
        <v>0</v>
      </c>
      <c r="M81" s="179">
        <v>0</v>
      </c>
      <c r="N81" s="80">
        <f t="shared" si="27"/>
        <v>0</v>
      </c>
      <c r="O81" s="179">
        <v>0</v>
      </c>
      <c r="P81" s="80">
        <f t="shared" si="28"/>
        <v>0</v>
      </c>
      <c r="Q81" s="179">
        <v>0</v>
      </c>
      <c r="R81" s="80">
        <f t="shared" si="29"/>
        <v>0</v>
      </c>
      <c r="S81" s="179">
        <v>0</v>
      </c>
      <c r="T81" s="80">
        <f t="shared" si="30"/>
        <v>0</v>
      </c>
      <c r="U81" s="179">
        <v>0</v>
      </c>
      <c r="V81" s="80">
        <f t="shared" si="31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2"/>
        <v>0</v>
      </c>
      <c r="E82" s="179">
        <v>0</v>
      </c>
      <c r="F82" s="80">
        <f t="shared" si="23"/>
        <v>0</v>
      </c>
      <c r="G82" s="179">
        <v>0</v>
      </c>
      <c r="H82" s="80">
        <f t="shared" si="24"/>
        <v>0</v>
      </c>
      <c r="I82" s="179">
        <v>0</v>
      </c>
      <c r="J82" s="80">
        <f t="shared" si="25"/>
        <v>0</v>
      </c>
      <c r="K82" s="179">
        <v>0</v>
      </c>
      <c r="L82" s="80">
        <f t="shared" si="26"/>
        <v>0</v>
      </c>
      <c r="M82" s="179">
        <v>0</v>
      </c>
      <c r="N82" s="80">
        <f t="shared" si="27"/>
        <v>0</v>
      </c>
      <c r="O82" s="179">
        <v>0</v>
      </c>
      <c r="P82" s="80">
        <f t="shared" si="28"/>
        <v>0</v>
      </c>
      <c r="Q82" s="179">
        <v>0</v>
      </c>
      <c r="R82" s="80">
        <f t="shared" si="29"/>
        <v>0</v>
      </c>
      <c r="S82" s="179">
        <v>0</v>
      </c>
      <c r="T82" s="80">
        <f t="shared" si="30"/>
        <v>0</v>
      </c>
      <c r="U82" s="179">
        <v>0</v>
      </c>
      <c r="V82" s="80">
        <f t="shared" si="31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2"/>
        <v>0</v>
      </c>
      <c r="E83" s="179">
        <v>0</v>
      </c>
      <c r="F83" s="80">
        <f t="shared" si="23"/>
        <v>0</v>
      </c>
      <c r="G83" s="179">
        <v>0</v>
      </c>
      <c r="H83" s="80">
        <f t="shared" si="24"/>
        <v>0</v>
      </c>
      <c r="I83" s="179">
        <v>0</v>
      </c>
      <c r="J83" s="80">
        <f t="shared" si="25"/>
        <v>0</v>
      </c>
      <c r="K83" s="179">
        <v>0</v>
      </c>
      <c r="L83" s="80">
        <f t="shared" si="26"/>
        <v>0</v>
      </c>
      <c r="M83" s="179">
        <v>0</v>
      </c>
      <c r="N83" s="80">
        <f t="shared" si="27"/>
        <v>0</v>
      </c>
      <c r="O83" s="179">
        <v>0</v>
      </c>
      <c r="P83" s="80">
        <f t="shared" si="28"/>
        <v>0</v>
      </c>
      <c r="Q83" s="179">
        <v>0</v>
      </c>
      <c r="R83" s="80">
        <f t="shared" si="29"/>
        <v>0</v>
      </c>
      <c r="S83" s="179">
        <v>0</v>
      </c>
      <c r="T83" s="80">
        <f t="shared" si="30"/>
        <v>0</v>
      </c>
      <c r="U83" s="179">
        <v>0</v>
      </c>
      <c r="V83" s="80">
        <f t="shared" si="31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ref="D84:D105" si="32">IFERROR(C84/C$28,0)</f>
        <v>0</v>
      </c>
      <c r="E84" s="179">
        <v>0</v>
      </c>
      <c r="F84" s="80">
        <f t="shared" si="23"/>
        <v>0</v>
      </c>
      <c r="G84" s="179">
        <v>0</v>
      </c>
      <c r="H84" s="80">
        <f t="shared" si="24"/>
        <v>0</v>
      </c>
      <c r="I84" s="179">
        <v>0</v>
      </c>
      <c r="J84" s="80">
        <f t="shared" si="25"/>
        <v>0</v>
      </c>
      <c r="K84" s="179">
        <v>0</v>
      </c>
      <c r="L84" s="80">
        <f t="shared" si="26"/>
        <v>0</v>
      </c>
      <c r="M84" s="179">
        <v>0</v>
      </c>
      <c r="N84" s="80">
        <f t="shared" si="27"/>
        <v>0</v>
      </c>
      <c r="O84" s="179">
        <v>0</v>
      </c>
      <c r="P84" s="80">
        <f t="shared" si="28"/>
        <v>0</v>
      </c>
      <c r="Q84" s="179">
        <v>0</v>
      </c>
      <c r="R84" s="80">
        <f t="shared" si="29"/>
        <v>0</v>
      </c>
      <c r="S84" s="179">
        <v>0</v>
      </c>
      <c r="T84" s="80">
        <f t="shared" si="30"/>
        <v>0</v>
      </c>
      <c r="U84" s="179">
        <v>0</v>
      </c>
      <c r="V84" s="80">
        <f t="shared" si="31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32"/>
        <v>0</v>
      </c>
      <c r="E85" s="179">
        <v>0</v>
      </c>
      <c r="F85" s="80">
        <f t="shared" si="23"/>
        <v>0</v>
      </c>
      <c r="G85" s="179">
        <v>0</v>
      </c>
      <c r="H85" s="80">
        <f t="shared" si="24"/>
        <v>0</v>
      </c>
      <c r="I85" s="179">
        <v>0</v>
      </c>
      <c r="J85" s="80">
        <f t="shared" si="25"/>
        <v>0</v>
      </c>
      <c r="K85" s="179">
        <v>0</v>
      </c>
      <c r="L85" s="80">
        <f t="shared" si="26"/>
        <v>0</v>
      </c>
      <c r="M85" s="179">
        <v>0</v>
      </c>
      <c r="N85" s="80">
        <f t="shared" si="27"/>
        <v>0</v>
      </c>
      <c r="O85" s="179">
        <v>0</v>
      </c>
      <c r="P85" s="80">
        <f t="shared" si="28"/>
        <v>0</v>
      </c>
      <c r="Q85" s="179">
        <v>0</v>
      </c>
      <c r="R85" s="80">
        <f t="shared" si="29"/>
        <v>0</v>
      </c>
      <c r="S85" s="179">
        <v>0</v>
      </c>
      <c r="T85" s="80">
        <f t="shared" si="30"/>
        <v>0</v>
      </c>
      <c r="U85" s="179">
        <v>0</v>
      </c>
      <c r="V85" s="80">
        <f t="shared" si="31"/>
        <v>0</v>
      </c>
      <c r="X85" s="200"/>
    </row>
    <row r="86" spans="1:24" ht="12.75" customHeight="1">
      <c r="A86" s="2" t="s">
        <v>417</v>
      </c>
      <c r="B86" s="35"/>
      <c r="C86" s="179">
        <v>0</v>
      </c>
      <c r="D86" s="80">
        <f t="shared" si="32"/>
        <v>0</v>
      </c>
      <c r="E86" s="179">
        <v>0</v>
      </c>
      <c r="F86" s="80">
        <f t="shared" si="23"/>
        <v>0</v>
      </c>
      <c r="G86" s="179">
        <v>0</v>
      </c>
      <c r="H86" s="80">
        <f t="shared" si="24"/>
        <v>0</v>
      </c>
      <c r="I86" s="179">
        <v>0</v>
      </c>
      <c r="J86" s="80">
        <f t="shared" si="25"/>
        <v>0</v>
      </c>
      <c r="K86" s="179">
        <v>0</v>
      </c>
      <c r="L86" s="80">
        <f t="shared" si="26"/>
        <v>0</v>
      </c>
      <c r="M86" s="179">
        <v>0</v>
      </c>
      <c r="N86" s="80">
        <f t="shared" si="27"/>
        <v>0</v>
      </c>
      <c r="O86" s="179">
        <v>0</v>
      </c>
      <c r="P86" s="80">
        <f t="shared" si="28"/>
        <v>0</v>
      </c>
      <c r="Q86" s="179">
        <v>0</v>
      </c>
      <c r="R86" s="80">
        <f t="shared" si="29"/>
        <v>0</v>
      </c>
      <c r="S86" s="179">
        <v>0</v>
      </c>
      <c r="T86" s="80">
        <f t="shared" si="30"/>
        <v>0</v>
      </c>
      <c r="U86" s="179">
        <v>0</v>
      </c>
      <c r="V86" s="80">
        <f t="shared" si="31"/>
        <v>0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32"/>
        <v>0</v>
      </c>
      <c r="E87" s="179">
        <v>0</v>
      </c>
      <c r="F87" s="80">
        <f t="shared" si="23"/>
        <v>0</v>
      </c>
      <c r="G87" s="179">
        <v>0</v>
      </c>
      <c r="H87" s="80">
        <f t="shared" si="24"/>
        <v>0</v>
      </c>
      <c r="I87" s="179">
        <v>0</v>
      </c>
      <c r="J87" s="80">
        <f t="shared" si="25"/>
        <v>0</v>
      </c>
      <c r="K87" s="179">
        <v>0</v>
      </c>
      <c r="L87" s="80">
        <f t="shared" si="26"/>
        <v>0</v>
      </c>
      <c r="M87" s="179">
        <v>0</v>
      </c>
      <c r="N87" s="80">
        <f t="shared" si="27"/>
        <v>0</v>
      </c>
      <c r="O87" s="179">
        <v>0</v>
      </c>
      <c r="P87" s="80">
        <f t="shared" si="28"/>
        <v>0</v>
      </c>
      <c r="Q87" s="179">
        <v>0</v>
      </c>
      <c r="R87" s="80">
        <f t="shared" si="29"/>
        <v>0</v>
      </c>
      <c r="S87" s="179">
        <v>0</v>
      </c>
      <c r="T87" s="80">
        <f t="shared" si="30"/>
        <v>0</v>
      </c>
      <c r="U87" s="179">
        <v>0</v>
      </c>
      <c r="V87" s="80">
        <f t="shared" si="31"/>
        <v>0</v>
      </c>
      <c r="X87" s="200"/>
    </row>
    <row r="88" spans="1:24" ht="12.75" customHeight="1">
      <c r="A88" s="2" t="s">
        <v>419</v>
      </c>
      <c r="B88" s="35"/>
      <c r="C88" s="179">
        <v>0</v>
      </c>
      <c r="D88" s="80">
        <f t="shared" si="32"/>
        <v>0</v>
      </c>
      <c r="E88" s="179">
        <v>0</v>
      </c>
      <c r="F88" s="80">
        <f t="shared" si="23"/>
        <v>0</v>
      </c>
      <c r="G88" s="179">
        <v>0</v>
      </c>
      <c r="H88" s="80">
        <f t="shared" si="24"/>
        <v>0</v>
      </c>
      <c r="I88" s="179">
        <v>0</v>
      </c>
      <c r="J88" s="80">
        <f t="shared" si="25"/>
        <v>0</v>
      </c>
      <c r="K88" s="179">
        <v>0</v>
      </c>
      <c r="L88" s="80">
        <f t="shared" si="26"/>
        <v>0</v>
      </c>
      <c r="M88" s="179">
        <v>0</v>
      </c>
      <c r="N88" s="80">
        <f t="shared" si="27"/>
        <v>0</v>
      </c>
      <c r="O88" s="179">
        <v>0</v>
      </c>
      <c r="P88" s="80">
        <f t="shared" si="28"/>
        <v>0</v>
      </c>
      <c r="Q88" s="179">
        <v>0</v>
      </c>
      <c r="R88" s="80">
        <f t="shared" si="29"/>
        <v>0</v>
      </c>
      <c r="S88" s="179">
        <v>0</v>
      </c>
      <c r="T88" s="80">
        <f t="shared" si="30"/>
        <v>0</v>
      </c>
      <c r="U88" s="179">
        <v>0</v>
      </c>
      <c r="V88" s="80">
        <f t="shared" si="31"/>
        <v>0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32"/>
        <v>0</v>
      </c>
      <c r="E89" s="179">
        <v>0</v>
      </c>
      <c r="F89" s="80">
        <f t="shared" si="23"/>
        <v>0</v>
      </c>
      <c r="G89" s="179">
        <v>0</v>
      </c>
      <c r="H89" s="80">
        <f t="shared" si="24"/>
        <v>0</v>
      </c>
      <c r="I89" s="179">
        <v>0</v>
      </c>
      <c r="J89" s="80">
        <f t="shared" si="25"/>
        <v>0</v>
      </c>
      <c r="K89" s="179">
        <v>0</v>
      </c>
      <c r="L89" s="80">
        <f t="shared" si="26"/>
        <v>0</v>
      </c>
      <c r="M89" s="179">
        <v>0</v>
      </c>
      <c r="N89" s="80">
        <f t="shared" si="27"/>
        <v>0</v>
      </c>
      <c r="O89" s="179">
        <v>0</v>
      </c>
      <c r="P89" s="80">
        <f t="shared" si="28"/>
        <v>0</v>
      </c>
      <c r="Q89" s="179">
        <v>0</v>
      </c>
      <c r="R89" s="80">
        <f t="shared" si="29"/>
        <v>0</v>
      </c>
      <c r="S89" s="179">
        <v>0</v>
      </c>
      <c r="T89" s="80">
        <f t="shared" si="30"/>
        <v>0</v>
      </c>
      <c r="U89" s="179">
        <v>0</v>
      </c>
      <c r="V89" s="80">
        <f t="shared" si="31"/>
        <v>0</v>
      </c>
      <c r="X89" s="200"/>
    </row>
    <row r="90" spans="1:24" ht="12.75" customHeight="1">
      <c r="A90" s="2" t="s">
        <v>421</v>
      </c>
      <c r="B90" s="35"/>
      <c r="C90" s="179">
        <v>0</v>
      </c>
      <c r="D90" s="80">
        <f t="shared" si="32"/>
        <v>0</v>
      </c>
      <c r="E90" s="179">
        <v>0</v>
      </c>
      <c r="F90" s="80">
        <f t="shared" si="23"/>
        <v>0</v>
      </c>
      <c r="G90" s="179">
        <v>0</v>
      </c>
      <c r="H90" s="80">
        <f t="shared" si="24"/>
        <v>0</v>
      </c>
      <c r="I90" s="179">
        <v>0</v>
      </c>
      <c r="J90" s="80">
        <f t="shared" si="25"/>
        <v>0</v>
      </c>
      <c r="K90" s="179">
        <v>0</v>
      </c>
      <c r="L90" s="80">
        <f t="shared" si="26"/>
        <v>0</v>
      </c>
      <c r="M90" s="179">
        <v>0</v>
      </c>
      <c r="N90" s="80">
        <f t="shared" si="27"/>
        <v>0</v>
      </c>
      <c r="O90" s="179">
        <v>0</v>
      </c>
      <c r="P90" s="80">
        <f t="shared" si="28"/>
        <v>0</v>
      </c>
      <c r="Q90" s="179">
        <v>0</v>
      </c>
      <c r="R90" s="80">
        <f t="shared" si="29"/>
        <v>0</v>
      </c>
      <c r="S90" s="179">
        <v>0</v>
      </c>
      <c r="T90" s="80">
        <f t="shared" si="30"/>
        <v>0</v>
      </c>
      <c r="U90" s="179">
        <v>0</v>
      </c>
      <c r="V90" s="80">
        <f t="shared" si="31"/>
        <v>0</v>
      </c>
      <c r="X90" s="200"/>
    </row>
    <row r="91" spans="1:24" ht="12.75" customHeight="1">
      <c r="A91" s="2" t="s">
        <v>422</v>
      </c>
      <c r="C91" s="179">
        <v>0</v>
      </c>
      <c r="D91" s="80">
        <f t="shared" si="32"/>
        <v>0</v>
      </c>
      <c r="E91" s="179">
        <v>0</v>
      </c>
      <c r="F91" s="80">
        <f t="shared" si="23"/>
        <v>0</v>
      </c>
      <c r="G91" s="179">
        <v>0</v>
      </c>
      <c r="H91" s="80">
        <f t="shared" si="24"/>
        <v>0</v>
      </c>
      <c r="I91" s="179">
        <v>0</v>
      </c>
      <c r="J91" s="80">
        <f t="shared" si="25"/>
        <v>0</v>
      </c>
      <c r="K91" s="179">
        <v>0</v>
      </c>
      <c r="L91" s="80">
        <f t="shared" si="26"/>
        <v>0</v>
      </c>
      <c r="M91" s="179">
        <v>0</v>
      </c>
      <c r="N91" s="80">
        <f t="shared" si="27"/>
        <v>0</v>
      </c>
      <c r="O91" s="179">
        <v>0</v>
      </c>
      <c r="P91" s="80">
        <f t="shared" si="28"/>
        <v>0</v>
      </c>
      <c r="Q91" s="179">
        <v>0</v>
      </c>
      <c r="R91" s="80">
        <f t="shared" si="29"/>
        <v>0</v>
      </c>
      <c r="S91" s="179">
        <v>0</v>
      </c>
      <c r="T91" s="80">
        <f t="shared" si="30"/>
        <v>0</v>
      </c>
      <c r="U91" s="179">
        <v>0</v>
      </c>
      <c r="V91" s="80">
        <f t="shared" si="31"/>
        <v>0</v>
      </c>
      <c r="X91" s="200"/>
    </row>
    <row r="92" spans="1:24" ht="12.75" customHeight="1">
      <c r="A92" s="2" t="s">
        <v>423</v>
      </c>
      <c r="B92" s="35"/>
      <c r="C92" s="179">
        <v>0</v>
      </c>
      <c r="D92" s="80">
        <f t="shared" si="32"/>
        <v>0</v>
      </c>
      <c r="E92" s="179">
        <v>0</v>
      </c>
      <c r="F92" s="80">
        <f t="shared" si="23"/>
        <v>0</v>
      </c>
      <c r="G92" s="179">
        <v>0</v>
      </c>
      <c r="H92" s="80">
        <f t="shared" si="24"/>
        <v>0</v>
      </c>
      <c r="I92" s="179">
        <v>0</v>
      </c>
      <c r="J92" s="80">
        <f t="shared" si="25"/>
        <v>0</v>
      </c>
      <c r="K92" s="179">
        <v>0</v>
      </c>
      <c r="L92" s="80">
        <f t="shared" si="26"/>
        <v>0</v>
      </c>
      <c r="M92" s="179">
        <v>0</v>
      </c>
      <c r="N92" s="80">
        <f t="shared" si="27"/>
        <v>0</v>
      </c>
      <c r="O92" s="179">
        <v>0</v>
      </c>
      <c r="P92" s="80">
        <f t="shared" si="28"/>
        <v>0</v>
      </c>
      <c r="Q92" s="179">
        <v>0</v>
      </c>
      <c r="R92" s="80">
        <f t="shared" si="29"/>
        <v>0</v>
      </c>
      <c r="S92" s="179">
        <v>0</v>
      </c>
      <c r="T92" s="80">
        <f t="shared" si="30"/>
        <v>0</v>
      </c>
      <c r="U92" s="179">
        <v>0</v>
      </c>
      <c r="V92" s="80">
        <f t="shared" si="31"/>
        <v>0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32"/>
        <v>0</v>
      </c>
      <c r="E93" s="179">
        <v>0</v>
      </c>
      <c r="F93" s="80">
        <f t="shared" si="23"/>
        <v>0</v>
      </c>
      <c r="G93" s="179">
        <v>0</v>
      </c>
      <c r="H93" s="80">
        <f t="shared" si="24"/>
        <v>0</v>
      </c>
      <c r="I93" s="179">
        <v>0</v>
      </c>
      <c r="J93" s="80">
        <f t="shared" si="25"/>
        <v>0</v>
      </c>
      <c r="K93" s="179">
        <v>0</v>
      </c>
      <c r="L93" s="80">
        <f t="shared" si="26"/>
        <v>0</v>
      </c>
      <c r="M93" s="179">
        <v>0</v>
      </c>
      <c r="N93" s="80">
        <f t="shared" si="27"/>
        <v>0</v>
      </c>
      <c r="O93" s="179">
        <v>0</v>
      </c>
      <c r="P93" s="80">
        <f t="shared" si="28"/>
        <v>0</v>
      </c>
      <c r="Q93" s="179">
        <v>0</v>
      </c>
      <c r="R93" s="80">
        <f t="shared" si="29"/>
        <v>0</v>
      </c>
      <c r="S93" s="179">
        <v>0</v>
      </c>
      <c r="T93" s="80">
        <f t="shared" si="30"/>
        <v>0</v>
      </c>
      <c r="U93" s="179">
        <v>0</v>
      </c>
      <c r="V93" s="80">
        <f t="shared" si="31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32"/>
        <v>0</v>
      </c>
      <c r="E94" s="179">
        <v>0</v>
      </c>
      <c r="F94" s="80">
        <f t="shared" si="23"/>
        <v>0</v>
      </c>
      <c r="G94" s="179">
        <v>0</v>
      </c>
      <c r="H94" s="80">
        <f t="shared" si="24"/>
        <v>0</v>
      </c>
      <c r="I94" s="179">
        <v>0</v>
      </c>
      <c r="J94" s="80">
        <f t="shared" si="25"/>
        <v>0</v>
      </c>
      <c r="K94" s="179">
        <v>0</v>
      </c>
      <c r="L94" s="80">
        <f t="shared" si="26"/>
        <v>0</v>
      </c>
      <c r="M94" s="179">
        <v>0</v>
      </c>
      <c r="N94" s="80">
        <f t="shared" si="27"/>
        <v>0</v>
      </c>
      <c r="O94" s="179">
        <v>0</v>
      </c>
      <c r="P94" s="80">
        <f t="shared" si="28"/>
        <v>0</v>
      </c>
      <c r="Q94" s="179">
        <v>0</v>
      </c>
      <c r="R94" s="80">
        <f t="shared" si="29"/>
        <v>0</v>
      </c>
      <c r="S94" s="179">
        <v>0</v>
      </c>
      <c r="T94" s="80">
        <f t="shared" si="30"/>
        <v>0</v>
      </c>
      <c r="U94" s="179">
        <v>0</v>
      </c>
      <c r="V94" s="80">
        <f t="shared" si="31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32"/>
        <v>0</v>
      </c>
      <c r="E95" s="179">
        <v>0</v>
      </c>
      <c r="F95" s="80">
        <f t="shared" si="23"/>
        <v>0</v>
      </c>
      <c r="G95" s="179">
        <v>0</v>
      </c>
      <c r="H95" s="80">
        <f t="shared" si="24"/>
        <v>0</v>
      </c>
      <c r="I95" s="179">
        <v>0</v>
      </c>
      <c r="J95" s="80">
        <f t="shared" si="25"/>
        <v>0</v>
      </c>
      <c r="K95" s="179">
        <v>0</v>
      </c>
      <c r="L95" s="80">
        <f t="shared" si="26"/>
        <v>0</v>
      </c>
      <c r="M95" s="179">
        <v>0</v>
      </c>
      <c r="N95" s="80">
        <f t="shared" si="27"/>
        <v>0</v>
      </c>
      <c r="O95" s="179">
        <v>0</v>
      </c>
      <c r="P95" s="80">
        <f t="shared" si="28"/>
        <v>0</v>
      </c>
      <c r="Q95" s="179">
        <v>0</v>
      </c>
      <c r="R95" s="80">
        <f t="shared" si="29"/>
        <v>0</v>
      </c>
      <c r="S95" s="179">
        <v>0</v>
      </c>
      <c r="T95" s="80">
        <f t="shared" si="30"/>
        <v>0</v>
      </c>
      <c r="U95" s="179">
        <v>0</v>
      </c>
      <c r="V95" s="80">
        <f t="shared" si="31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32"/>
        <v>0</v>
      </c>
      <c r="E96" s="179">
        <v>0</v>
      </c>
      <c r="F96" s="80">
        <f t="shared" si="23"/>
        <v>0</v>
      </c>
      <c r="G96" s="179">
        <v>0</v>
      </c>
      <c r="H96" s="80">
        <f t="shared" si="24"/>
        <v>0</v>
      </c>
      <c r="I96" s="179">
        <v>0</v>
      </c>
      <c r="J96" s="80">
        <f t="shared" si="25"/>
        <v>0</v>
      </c>
      <c r="K96" s="179">
        <v>0</v>
      </c>
      <c r="L96" s="80">
        <f t="shared" si="26"/>
        <v>0</v>
      </c>
      <c r="M96" s="179">
        <v>0</v>
      </c>
      <c r="N96" s="80">
        <f t="shared" si="27"/>
        <v>0</v>
      </c>
      <c r="O96" s="179">
        <v>0</v>
      </c>
      <c r="P96" s="80">
        <f t="shared" si="28"/>
        <v>0</v>
      </c>
      <c r="Q96" s="179">
        <v>0</v>
      </c>
      <c r="R96" s="80">
        <f t="shared" si="29"/>
        <v>0</v>
      </c>
      <c r="S96" s="179">
        <v>0</v>
      </c>
      <c r="T96" s="80">
        <f t="shared" si="30"/>
        <v>0</v>
      </c>
      <c r="U96" s="179">
        <v>0</v>
      </c>
      <c r="V96" s="80">
        <f t="shared" si="31"/>
        <v>0</v>
      </c>
      <c r="X96" s="200"/>
    </row>
    <row r="97" spans="1:24" ht="12.75" customHeight="1">
      <c r="A97" s="2" t="s">
        <v>428</v>
      </c>
      <c r="B97" s="35"/>
      <c r="C97" s="179">
        <v>0</v>
      </c>
      <c r="D97" s="80">
        <f t="shared" si="32"/>
        <v>0</v>
      </c>
      <c r="E97" s="179">
        <v>0</v>
      </c>
      <c r="F97" s="80">
        <f t="shared" si="23"/>
        <v>0</v>
      </c>
      <c r="G97" s="179">
        <v>0</v>
      </c>
      <c r="H97" s="80">
        <f t="shared" si="24"/>
        <v>0</v>
      </c>
      <c r="I97" s="179">
        <v>0</v>
      </c>
      <c r="J97" s="80">
        <f t="shared" si="25"/>
        <v>0</v>
      </c>
      <c r="K97" s="179">
        <v>0</v>
      </c>
      <c r="L97" s="80">
        <f t="shared" si="26"/>
        <v>0</v>
      </c>
      <c r="M97" s="179">
        <v>0</v>
      </c>
      <c r="N97" s="80">
        <f t="shared" si="27"/>
        <v>0</v>
      </c>
      <c r="O97" s="179">
        <v>0</v>
      </c>
      <c r="P97" s="80">
        <f t="shared" si="28"/>
        <v>0</v>
      </c>
      <c r="Q97" s="179">
        <v>0</v>
      </c>
      <c r="R97" s="80">
        <f t="shared" si="29"/>
        <v>0</v>
      </c>
      <c r="S97" s="179">
        <v>0</v>
      </c>
      <c r="T97" s="80">
        <f t="shared" si="30"/>
        <v>0</v>
      </c>
      <c r="U97" s="179">
        <v>0</v>
      </c>
      <c r="V97" s="80">
        <f t="shared" si="31"/>
        <v>0</v>
      </c>
      <c r="X97" s="200"/>
    </row>
    <row r="98" spans="1:24" ht="12.75" customHeight="1">
      <c r="A98" s="117" t="s">
        <v>431</v>
      </c>
      <c r="B98" s="35"/>
      <c r="C98" s="179">
        <v>0</v>
      </c>
      <c r="D98" s="80">
        <f t="shared" si="32"/>
        <v>0</v>
      </c>
      <c r="E98" s="179">
        <v>0</v>
      </c>
      <c r="F98" s="80">
        <f t="shared" si="23"/>
        <v>0</v>
      </c>
      <c r="G98" s="179">
        <v>0</v>
      </c>
      <c r="H98" s="80">
        <f t="shared" si="24"/>
        <v>0</v>
      </c>
      <c r="I98" s="179">
        <v>0</v>
      </c>
      <c r="J98" s="80">
        <f t="shared" si="25"/>
        <v>0</v>
      </c>
      <c r="K98" s="179">
        <v>0</v>
      </c>
      <c r="L98" s="80">
        <f t="shared" si="26"/>
        <v>0</v>
      </c>
      <c r="M98" s="179">
        <v>0</v>
      </c>
      <c r="N98" s="80">
        <f t="shared" si="27"/>
        <v>0</v>
      </c>
      <c r="O98" s="179">
        <v>0</v>
      </c>
      <c r="P98" s="80">
        <f t="shared" si="28"/>
        <v>0</v>
      </c>
      <c r="Q98" s="179">
        <v>0</v>
      </c>
      <c r="R98" s="80">
        <f t="shared" si="29"/>
        <v>0</v>
      </c>
      <c r="S98" s="179">
        <v>0</v>
      </c>
      <c r="T98" s="80">
        <f t="shared" si="30"/>
        <v>0</v>
      </c>
      <c r="U98" s="179">
        <v>0</v>
      </c>
      <c r="V98" s="80">
        <f t="shared" si="31"/>
        <v>0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32"/>
        <v>0</v>
      </c>
      <c r="E99" s="179">
        <v>0</v>
      </c>
      <c r="F99" s="80">
        <f t="shared" si="23"/>
        <v>0</v>
      </c>
      <c r="G99" s="179">
        <v>0</v>
      </c>
      <c r="H99" s="80">
        <f t="shared" si="24"/>
        <v>0</v>
      </c>
      <c r="I99" s="179">
        <v>0</v>
      </c>
      <c r="J99" s="80">
        <f t="shared" si="25"/>
        <v>0</v>
      </c>
      <c r="K99" s="179">
        <v>0</v>
      </c>
      <c r="L99" s="80">
        <f t="shared" si="26"/>
        <v>0</v>
      </c>
      <c r="M99" s="179">
        <v>0</v>
      </c>
      <c r="N99" s="80">
        <f t="shared" si="27"/>
        <v>0</v>
      </c>
      <c r="O99" s="179">
        <v>0</v>
      </c>
      <c r="P99" s="80">
        <f t="shared" si="28"/>
        <v>0</v>
      </c>
      <c r="Q99" s="179">
        <v>0</v>
      </c>
      <c r="R99" s="80">
        <f t="shared" si="29"/>
        <v>0</v>
      </c>
      <c r="S99" s="179">
        <v>0</v>
      </c>
      <c r="T99" s="80">
        <f t="shared" si="30"/>
        <v>0</v>
      </c>
      <c r="U99" s="179">
        <v>0</v>
      </c>
      <c r="V99" s="80">
        <f t="shared" si="31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32"/>
        <v>0</v>
      </c>
      <c r="E100" s="179">
        <v>0</v>
      </c>
      <c r="F100" s="80">
        <f t="shared" si="23"/>
        <v>0</v>
      </c>
      <c r="G100" s="179">
        <v>0</v>
      </c>
      <c r="H100" s="80">
        <f t="shared" si="24"/>
        <v>0</v>
      </c>
      <c r="I100" s="179">
        <v>0</v>
      </c>
      <c r="J100" s="80">
        <f t="shared" si="25"/>
        <v>0</v>
      </c>
      <c r="K100" s="179">
        <v>0</v>
      </c>
      <c r="L100" s="80">
        <f t="shared" si="26"/>
        <v>0</v>
      </c>
      <c r="M100" s="179">
        <v>0</v>
      </c>
      <c r="N100" s="80">
        <f t="shared" si="27"/>
        <v>0</v>
      </c>
      <c r="O100" s="179">
        <v>0</v>
      </c>
      <c r="P100" s="80">
        <f t="shared" si="28"/>
        <v>0</v>
      </c>
      <c r="Q100" s="179">
        <v>0</v>
      </c>
      <c r="R100" s="80">
        <f t="shared" si="29"/>
        <v>0</v>
      </c>
      <c r="S100" s="179">
        <v>0</v>
      </c>
      <c r="T100" s="80">
        <f t="shared" si="30"/>
        <v>0</v>
      </c>
      <c r="U100" s="179">
        <v>0</v>
      </c>
      <c r="V100" s="80">
        <f t="shared" si="31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32"/>
        <v>0</v>
      </c>
      <c r="E101" s="179"/>
      <c r="F101" s="80">
        <f t="shared" si="23"/>
        <v>0</v>
      </c>
      <c r="G101" s="179"/>
      <c r="H101" s="80">
        <f t="shared" si="24"/>
        <v>0</v>
      </c>
      <c r="I101" s="179">
        <v>0</v>
      </c>
      <c r="J101" s="80">
        <f t="shared" si="25"/>
        <v>0</v>
      </c>
      <c r="K101" s="179">
        <v>0</v>
      </c>
      <c r="L101" s="80">
        <f t="shared" si="26"/>
        <v>0</v>
      </c>
      <c r="M101" s="179">
        <v>0</v>
      </c>
      <c r="N101" s="80">
        <f t="shared" si="27"/>
        <v>0</v>
      </c>
      <c r="O101" s="179">
        <v>0</v>
      </c>
      <c r="P101" s="80">
        <f t="shared" si="28"/>
        <v>0</v>
      </c>
      <c r="Q101" s="179">
        <v>0</v>
      </c>
      <c r="R101" s="80">
        <f t="shared" si="29"/>
        <v>0</v>
      </c>
      <c r="S101" s="179">
        <v>0</v>
      </c>
      <c r="T101" s="80">
        <f t="shared" si="30"/>
        <v>0</v>
      </c>
      <c r="U101" s="179">
        <v>0</v>
      </c>
      <c r="V101" s="80">
        <f t="shared" si="31"/>
        <v>0</v>
      </c>
      <c r="X101" s="200"/>
    </row>
    <row r="102" spans="1:24" ht="12.75" customHeight="1">
      <c r="A102" s="117" t="s">
        <v>433</v>
      </c>
      <c r="B102" s="35"/>
      <c r="C102" s="179">
        <v>0</v>
      </c>
      <c r="D102" s="80">
        <f t="shared" si="32"/>
        <v>0</v>
      </c>
      <c r="E102" s="179">
        <v>0</v>
      </c>
      <c r="F102" s="80">
        <f t="shared" si="23"/>
        <v>0</v>
      </c>
      <c r="G102" s="179">
        <v>0</v>
      </c>
      <c r="H102" s="80">
        <f t="shared" si="24"/>
        <v>0</v>
      </c>
      <c r="I102" s="179">
        <v>0</v>
      </c>
      <c r="J102" s="80">
        <f t="shared" si="25"/>
        <v>0</v>
      </c>
      <c r="K102" s="179">
        <v>0</v>
      </c>
      <c r="L102" s="80">
        <f t="shared" si="26"/>
        <v>0</v>
      </c>
      <c r="M102" s="179">
        <v>0</v>
      </c>
      <c r="N102" s="80">
        <f t="shared" si="27"/>
        <v>0</v>
      </c>
      <c r="O102" s="179">
        <v>0</v>
      </c>
      <c r="P102" s="80">
        <f t="shared" si="28"/>
        <v>0</v>
      </c>
      <c r="Q102" s="179">
        <v>0</v>
      </c>
      <c r="R102" s="80">
        <f t="shared" si="29"/>
        <v>0</v>
      </c>
      <c r="S102" s="179">
        <v>0</v>
      </c>
      <c r="T102" s="80">
        <f t="shared" si="30"/>
        <v>0</v>
      </c>
      <c r="U102" s="179">
        <v>0</v>
      </c>
      <c r="V102" s="80">
        <f t="shared" si="31"/>
        <v>0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32"/>
        <v>0</v>
      </c>
      <c r="E103" s="179">
        <v>0</v>
      </c>
      <c r="F103" s="80">
        <f t="shared" si="23"/>
        <v>0</v>
      </c>
      <c r="G103" s="179">
        <v>0</v>
      </c>
      <c r="H103" s="80">
        <f t="shared" si="24"/>
        <v>0</v>
      </c>
      <c r="I103" s="179">
        <v>0</v>
      </c>
      <c r="J103" s="80">
        <f t="shared" si="25"/>
        <v>0</v>
      </c>
      <c r="K103" s="179">
        <v>0</v>
      </c>
      <c r="L103" s="80">
        <f t="shared" si="26"/>
        <v>0</v>
      </c>
      <c r="M103" s="179">
        <v>0</v>
      </c>
      <c r="N103" s="80">
        <f t="shared" si="27"/>
        <v>0</v>
      </c>
      <c r="O103" s="179">
        <v>0</v>
      </c>
      <c r="P103" s="80">
        <f t="shared" si="28"/>
        <v>0</v>
      </c>
      <c r="Q103" s="179">
        <v>0</v>
      </c>
      <c r="R103" s="80">
        <f t="shared" si="29"/>
        <v>0</v>
      </c>
      <c r="S103" s="179">
        <v>0</v>
      </c>
      <c r="T103" s="80">
        <f t="shared" si="30"/>
        <v>0</v>
      </c>
      <c r="U103" s="179">
        <v>0</v>
      </c>
      <c r="V103" s="80">
        <f t="shared" si="31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32"/>
        <v>0</v>
      </c>
      <c r="E104" s="179">
        <v>0</v>
      </c>
      <c r="F104" s="80">
        <f t="shared" si="23"/>
        <v>0</v>
      </c>
      <c r="G104" s="179">
        <v>0</v>
      </c>
      <c r="H104" s="80">
        <f t="shared" si="24"/>
        <v>0</v>
      </c>
      <c r="I104" s="179">
        <v>0</v>
      </c>
      <c r="J104" s="80">
        <f t="shared" si="25"/>
        <v>0</v>
      </c>
      <c r="K104" s="179">
        <v>0</v>
      </c>
      <c r="L104" s="80">
        <f t="shared" si="26"/>
        <v>0</v>
      </c>
      <c r="M104" s="179">
        <v>0</v>
      </c>
      <c r="N104" s="80">
        <f t="shared" si="27"/>
        <v>0</v>
      </c>
      <c r="O104" s="179">
        <v>0</v>
      </c>
      <c r="P104" s="80">
        <f t="shared" si="28"/>
        <v>0</v>
      </c>
      <c r="Q104" s="179">
        <v>0</v>
      </c>
      <c r="R104" s="80">
        <f t="shared" si="29"/>
        <v>0</v>
      </c>
      <c r="S104" s="179">
        <v>0</v>
      </c>
      <c r="T104" s="80">
        <f t="shared" si="30"/>
        <v>0</v>
      </c>
      <c r="U104" s="179">
        <v>0</v>
      </c>
      <c r="V104" s="80">
        <f t="shared" si="31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0</v>
      </c>
      <c r="D105" s="83">
        <f t="shared" si="32"/>
        <v>0</v>
      </c>
      <c r="E105" s="82">
        <f>SUM(E52:E104)</f>
        <v>0</v>
      </c>
      <c r="F105" s="83">
        <f t="shared" si="23"/>
        <v>0</v>
      </c>
      <c r="G105" s="82">
        <f>SUM(G52:G104)</f>
        <v>0</v>
      </c>
      <c r="H105" s="83">
        <f t="shared" si="24"/>
        <v>0</v>
      </c>
      <c r="I105" s="82">
        <f>SUM(I52:I104)</f>
        <v>0</v>
      </c>
      <c r="J105" s="83">
        <f t="shared" si="25"/>
        <v>0</v>
      </c>
      <c r="K105" s="82">
        <f>SUM(K52:K104)</f>
        <v>0</v>
      </c>
      <c r="L105" s="83">
        <f t="shared" si="26"/>
        <v>0</v>
      </c>
      <c r="M105" s="82">
        <f>SUM(M52:M104)</f>
        <v>0</v>
      </c>
      <c r="N105" s="83">
        <f t="shared" si="27"/>
        <v>0</v>
      </c>
      <c r="O105" s="82">
        <f>SUM(O52:O104)</f>
        <v>0</v>
      </c>
      <c r="P105" s="83">
        <f t="shared" si="28"/>
        <v>0</v>
      </c>
      <c r="Q105" s="82">
        <f>SUM(Q52:Q104)</f>
        <v>0</v>
      </c>
      <c r="R105" s="83">
        <f t="shared" si="29"/>
        <v>0</v>
      </c>
      <c r="S105" s="82">
        <f>SUM(S52:S104)</f>
        <v>0</v>
      </c>
      <c r="T105" s="83">
        <f t="shared" si="30"/>
        <v>0</v>
      </c>
      <c r="U105" s="82">
        <f>SUM(U52:U104)</f>
        <v>0</v>
      </c>
      <c r="V105" s="83">
        <f t="shared" si="31"/>
        <v>0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57500</v>
      </c>
      <c r="D107" s="83">
        <f>IFERROR(C107/C$28,0)</f>
        <v>1</v>
      </c>
      <c r="E107" s="82">
        <f>E28-E33-E46-E105</f>
        <v>63250.000000000007</v>
      </c>
      <c r="F107" s="83">
        <f>IFERROR(E107/E$28,0)</f>
        <v>1</v>
      </c>
      <c r="G107" s="82">
        <f>G28-G33-G46-G105</f>
        <v>64515.000000000007</v>
      </c>
      <c r="H107" s="83">
        <f>IFERROR(G107/G$28,0)</f>
        <v>1</v>
      </c>
      <c r="I107" s="82">
        <f>I28-I33-I46-I105</f>
        <v>65805.3</v>
      </c>
      <c r="J107" s="83">
        <f>IFERROR(I107/I$28,0)</f>
        <v>1</v>
      </c>
      <c r="K107" s="82">
        <f>K28-K33-K46-K105</f>
        <v>67121.406000000003</v>
      </c>
      <c r="L107" s="83">
        <f>IFERROR(K107/K$28,0)</f>
        <v>1</v>
      </c>
      <c r="M107" s="82">
        <f>M28-M33-M46-M105</f>
        <v>68463.83412</v>
      </c>
      <c r="N107" s="83">
        <f>IFERROR(M107/M$28,0)</f>
        <v>1</v>
      </c>
      <c r="O107" s="82">
        <f>O28-O33-O46-O105</f>
        <v>69833.110802399999</v>
      </c>
      <c r="P107" s="83">
        <f>IFERROR(O107/O$28,0)</f>
        <v>1</v>
      </c>
      <c r="Q107" s="82">
        <f>Q28-Q33-Q46-Q105</f>
        <v>71229.773018448002</v>
      </c>
      <c r="R107" s="83">
        <f>IFERROR(Q107/Q$28,0)</f>
        <v>1</v>
      </c>
      <c r="S107" s="82">
        <f>S28-S33-S46-S105</f>
        <v>72654.368478816963</v>
      </c>
      <c r="T107" s="83">
        <f>IFERROR(S107/S$28,0)</f>
        <v>1</v>
      </c>
      <c r="U107" s="82">
        <f>U28-U33-U46-U105</f>
        <v>74107.455848393307</v>
      </c>
      <c r="V107" s="83">
        <f>IFERROR(U107/U$28,0)</f>
        <v>1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33">IFERROR(C111/C$28,0)</f>
        <v>0</v>
      </c>
      <c r="E111" s="79">
        <f>E59</f>
        <v>0</v>
      </c>
      <c r="F111" s="80">
        <f t="shared" ref="F111:F116" si="34">IFERROR(E111/E$28,0)</f>
        <v>0</v>
      </c>
      <c r="G111" s="79">
        <f>G59</f>
        <v>0</v>
      </c>
      <c r="H111" s="80">
        <f t="shared" ref="H111:H116" si="35">IFERROR(G111/G$28,0)</f>
        <v>0</v>
      </c>
      <c r="I111" s="79">
        <f>I59</f>
        <v>0</v>
      </c>
      <c r="J111" s="80">
        <f t="shared" ref="J111:J116" si="36">IFERROR(I111/I$28,0)</f>
        <v>0</v>
      </c>
      <c r="K111" s="79">
        <f>K59</f>
        <v>0</v>
      </c>
      <c r="L111" s="80">
        <f t="shared" ref="L111:L116" si="37">IFERROR(K111/K$28,0)</f>
        <v>0</v>
      </c>
      <c r="M111" s="79">
        <f>M59</f>
        <v>0</v>
      </c>
      <c r="N111" s="80">
        <f t="shared" ref="N111:N116" si="38">IFERROR(M111/M$28,0)</f>
        <v>0</v>
      </c>
      <c r="O111" s="79">
        <f>O59</f>
        <v>0</v>
      </c>
      <c r="P111" s="80">
        <f t="shared" ref="P111:P116" si="39">IFERROR(O111/O$28,0)</f>
        <v>0</v>
      </c>
      <c r="Q111" s="79">
        <f>Q59</f>
        <v>0</v>
      </c>
      <c r="R111" s="80">
        <f t="shared" ref="R111:R116" si="40">IFERROR(Q111/Q$28,0)</f>
        <v>0</v>
      </c>
      <c r="S111" s="79">
        <f>S59</f>
        <v>0</v>
      </c>
      <c r="T111" s="80">
        <f t="shared" ref="T111:T116" si="41">IFERROR(S111/S$28,0)</f>
        <v>0</v>
      </c>
      <c r="U111" s="79">
        <f>U59</f>
        <v>0</v>
      </c>
      <c r="V111" s="80">
        <f t="shared" ref="V111:V116" si="42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33"/>
        <v>0</v>
      </c>
      <c r="E112" s="79">
        <f>E62</f>
        <v>0</v>
      </c>
      <c r="F112" s="80">
        <f t="shared" si="34"/>
        <v>0</v>
      </c>
      <c r="G112" s="79">
        <f>G62</f>
        <v>0</v>
      </c>
      <c r="H112" s="80">
        <f t="shared" si="35"/>
        <v>0</v>
      </c>
      <c r="I112" s="79">
        <f>I62</f>
        <v>0</v>
      </c>
      <c r="J112" s="80">
        <f t="shared" si="36"/>
        <v>0</v>
      </c>
      <c r="K112" s="79">
        <f>K62</f>
        <v>0</v>
      </c>
      <c r="L112" s="80">
        <f t="shared" si="37"/>
        <v>0</v>
      </c>
      <c r="M112" s="79">
        <f>M62</f>
        <v>0</v>
      </c>
      <c r="N112" s="80">
        <f t="shared" si="38"/>
        <v>0</v>
      </c>
      <c r="O112" s="79">
        <f>O62</f>
        <v>0</v>
      </c>
      <c r="P112" s="80">
        <f t="shared" si="39"/>
        <v>0</v>
      </c>
      <c r="Q112" s="79">
        <f>Q62</f>
        <v>0</v>
      </c>
      <c r="R112" s="80">
        <f t="shared" si="40"/>
        <v>0</v>
      </c>
      <c r="S112" s="79">
        <f>S62</f>
        <v>0</v>
      </c>
      <c r="T112" s="80">
        <f t="shared" si="41"/>
        <v>0</v>
      </c>
      <c r="U112" s="79">
        <f>U62</f>
        <v>0</v>
      </c>
      <c r="V112" s="80">
        <f t="shared" si="42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33"/>
        <v>0</v>
      </c>
      <c r="E113" s="111">
        <v>0</v>
      </c>
      <c r="F113" s="80">
        <f t="shared" si="34"/>
        <v>0</v>
      </c>
      <c r="G113" s="111">
        <v>0</v>
      </c>
      <c r="H113" s="80">
        <f t="shared" si="35"/>
        <v>0</v>
      </c>
      <c r="I113" s="111">
        <v>0</v>
      </c>
      <c r="J113" s="80">
        <f t="shared" si="36"/>
        <v>0</v>
      </c>
      <c r="K113" s="111">
        <v>0</v>
      </c>
      <c r="L113" s="80">
        <f t="shared" si="37"/>
        <v>0</v>
      </c>
      <c r="M113" s="111">
        <v>0</v>
      </c>
      <c r="N113" s="80">
        <f t="shared" si="38"/>
        <v>0</v>
      </c>
      <c r="O113" s="111">
        <v>0</v>
      </c>
      <c r="P113" s="80">
        <f t="shared" si="39"/>
        <v>0</v>
      </c>
      <c r="Q113" s="111">
        <v>0</v>
      </c>
      <c r="R113" s="80">
        <f t="shared" si="40"/>
        <v>0</v>
      </c>
      <c r="S113" s="111">
        <v>0</v>
      </c>
      <c r="T113" s="80">
        <f t="shared" si="41"/>
        <v>0</v>
      </c>
      <c r="U113" s="111">
        <v>0</v>
      </c>
      <c r="V113" s="80">
        <f t="shared" si="42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33"/>
        <v>0</v>
      </c>
      <c r="E114" s="111">
        <v>0</v>
      </c>
      <c r="F114" s="80">
        <f t="shared" si="34"/>
        <v>0</v>
      </c>
      <c r="G114" s="111">
        <v>0</v>
      </c>
      <c r="H114" s="80">
        <f t="shared" si="35"/>
        <v>0</v>
      </c>
      <c r="I114" s="111">
        <v>0</v>
      </c>
      <c r="J114" s="80">
        <f t="shared" si="36"/>
        <v>0</v>
      </c>
      <c r="K114" s="111">
        <v>0</v>
      </c>
      <c r="L114" s="80">
        <f t="shared" si="37"/>
        <v>0</v>
      </c>
      <c r="M114" s="111">
        <v>0</v>
      </c>
      <c r="N114" s="80">
        <f t="shared" si="38"/>
        <v>0</v>
      </c>
      <c r="O114" s="111">
        <v>0</v>
      </c>
      <c r="P114" s="80">
        <f t="shared" si="39"/>
        <v>0</v>
      </c>
      <c r="Q114" s="111">
        <v>0</v>
      </c>
      <c r="R114" s="80">
        <f t="shared" si="40"/>
        <v>0</v>
      </c>
      <c r="S114" s="111">
        <v>0</v>
      </c>
      <c r="T114" s="80">
        <f t="shared" si="41"/>
        <v>0</v>
      </c>
      <c r="U114" s="111">
        <v>0</v>
      </c>
      <c r="V114" s="80">
        <f t="shared" si="42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33"/>
        <v>0</v>
      </c>
      <c r="E115" s="112">
        <v>0</v>
      </c>
      <c r="F115" s="80">
        <f t="shared" si="34"/>
        <v>0</v>
      </c>
      <c r="G115" s="112">
        <v>0</v>
      </c>
      <c r="H115" s="80">
        <f t="shared" si="35"/>
        <v>0</v>
      </c>
      <c r="I115" s="112">
        <v>0</v>
      </c>
      <c r="J115" s="80">
        <f t="shared" si="36"/>
        <v>0</v>
      </c>
      <c r="K115" s="112">
        <v>0</v>
      </c>
      <c r="L115" s="80">
        <f t="shared" si="37"/>
        <v>0</v>
      </c>
      <c r="M115" s="112">
        <v>0</v>
      </c>
      <c r="N115" s="80">
        <f t="shared" si="38"/>
        <v>0</v>
      </c>
      <c r="O115" s="112">
        <v>0</v>
      </c>
      <c r="P115" s="80">
        <f t="shared" si="39"/>
        <v>0</v>
      </c>
      <c r="Q115" s="112">
        <v>0</v>
      </c>
      <c r="R115" s="80">
        <f t="shared" si="40"/>
        <v>0</v>
      </c>
      <c r="S115" s="112">
        <v>0</v>
      </c>
      <c r="T115" s="80">
        <f t="shared" si="41"/>
        <v>0</v>
      </c>
      <c r="U115" s="112">
        <v>0</v>
      </c>
      <c r="V115" s="80">
        <f t="shared" si="42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33"/>
        <v>0</v>
      </c>
      <c r="E116" s="85">
        <f>SUM(E111:E115)</f>
        <v>0</v>
      </c>
      <c r="F116" s="83">
        <f t="shared" si="34"/>
        <v>0</v>
      </c>
      <c r="G116" s="85">
        <f>SUM(G111:G115)</f>
        <v>0</v>
      </c>
      <c r="H116" s="83">
        <f t="shared" si="35"/>
        <v>0</v>
      </c>
      <c r="I116" s="85">
        <f>SUM(I111:I115)</f>
        <v>0</v>
      </c>
      <c r="J116" s="83">
        <f t="shared" si="36"/>
        <v>0</v>
      </c>
      <c r="K116" s="85">
        <f>SUM(K111:K115)</f>
        <v>0</v>
      </c>
      <c r="L116" s="83">
        <f t="shared" si="37"/>
        <v>0</v>
      </c>
      <c r="M116" s="85">
        <f>SUM(M111:M115)</f>
        <v>0</v>
      </c>
      <c r="N116" s="83">
        <f t="shared" si="38"/>
        <v>0</v>
      </c>
      <c r="O116" s="85">
        <f>SUM(O111:O115)</f>
        <v>0</v>
      </c>
      <c r="P116" s="83">
        <f t="shared" si="39"/>
        <v>0</v>
      </c>
      <c r="Q116" s="85">
        <f>SUM(Q111:Q115)</f>
        <v>0</v>
      </c>
      <c r="R116" s="83">
        <f t="shared" si="40"/>
        <v>0</v>
      </c>
      <c r="S116" s="85">
        <f>SUM(S111:S115)</f>
        <v>0</v>
      </c>
      <c r="T116" s="83">
        <f t="shared" si="41"/>
        <v>0</v>
      </c>
      <c r="U116" s="85">
        <f>SUM(U111:U115)</f>
        <v>0</v>
      </c>
      <c r="V116" s="83">
        <f t="shared" si="42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7" tint="0.59999389629810485"/>
  </sheetPr>
  <dimension ref="A1:X146"/>
  <sheetViews>
    <sheetView topLeftCell="A40" zoomScale="70" zoomScaleNormal="70" workbookViewId="0" xr3:uid="{BF3E6036-5CFF-541C-9DD1-8B260238869F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45.57031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466</v>
      </c>
      <c r="H2" s="34"/>
      <c r="I2" s="34"/>
      <c r="J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 xml:space="preserve">Athletic training table </v>
      </c>
      <c r="H3" s="116"/>
      <c r="I3" s="116"/>
      <c r="J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J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190</v>
      </c>
      <c r="E8" s="109">
        <f>+C8</f>
        <v>190</v>
      </c>
      <c r="G8" s="109">
        <f>+E8</f>
        <v>190</v>
      </c>
      <c r="I8" s="109">
        <f>+G8</f>
        <v>190</v>
      </c>
      <c r="K8" s="109">
        <f>+I8</f>
        <v>190</v>
      </c>
      <c r="M8" s="109">
        <f>+K8</f>
        <v>190</v>
      </c>
      <c r="O8" s="109">
        <f>+M8</f>
        <v>190</v>
      </c>
      <c r="Q8" s="109">
        <f>+O8</f>
        <v>190</v>
      </c>
      <c r="S8" s="109">
        <f>+Q8</f>
        <v>190</v>
      </c>
      <c r="U8" s="109">
        <f>+S8</f>
        <v>190</v>
      </c>
    </row>
    <row r="10" spans="1:22" ht="12.75" customHeight="1">
      <c r="A10" s="2" t="s">
        <v>449</v>
      </c>
      <c r="C10" s="109"/>
      <c r="E10" s="109"/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450</v>
      </c>
      <c r="C12" s="110"/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451</v>
      </c>
      <c r="C14" s="121">
        <f>C12*C10*C8</f>
        <v>0</v>
      </c>
      <c r="E14" s="121">
        <v>475000</v>
      </c>
      <c r="G14" s="121">
        <f>+E14*1.02</f>
        <v>484500</v>
      </c>
      <c r="I14" s="121">
        <f>+G14*1.02</f>
        <v>494190</v>
      </c>
      <c r="K14" s="121">
        <f>+I14*1.02</f>
        <v>504073.8</v>
      </c>
      <c r="M14" s="121">
        <f>+K14*1.02</f>
        <v>514155.27600000001</v>
      </c>
      <c r="O14" s="121">
        <f>+M14*1.02</f>
        <v>524438.38152000005</v>
      </c>
      <c r="Q14" s="121">
        <f>+O14*1.02</f>
        <v>534927.14915040007</v>
      </c>
      <c r="S14" s="121">
        <f>+Q14*1.02</f>
        <v>545625.69213340804</v>
      </c>
      <c r="U14" s="121">
        <f>+S14*1.02</f>
        <v>556538.20597607619</v>
      </c>
    </row>
    <row r="15" spans="1:22" ht="12.75" customHeight="1">
      <c r="A15" s="39">
        <v>7.0000000000000007E-2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</f>
        <v>0</v>
      </c>
      <c r="D19" s="80">
        <f>IFERROR(C19/C$28,0)</f>
        <v>0</v>
      </c>
      <c r="E19" s="208">
        <f>+E14-E20</f>
        <v>475000</v>
      </c>
      <c r="F19" s="80">
        <f>IFERROR(E19/E$28,0)</f>
        <v>1</v>
      </c>
      <c r="G19" s="208">
        <f>+G14-G20</f>
        <v>484500</v>
      </c>
      <c r="H19" s="80">
        <f>IFERROR(G19/G$28,0)</f>
        <v>1</v>
      </c>
      <c r="I19" s="208">
        <f>+I14-I20</f>
        <v>494190</v>
      </c>
      <c r="J19" s="80">
        <f>IFERROR(I19/I$28,0)</f>
        <v>1</v>
      </c>
      <c r="K19" s="208">
        <f>+K14-K20</f>
        <v>504073.8</v>
      </c>
      <c r="L19" s="80">
        <f>IFERROR(K19/K$28,0)</f>
        <v>1</v>
      </c>
      <c r="M19" s="208">
        <f>+M14-M20</f>
        <v>514155.27600000001</v>
      </c>
      <c r="N19" s="80">
        <f>IFERROR(M19/M$28,0)</f>
        <v>1</v>
      </c>
      <c r="O19" s="208">
        <f>+O14-O20</f>
        <v>524438.38152000005</v>
      </c>
      <c r="P19" s="80">
        <f>IFERROR(O19/O$28,0)</f>
        <v>1</v>
      </c>
      <c r="Q19" s="208">
        <f>+Q14-Q20</f>
        <v>534927.14915040007</v>
      </c>
      <c r="R19" s="80">
        <f>IFERROR(Q19/Q$28,0)</f>
        <v>1</v>
      </c>
      <c r="S19" s="208">
        <f>+S14-S20</f>
        <v>545625.69213340804</v>
      </c>
      <c r="T19" s="80">
        <f>IFERROR(S19/S$28,0)</f>
        <v>1</v>
      </c>
      <c r="U19" s="208">
        <f>+U14-U20</f>
        <v>556538.20597607619</v>
      </c>
      <c r="V19" s="80">
        <f>IFERROR(U19/U$28,0)</f>
        <v>1</v>
      </c>
    </row>
    <row r="20" spans="1:24" ht="12.75" customHeight="1">
      <c r="A20" s="2" t="s">
        <v>357</v>
      </c>
      <c r="B20" s="35"/>
      <c r="C20" s="111">
        <f>+C14*12.38%</f>
        <v>0</v>
      </c>
      <c r="D20" s="80">
        <f>IFERROR(C20/C$28,0)</f>
        <v>0</v>
      </c>
      <c r="E20" s="111">
        <v>0</v>
      </c>
      <c r="F20" s="80">
        <f>IFERROR(E20/E$28,0)</f>
        <v>0</v>
      </c>
      <c r="G20" s="111">
        <f t="shared" ref="G20:U21" si="0">E20*1.02</f>
        <v>0</v>
      </c>
      <c r="H20" s="80">
        <f>IFERROR(G20/G$28,0)</f>
        <v>0</v>
      </c>
      <c r="I20" s="111">
        <f t="shared" si="0"/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2" t="s">
        <v>358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364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365</v>
      </c>
      <c r="B28" s="53"/>
      <c r="C28" s="82">
        <f>SUM(C19:C27)</f>
        <v>0</v>
      </c>
      <c r="D28" s="83">
        <f t="shared" si="1"/>
        <v>0</v>
      </c>
      <c r="E28" s="82">
        <f>SUM(E19:E27)</f>
        <v>475000</v>
      </c>
      <c r="F28" s="83">
        <f t="shared" si="2"/>
        <v>1</v>
      </c>
      <c r="G28" s="82">
        <f>SUM(G19:G27)</f>
        <v>484500</v>
      </c>
      <c r="H28" s="83">
        <f t="shared" si="3"/>
        <v>1</v>
      </c>
      <c r="I28" s="82">
        <f>SUM(I19:I27)</f>
        <v>494190</v>
      </c>
      <c r="J28" s="83">
        <f t="shared" si="4"/>
        <v>1</v>
      </c>
      <c r="K28" s="82">
        <f>SUM(K19:K27)</f>
        <v>504073.8</v>
      </c>
      <c r="L28" s="83">
        <f t="shared" si="5"/>
        <v>1</v>
      </c>
      <c r="M28" s="82">
        <f>SUM(M19:M27)</f>
        <v>514155.27600000001</v>
      </c>
      <c r="N28" s="83">
        <f t="shared" si="6"/>
        <v>1</v>
      </c>
      <c r="O28" s="82">
        <f>SUM(O19:O27)</f>
        <v>524438.38152000005</v>
      </c>
      <c r="P28" s="83">
        <f t="shared" si="7"/>
        <v>1</v>
      </c>
      <c r="Q28" s="82">
        <f>SUM(Q19:Q27)</f>
        <v>534927.14915040007</v>
      </c>
      <c r="R28" s="83">
        <f t="shared" si="8"/>
        <v>1</v>
      </c>
      <c r="S28" s="82">
        <f>SUM(S19:S27)</f>
        <v>545625.69213340804</v>
      </c>
      <c r="T28" s="83">
        <f t="shared" si="9"/>
        <v>1</v>
      </c>
      <c r="U28" s="82">
        <f>SUM(U19:U27)</f>
        <v>556538.20597607619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0.34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0</v>
      </c>
      <c r="D31" s="80">
        <f>IFERROR(C31/C$28,0)</f>
        <v>0</v>
      </c>
      <c r="E31" s="179">
        <f>$C$30*E14</f>
        <v>161500</v>
      </c>
      <c r="F31" s="80">
        <f>IFERROR(E31/E$28,0)</f>
        <v>0.34</v>
      </c>
      <c r="G31" s="179">
        <f>$C$30*G14</f>
        <v>164730</v>
      </c>
      <c r="H31" s="80">
        <f>IFERROR(G31/G$28,0)</f>
        <v>0.34</v>
      </c>
      <c r="I31" s="179">
        <f>$C$30*I14</f>
        <v>168024.6</v>
      </c>
      <c r="J31" s="80">
        <f>IFERROR(I31/I$28,0)</f>
        <v>0.34</v>
      </c>
      <c r="K31" s="179">
        <f>$C$30*K14</f>
        <v>171385.092</v>
      </c>
      <c r="L31" s="80">
        <f>IFERROR(K31/K$28,0)</f>
        <v>0.34</v>
      </c>
      <c r="M31" s="179">
        <f>$C$30*M14</f>
        <v>174812.79384000003</v>
      </c>
      <c r="N31" s="80">
        <f>IFERROR(M31/M$28,0)</f>
        <v>0.34</v>
      </c>
      <c r="O31" s="179">
        <f>$C$30*O14</f>
        <v>178309.04971680004</v>
      </c>
      <c r="P31" s="80">
        <f>IFERROR(O31/O$28,0)</f>
        <v>0.34</v>
      </c>
      <c r="Q31" s="179">
        <f>$C$30*Q14</f>
        <v>181875.23071113604</v>
      </c>
      <c r="R31" s="80">
        <f>IFERROR(Q31/Q$28,0)</f>
        <v>0.34</v>
      </c>
      <c r="S31" s="179">
        <f>$C$30*S14</f>
        <v>185512.73532535875</v>
      </c>
      <c r="T31" s="80">
        <f>IFERROR(S31/S$28,0)</f>
        <v>0.34</v>
      </c>
      <c r="U31" s="179">
        <f>$C$30*U14</f>
        <v>189222.99003186592</v>
      </c>
      <c r="V31" s="80">
        <f>IFERROR(U31/U$28,0)</f>
        <v>0.34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0</v>
      </c>
      <c r="D33" s="83">
        <f>IFERROR(C33/C$28,0)</f>
        <v>0</v>
      </c>
      <c r="E33" s="82">
        <f>SUM(E31:E32)</f>
        <v>161500</v>
      </c>
      <c r="F33" s="83">
        <f>IFERROR(E33/E$28,0)</f>
        <v>0.34</v>
      </c>
      <c r="G33" s="82">
        <f>SUM(G31:G32)</f>
        <v>164730</v>
      </c>
      <c r="H33" s="83">
        <f>IFERROR(G33/G$28,0)</f>
        <v>0.34</v>
      </c>
      <c r="I33" s="82">
        <f>SUM(I31:I32)</f>
        <v>168024.6</v>
      </c>
      <c r="J33" s="83">
        <f>IFERROR(I33/I$28,0)</f>
        <v>0.34</v>
      </c>
      <c r="K33" s="82">
        <f>SUM(K31:K32)</f>
        <v>171385.092</v>
      </c>
      <c r="L33" s="83">
        <f>IFERROR(K33/K$28,0)</f>
        <v>0.34</v>
      </c>
      <c r="M33" s="82">
        <f>SUM(M31:M32)</f>
        <v>174812.79384000003</v>
      </c>
      <c r="N33" s="83">
        <f>IFERROR(M33/M$28,0)</f>
        <v>0.34</v>
      </c>
      <c r="O33" s="82">
        <f>SUM(O31:O32)</f>
        <v>178309.04971680004</v>
      </c>
      <c r="P33" s="83">
        <f>IFERROR(O33/O$28,0)</f>
        <v>0.34</v>
      </c>
      <c r="Q33" s="82">
        <f>SUM(Q31:Q32)</f>
        <v>181875.23071113604</v>
      </c>
      <c r="R33" s="83">
        <f>IFERROR(Q33/Q$28,0)</f>
        <v>0.34</v>
      </c>
      <c r="S33" s="82">
        <f>SUM(S31:S32)</f>
        <v>185512.73532535875</v>
      </c>
      <c r="T33" s="83">
        <f>IFERROR(S33/S$28,0)</f>
        <v>0.34</v>
      </c>
      <c r="U33" s="82">
        <f>SUM(U31:U32)</f>
        <v>189222.99003186592</v>
      </c>
      <c r="V33" s="83">
        <f>IFERROR(U33/U$28,0)</f>
        <v>0.34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13"/>
      <c r="D36" s="80">
        <f t="shared" ref="D36:D46" si="11">IFERROR(C36/C$28,0)</f>
        <v>0</v>
      </c>
      <c r="E36" s="179">
        <v>55000</v>
      </c>
      <c r="F36" s="80">
        <f t="shared" ref="F36:F46" si="12">IFERROR(E36/E$28,0)</f>
        <v>0.11578947368421053</v>
      </c>
      <c r="G36" s="179">
        <f>+E36*1.025</f>
        <v>56374.999999999993</v>
      </c>
      <c r="H36" s="80">
        <f t="shared" ref="H36:H46" si="13">IFERROR(G36/G$28,0)</f>
        <v>0.11635706914344683</v>
      </c>
      <c r="I36" s="179">
        <f>+G36*1.025</f>
        <v>57784.374999999985</v>
      </c>
      <c r="J36" s="80">
        <f t="shared" ref="J36:J46" si="14">IFERROR(I36/I$28,0)</f>
        <v>0.11692744693336568</v>
      </c>
      <c r="K36" s="179">
        <f>+I36*1.025</f>
        <v>59228.984374999978</v>
      </c>
      <c r="L36" s="80">
        <f t="shared" ref="L36:L46" si="15">IFERROR(K36/K$28,0)</f>
        <v>0.11750062069284295</v>
      </c>
      <c r="M36" s="179">
        <f>+K36*1.025</f>
        <v>60709.708984374971</v>
      </c>
      <c r="N36" s="80">
        <f t="shared" ref="N36:N46" si="16">IFERROR(M36/M$28,0)</f>
        <v>0.11807660412761177</v>
      </c>
      <c r="O36" s="179">
        <f>+M36*1.025</f>
        <v>62227.451708984343</v>
      </c>
      <c r="P36" s="80">
        <f t="shared" ref="P36:P46" si="17">IFERROR(O36/O$28,0)</f>
        <v>0.11865541101059025</v>
      </c>
      <c r="Q36" s="179">
        <f>+O36*1.025</f>
        <v>63783.138001708947</v>
      </c>
      <c r="R36" s="80">
        <f t="shared" ref="R36:R46" si="18">IFERROR(Q36/Q$28,0)</f>
        <v>0.11923705518221077</v>
      </c>
      <c r="S36" s="179">
        <f>+Q36*1.025</f>
        <v>65377.716451751665</v>
      </c>
      <c r="T36" s="80">
        <f t="shared" ref="T36:T46" si="19">IFERROR(S36/S$28,0)</f>
        <v>0.11982155055075103</v>
      </c>
      <c r="U36" s="179">
        <f>+S36*1.025</f>
        <v>67012.159363045444</v>
      </c>
      <c r="V36" s="80">
        <f t="shared" ref="V36:V46" si="20">IFERROR(U36/U$28,0)</f>
        <v>0.12040891109266645</v>
      </c>
    </row>
    <row r="37" spans="1:22" ht="12.75" customHeight="1">
      <c r="A37" s="2" t="s">
        <v>372</v>
      </c>
      <c r="B37" s="35"/>
      <c r="C37" s="113"/>
      <c r="D37" s="80">
        <f t="shared" si="11"/>
        <v>0</v>
      </c>
      <c r="E37" s="179">
        <v>100000</v>
      </c>
      <c r="F37" s="80">
        <f t="shared" si="12"/>
        <v>0.21052631578947367</v>
      </c>
      <c r="G37" s="179">
        <f>+E37*1.035-50000</f>
        <v>53499.999999999985</v>
      </c>
      <c r="H37" s="80">
        <f t="shared" si="13"/>
        <v>0.11042311661506705</v>
      </c>
      <c r="I37" s="179">
        <f>+G37*1.032</f>
        <v>55211.999999999985</v>
      </c>
      <c r="J37" s="80">
        <f t="shared" si="14"/>
        <v>0.11172221210465608</v>
      </c>
      <c r="K37" s="179">
        <f>+I37*1.025</f>
        <v>56592.299999999981</v>
      </c>
      <c r="L37" s="80">
        <f t="shared" si="15"/>
        <v>0.11226987000712987</v>
      </c>
      <c r="M37" s="179">
        <f>+K37*1.025</f>
        <v>58007.107499999976</v>
      </c>
      <c r="N37" s="80">
        <f t="shared" si="16"/>
        <v>0.11282021250716481</v>
      </c>
      <c r="O37" s="179">
        <f>+M37*1.025</f>
        <v>59457.285187499969</v>
      </c>
      <c r="P37" s="80">
        <f t="shared" si="17"/>
        <v>0.11337325276455285</v>
      </c>
      <c r="Q37" s="179">
        <f>+O37*1.025</f>
        <v>60943.71731718746</v>
      </c>
      <c r="R37" s="80">
        <f t="shared" si="18"/>
        <v>0.11392900400359476</v>
      </c>
      <c r="S37" s="179">
        <f>+Q37*1.025</f>
        <v>62467.310250117138</v>
      </c>
      <c r="T37" s="80">
        <f t="shared" si="19"/>
        <v>0.1144874795134163</v>
      </c>
      <c r="U37" s="179">
        <f>+S37*1.025</f>
        <v>64028.993006370059</v>
      </c>
      <c r="V37" s="80">
        <f t="shared" si="20"/>
        <v>0.11504869264828597</v>
      </c>
    </row>
    <row r="38" spans="1:22" ht="12.75" customHeight="1">
      <c r="A38" s="2" t="s">
        <v>373</v>
      </c>
      <c r="B38" s="35"/>
      <c r="C38" s="113"/>
      <c r="D38" s="80">
        <f t="shared" si="11"/>
        <v>0</v>
      </c>
      <c r="E38" s="179">
        <v>47000</v>
      </c>
      <c r="F38" s="80">
        <f t="shared" si="12"/>
        <v>9.8947368421052631E-2</v>
      </c>
      <c r="G38" s="179">
        <f>+E38*1.035-20000</f>
        <v>28644.999999999993</v>
      </c>
      <c r="H38" s="80">
        <f t="shared" si="13"/>
        <v>5.9122807017543848E-2</v>
      </c>
      <c r="I38" s="179">
        <f>+G38*1.032</f>
        <v>29561.639999999992</v>
      </c>
      <c r="J38" s="80">
        <f t="shared" si="14"/>
        <v>5.9818369453044362E-2</v>
      </c>
      <c r="K38" s="179">
        <f>+I38*1.025</f>
        <v>30300.68099999999</v>
      </c>
      <c r="L38" s="80">
        <f t="shared" si="15"/>
        <v>6.011159675428477E-2</v>
      </c>
      <c r="M38" s="179">
        <f>+K38*1.025</f>
        <v>31058.198024999987</v>
      </c>
      <c r="N38" s="80">
        <f t="shared" si="16"/>
        <v>6.0406261444256745E-2</v>
      </c>
      <c r="O38" s="179">
        <f>+M38*1.025</f>
        <v>31834.652975624984</v>
      </c>
      <c r="P38" s="80">
        <f t="shared" si="17"/>
        <v>6.0702370568983484E-2</v>
      </c>
      <c r="Q38" s="179">
        <f>+O38*1.025</f>
        <v>32630.519300015607</v>
      </c>
      <c r="R38" s="80">
        <f t="shared" si="18"/>
        <v>6.0999931209027518E-2</v>
      </c>
      <c r="S38" s="179">
        <f>+Q38*1.025</f>
        <v>33446.282282515996</v>
      </c>
      <c r="T38" s="80">
        <f t="shared" si="19"/>
        <v>6.1298950479660011E-2</v>
      </c>
      <c r="U38" s="179">
        <f>+S38*1.025</f>
        <v>34282.439339578894</v>
      </c>
      <c r="V38" s="80">
        <f t="shared" si="20"/>
        <v>6.1599435531030887E-2</v>
      </c>
    </row>
    <row r="39" spans="1:22" ht="12.75" customHeight="1">
      <c r="A39" s="2" t="s">
        <v>374</v>
      </c>
      <c r="B39" s="35"/>
      <c r="C39" s="113"/>
      <c r="D39" s="80">
        <f t="shared" si="11"/>
        <v>0</v>
      </c>
      <c r="E39" s="179">
        <v>20000</v>
      </c>
      <c r="F39" s="80">
        <f t="shared" si="12"/>
        <v>4.2105263157894736E-2</v>
      </c>
      <c r="G39" s="179">
        <f>+E39*1.035</f>
        <v>20700</v>
      </c>
      <c r="H39" s="80">
        <f t="shared" si="13"/>
        <v>4.2724458204334369E-2</v>
      </c>
      <c r="I39" s="179">
        <f>+G39*1.032</f>
        <v>21362.400000000001</v>
      </c>
      <c r="J39" s="80">
        <f t="shared" si="14"/>
        <v>4.3227098889091244E-2</v>
      </c>
      <c r="K39" s="179">
        <f>+I39*1.025</f>
        <v>21896.46</v>
      </c>
      <c r="L39" s="80">
        <f t="shared" si="15"/>
        <v>4.3438996432665217E-2</v>
      </c>
      <c r="M39" s="179">
        <f>+K39*1.025</f>
        <v>22443.871499999997</v>
      </c>
      <c r="N39" s="80">
        <f t="shared" si="16"/>
        <v>4.3651932689688082E-2</v>
      </c>
      <c r="O39" s="179">
        <f>+M39*1.025</f>
        <v>23004.968287499996</v>
      </c>
      <c r="P39" s="80">
        <f t="shared" si="17"/>
        <v>4.386591275189243E-2</v>
      </c>
      <c r="Q39" s="179">
        <f>+O39*1.025</f>
        <v>23580.092494687495</v>
      </c>
      <c r="R39" s="80">
        <f t="shared" si="18"/>
        <v>4.4080941735970325E-2</v>
      </c>
      <c r="S39" s="179">
        <f>+Q39*1.025</f>
        <v>24169.59480705468</v>
      </c>
      <c r="T39" s="80">
        <f t="shared" si="19"/>
        <v>4.4297024783695668E-2</v>
      </c>
      <c r="U39" s="179">
        <f>+S39*1.025</f>
        <v>24773.834677231043</v>
      </c>
      <c r="V39" s="80">
        <f t="shared" si="20"/>
        <v>4.4514167062047118E-2</v>
      </c>
    </row>
    <row r="40" spans="1:22" ht="12.75" customHeight="1">
      <c r="A40" s="2" t="s">
        <v>375</v>
      </c>
      <c r="B40" s="35"/>
      <c r="C40" s="113">
        <f>C36*0.124</f>
        <v>0</v>
      </c>
      <c r="D40" s="80">
        <f t="shared" si="11"/>
        <v>0</v>
      </c>
      <c r="E40" s="179">
        <v>6820</v>
      </c>
      <c r="F40" s="80">
        <f t="shared" si="12"/>
        <v>1.4357894736842106E-2</v>
      </c>
      <c r="G40" s="179">
        <f>G36*0.124</f>
        <v>6990.4999999999991</v>
      </c>
      <c r="H40" s="80">
        <f t="shared" si="13"/>
        <v>1.4428276573787409E-2</v>
      </c>
      <c r="I40" s="179">
        <f>I36*0.124</f>
        <v>7165.262499999998</v>
      </c>
      <c r="J40" s="80">
        <f t="shared" si="14"/>
        <v>1.4499003419737344E-2</v>
      </c>
      <c r="K40" s="179">
        <f>K36*0.124</f>
        <v>7344.3940624999968</v>
      </c>
      <c r="L40" s="80">
        <f t="shared" si="15"/>
        <v>1.4570076965912525E-2</v>
      </c>
      <c r="M40" s="179">
        <f>M36*0.124</f>
        <v>7528.0039140624967</v>
      </c>
      <c r="N40" s="80">
        <f t="shared" si="16"/>
        <v>1.4641498911823861E-2</v>
      </c>
      <c r="O40" s="179">
        <f>O36*0.124</f>
        <v>7716.2040119140584</v>
      </c>
      <c r="P40" s="80">
        <f t="shared" si="17"/>
        <v>1.4713270965313191E-2</v>
      </c>
      <c r="Q40" s="179">
        <f>Q36*0.124</f>
        <v>7909.1091122119096</v>
      </c>
      <c r="R40" s="80">
        <f t="shared" si="18"/>
        <v>1.4785394842594137E-2</v>
      </c>
      <c r="S40" s="179">
        <f>S36*0.124</f>
        <v>8106.8368400172067</v>
      </c>
      <c r="T40" s="80">
        <f t="shared" si="19"/>
        <v>1.4857872268293127E-2</v>
      </c>
      <c r="U40" s="179">
        <f>U36*0.124</f>
        <v>8309.5077610176359</v>
      </c>
      <c r="V40" s="80">
        <f t="shared" si="20"/>
        <v>1.4930704975490641E-2</v>
      </c>
    </row>
    <row r="41" spans="1:22" ht="12.75" customHeight="1">
      <c r="A41" s="2" t="s">
        <v>376</v>
      </c>
      <c r="B41" s="35"/>
      <c r="C41" s="113">
        <f>C37*0.124</f>
        <v>0</v>
      </c>
      <c r="D41" s="80">
        <f t="shared" si="11"/>
        <v>0</v>
      </c>
      <c r="E41" s="179">
        <v>12400</v>
      </c>
      <c r="F41" s="80">
        <f t="shared" si="12"/>
        <v>2.6105263157894736E-2</v>
      </c>
      <c r="G41" s="179">
        <f>G37*0.124</f>
        <v>6633.9999999999982</v>
      </c>
      <c r="H41" s="80">
        <f t="shared" si="13"/>
        <v>1.3692466460268313E-2</v>
      </c>
      <c r="I41" s="179">
        <f>I37*0.124</f>
        <v>6846.2879999999977</v>
      </c>
      <c r="J41" s="80">
        <f t="shared" si="14"/>
        <v>1.3853554300977353E-2</v>
      </c>
      <c r="K41" s="179">
        <f>K37*0.124</f>
        <v>7017.4451999999974</v>
      </c>
      <c r="L41" s="80">
        <f t="shared" si="15"/>
        <v>1.3921463880884104E-2</v>
      </c>
      <c r="M41" s="179">
        <f>M37*0.124</f>
        <v>7192.8813299999974</v>
      </c>
      <c r="N41" s="80">
        <f t="shared" si="16"/>
        <v>1.3989706350888437E-2</v>
      </c>
      <c r="O41" s="179">
        <f>O37*0.124</f>
        <v>7372.7033632499961</v>
      </c>
      <c r="P41" s="80">
        <f t="shared" si="17"/>
        <v>1.4058283342804553E-2</v>
      </c>
      <c r="Q41" s="179">
        <f>Q37*0.124</f>
        <v>7557.0209473312452</v>
      </c>
      <c r="R41" s="80">
        <f t="shared" si="18"/>
        <v>1.4127196496445751E-2</v>
      </c>
      <c r="S41" s="179">
        <f>S37*0.124</f>
        <v>7745.9464710145248</v>
      </c>
      <c r="T41" s="80">
        <f t="shared" si="19"/>
        <v>1.4196447459663621E-2</v>
      </c>
      <c r="U41" s="179">
        <f>U37*0.124</f>
        <v>7939.5951327898874</v>
      </c>
      <c r="V41" s="80">
        <f t="shared" si="20"/>
        <v>1.426603788838746E-2</v>
      </c>
    </row>
    <row r="42" spans="1:22" ht="12.75" customHeight="1">
      <c r="A42" s="2" t="s">
        <v>377</v>
      </c>
      <c r="B42" s="35"/>
      <c r="C42" s="113"/>
      <c r="D42" s="80">
        <f t="shared" si="11"/>
        <v>0</v>
      </c>
      <c r="E42" s="179"/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13"/>
      <c r="D43" s="80">
        <f t="shared" si="11"/>
        <v>0</v>
      </c>
      <c r="E43" s="179"/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13"/>
      <c r="D44" s="80">
        <f t="shared" si="11"/>
        <v>0</v>
      </c>
      <c r="E44" s="179"/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14">
        <f>SUM(C36:C39)*0.094</f>
        <v>0</v>
      </c>
      <c r="D45" s="80">
        <f t="shared" si="11"/>
        <v>0</v>
      </c>
      <c r="E45" s="182">
        <v>20868</v>
      </c>
      <c r="F45" s="80">
        <f t="shared" si="12"/>
        <v>4.3932631578947369E-2</v>
      </c>
      <c r="G45" s="182">
        <f>SUM(G36:G39)*0.094</f>
        <v>14966.679999999997</v>
      </c>
      <c r="H45" s="80">
        <f t="shared" si="13"/>
        <v>3.0890980392156858E-2</v>
      </c>
      <c r="I45" s="182">
        <f>SUM(I36:I39)*0.094</f>
        <v>15408.519009999995</v>
      </c>
      <c r="J45" s="80">
        <f t="shared" si="14"/>
        <v>3.1179341973734787E-2</v>
      </c>
      <c r="K45" s="182">
        <f>SUM(K36:K39)*0.094</f>
        <v>15793.731985249993</v>
      </c>
      <c r="L45" s="80">
        <f t="shared" si="15"/>
        <v>3.1332181885370743E-2</v>
      </c>
      <c r="M45" s="182">
        <f>SUM(M36:M39)*0.094</f>
        <v>16188.575284881246</v>
      </c>
      <c r="N45" s="80">
        <f t="shared" si="16"/>
        <v>3.1485771012259821E-2</v>
      </c>
      <c r="O45" s="182">
        <f>SUM(O36:O39)*0.094</f>
        <v>16593.289667003271</v>
      </c>
      <c r="P45" s="80">
        <f t="shared" si="17"/>
        <v>3.1640113027025782E-2</v>
      </c>
      <c r="Q45" s="182">
        <f>SUM(Q36:Q39)*0.094</f>
        <v>17008.121908678357</v>
      </c>
      <c r="R45" s="80">
        <f t="shared" si="18"/>
        <v>3.179521162029552E-2</v>
      </c>
      <c r="S45" s="182">
        <f>SUM(S36:S39)*0.094</f>
        <v>17433.32495639531</v>
      </c>
      <c r="T45" s="80">
        <f t="shared" si="19"/>
        <v>3.195107050078716E-2</v>
      </c>
      <c r="U45" s="182">
        <f>SUM(U36:U39)*0.094</f>
        <v>17869.158080305191</v>
      </c>
      <c r="V45" s="80">
        <f t="shared" si="20"/>
        <v>3.2107693395398859E-2</v>
      </c>
    </row>
    <row r="46" spans="1:22" ht="12.75" customHeight="1">
      <c r="A46" s="1" t="s">
        <v>381</v>
      </c>
      <c r="B46" s="53"/>
      <c r="C46" s="82">
        <f>SUM(C36:C45)</f>
        <v>0</v>
      </c>
      <c r="D46" s="83">
        <f t="shared" si="11"/>
        <v>0</v>
      </c>
      <c r="E46" s="82">
        <f>SUM(E36:E45)</f>
        <v>262088</v>
      </c>
      <c r="F46" s="83">
        <f t="shared" si="12"/>
        <v>0.55176421052631575</v>
      </c>
      <c r="G46" s="82">
        <f>SUM(G36:G45)</f>
        <v>187811.17999999996</v>
      </c>
      <c r="H46" s="83">
        <f t="shared" si="13"/>
        <v>0.38763917440660467</v>
      </c>
      <c r="I46" s="82">
        <f>SUM(I36:I45)</f>
        <v>193340.48450999995</v>
      </c>
      <c r="J46" s="83">
        <f t="shared" si="14"/>
        <v>0.39122702707460683</v>
      </c>
      <c r="K46" s="82">
        <f>SUM(K36:K45)</f>
        <v>198173.99662274992</v>
      </c>
      <c r="L46" s="83">
        <f t="shared" si="15"/>
        <v>0.39314480661909018</v>
      </c>
      <c r="M46" s="82">
        <f>SUM(M36:M45)</f>
        <v>203128.3465383187</v>
      </c>
      <c r="N46" s="83">
        <f t="shared" si="16"/>
        <v>0.39507198704369356</v>
      </c>
      <c r="O46" s="82">
        <f>SUM(O36:O45)</f>
        <v>208206.55520177662</v>
      </c>
      <c r="P46" s="83">
        <f t="shared" si="17"/>
        <v>0.39700861443116253</v>
      </c>
      <c r="Q46" s="82">
        <f>SUM(Q36:Q45)</f>
        <v>213411.71908182104</v>
      </c>
      <c r="R46" s="83">
        <f t="shared" si="18"/>
        <v>0.39895473509013879</v>
      </c>
      <c r="S46" s="82">
        <f>SUM(S36:S45)</f>
        <v>218747.01205886653</v>
      </c>
      <c r="T46" s="83">
        <f t="shared" si="19"/>
        <v>0.4009103955562669</v>
      </c>
      <c r="U46" s="82">
        <f>SUM(U36:U45)</f>
        <v>224215.68736033817</v>
      </c>
      <c r="V46" s="83">
        <f t="shared" si="20"/>
        <v>0.40287564259330738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1">IFERROR(C52/C$28,0)</f>
        <v>0</v>
      </c>
      <c r="E52" s="179">
        <v>0</v>
      </c>
      <c r="F52" s="80">
        <f t="shared" ref="F52:F104" si="22">IFERROR(E52/E$28,0)</f>
        <v>0</v>
      </c>
      <c r="G52" s="179">
        <v>0</v>
      </c>
      <c r="H52" s="80">
        <f t="shared" ref="H52:H104" si="23">IFERROR(G52/G$28,0)</f>
        <v>0</v>
      </c>
      <c r="I52" s="179">
        <v>0</v>
      </c>
      <c r="J52" s="80">
        <f t="shared" ref="J52:J104" si="24">IFERROR(I52/I$28,0)</f>
        <v>0</v>
      </c>
      <c r="K52" s="179">
        <v>0</v>
      </c>
      <c r="L52" s="80">
        <f t="shared" ref="L52:L104" si="25">IFERROR(K52/K$28,0)</f>
        <v>0</v>
      </c>
      <c r="M52" s="179">
        <v>0</v>
      </c>
      <c r="N52" s="80">
        <f t="shared" ref="N52:N104" si="26">IFERROR(M52/M$28,0)</f>
        <v>0</v>
      </c>
      <c r="O52" s="179">
        <v>0</v>
      </c>
      <c r="P52" s="80">
        <f t="shared" ref="P52:P104" si="27">IFERROR(O52/O$28,0)</f>
        <v>0</v>
      </c>
      <c r="Q52" s="179">
        <v>0</v>
      </c>
      <c r="R52" s="80">
        <f t="shared" ref="R52:R104" si="28">IFERROR(Q52/Q$28,0)</f>
        <v>0</v>
      </c>
      <c r="S52" s="179">
        <v>0</v>
      </c>
      <c r="T52" s="80">
        <f t="shared" ref="T52:T104" si="29">IFERROR(S52/S$28,0)</f>
        <v>0</v>
      </c>
      <c r="U52" s="179">
        <v>0</v>
      </c>
      <c r="V52" s="80">
        <f t="shared" ref="V52:V105" si="30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1"/>
        <v>0</v>
      </c>
      <c r="E53" s="179">
        <v>0</v>
      </c>
      <c r="F53" s="80">
        <f t="shared" si="22"/>
        <v>0</v>
      </c>
      <c r="G53" s="179">
        <v>0</v>
      </c>
      <c r="H53" s="80">
        <f t="shared" si="23"/>
        <v>0</v>
      </c>
      <c r="I53" s="179">
        <v>0</v>
      </c>
      <c r="J53" s="80">
        <f t="shared" si="24"/>
        <v>0</v>
      </c>
      <c r="K53" s="179">
        <v>0</v>
      </c>
      <c r="L53" s="80">
        <f t="shared" si="25"/>
        <v>0</v>
      </c>
      <c r="M53" s="179">
        <v>0</v>
      </c>
      <c r="N53" s="80">
        <f t="shared" si="26"/>
        <v>0</v>
      </c>
      <c r="O53" s="179">
        <v>0</v>
      </c>
      <c r="P53" s="80">
        <f t="shared" si="27"/>
        <v>0</v>
      </c>
      <c r="Q53" s="179">
        <v>0</v>
      </c>
      <c r="R53" s="80">
        <f t="shared" si="28"/>
        <v>0</v>
      </c>
      <c r="S53" s="179">
        <v>0</v>
      </c>
      <c r="T53" s="80">
        <f t="shared" si="29"/>
        <v>0</v>
      </c>
      <c r="U53" s="179">
        <v>0</v>
      </c>
      <c r="V53" s="80">
        <f t="shared" si="30"/>
        <v>0</v>
      </c>
      <c r="X53" s="200"/>
    </row>
    <row r="54" spans="1:24" ht="12.75" customHeight="1">
      <c r="A54" s="2" t="s">
        <v>385</v>
      </c>
      <c r="B54" s="35"/>
      <c r="C54" s="179">
        <v>0</v>
      </c>
      <c r="D54" s="80">
        <f t="shared" si="21"/>
        <v>0</v>
      </c>
      <c r="E54" s="179">
        <v>332.5</v>
      </c>
      <c r="F54" s="80">
        <f t="shared" si="22"/>
        <v>6.9999999999999999E-4</v>
      </c>
      <c r="G54" s="179">
        <v>339.15000000000003</v>
      </c>
      <c r="H54" s="80">
        <f t="shared" si="23"/>
        <v>7.000000000000001E-4</v>
      </c>
      <c r="I54" s="179">
        <v>345.93299999999999</v>
      </c>
      <c r="J54" s="80">
        <f t="shared" si="24"/>
        <v>6.9999999999999999E-4</v>
      </c>
      <c r="K54" s="179">
        <v>352.85165999999998</v>
      </c>
      <c r="L54" s="80">
        <f t="shared" si="25"/>
        <v>6.9999999999999999E-4</v>
      </c>
      <c r="M54" s="179">
        <v>359.90869320000002</v>
      </c>
      <c r="N54" s="80">
        <f t="shared" si="26"/>
        <v>6.9999999999999999E-4</v>
      </c>
      <c r="O54" s="179">
        <v>367.10686706399997</v>
      </c>
      <c r="P54" s="80">
        <f t="shared" si="27"/>
        <v>6.9999999999999988E-4</v>
      </c>
      <c r="Q54" s="179">
        <v>374.44900440527999</v>
      </c>
      <c r="R54" s="80">
        <f t="shared" si="28"/>
        <v>6.9999999999999988E-4</v>
      </c>
      <c r="S54" s="179">
        <v>381.93798449338561</v>
      </c>
      <c r="T54" s="80">
        <f t="shared" si="29"/>
        <v>6.9999999999999999E-4</v>
      </c>
      <c r="U54" s="179">
        <v>389.57674418325337</v>
      </c>
      <c r="V54" s="80">
        <f t="shared" si="30"/>
        <v>7.000000000000001E-4</v>
      </c>
      <c r="X54" s="200"/>
    </row>
    <row r="55" spans="1:24" ht="12.75" customHeight="1">
      <c r="A55" s="2" t="s">
        <v>386</v>
      </c>
      <c r="B55" s="35"/>
      <c r="C55" s="179">
        <v>0</v>
      </c>
      <c r="D55" s="80">
        <f t="shared" si="21"/>
        <v>0</v>
      </c>
      <c r="E55" s="179"/>
      <c r="F55" s="80">
        <f t="shared" si="22"/>
        <v>0</v>
      </c>
      <c r="G55" s="179"/>
      <c r="H55" s="80">
        <f t="shared" si="23"/>
        <v>0</v>
      </c>
      <c r="I55" s="179"/>
      <c r="J55" s="80">
        <f t="shared" si="24"/>
        <v>0</v>
      </c>
      <c r="K55" s="179"/>
      <c r="L55" s="80">
        <f t="shared" si="25"/>
        <v>0</v>
      </c>
      <c r="M55" s="179"/>
      <c r="N55" s="80">
        <f t="shared" si="26"/>
        <v>0</v>
      </c>
      <c r="O55" s="179"/>
      <c r="P55" s="80">
        <f t="shared" si="27"/>
        <v>0</v>
      </c>
      <c r="Q55" s="179"/>
      <c r="R55" s="80">
        <f t="shared" si="28"/>
        <v>0</v>
      </c>
      <c r="S55" s="179"/>
      <c r="T55" s="80">
        <f t="shared" si="29"/>
        <v>0</v>
      </c>
      <c r="U55" s="179"/>
      <c r="V55" s="80">
        <f t="shared" si="30"/>
        <v>0</v>
      </c>
      <c r="X55" s="200"/>
    </row>
    <row r="56" spans="1:24" ht="12.75" customHeight="1">
      <c r="A56" s="2" t="s">
        <v>387</v>
      </c>
      <c r="B56" s="35"/>
      <c r="C56" s="179">
        <v>0</v>
      </c>
      <c r="D56" s="80">
        <f t="shared" si="21"/>
        <v>0</v>
      </c>
      <c r="E56" s="179">
        <v>242.25000000000003</v>
      </c>
      <c r="F56" s="80">
        <f t="shared" si="22"/>
        <v>5.1000000000000004E-4</v>
      </c>
      <c r="G56" s="179">
        <v>247.095</v>
      </c>
      <c r="H56" s="80">
        <f t="shared" si="23"/>
        <v>5.1000000000000004E-4</v>
      </c>
      <c r="I56" s="179">
        <v>252.03690000000006</v>
      </c>
      <c r="J56" s="80">
        <f t="shared" si="24"/>
        <v>5.1000000000000015E-4</v>
      </c>
      <c r="K56" s="179">
        <v>257.07763799999998</v>
      </c>
      <c r="L56" s="80">
        <f t="shared" si="25"/>
        <v>5.0999999999999993E-4</v>
      </c>
      <c r="M56" s="179">
        <v>262.21919076</v>
      </c>
      <c r="N56" s="80">
        <f t="shared" si="26"/>
        <v>5.1000000000000004E-4</v>
      </c>
      <c r="O56" s="179">
        <v>267.46357457520003</v>
      </c>
      <c r="P56" s="80">
        <f t="shared" si="27"/>
        <v>5.1000000000000004E-4</v>
      </c>
      <c r="Q56" s="179">
        <v>272.81284606670403</v>
      </c>
      <c r="R56" s="80">
        <f t="shared" si="28"/>
        <v>5.0999999999999993E-4</v>
      </c>
      <c r="S56" s="179">
        <v>278.26910298803813</v>
      </c>
      <c r="T56" s="80">
        <f t="shared" si="29"/>
        <v>5.1000000000000004E-4</v>
      </c>
      <c r="U56" s="179">
        <v>283.83448504779886</v>
      </c>
      <c r="V56" s="80">
        <f t="shared" si="30"/>
        <v>5.1000000000000004E-4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1"/>
        <v>0</v>
      </c>
      <c r="E57" s="179">
        <v>0</v>
      </c>
      <c r="F57" s="80">
        <f t="shared" si="22"/>
        <v>0</v>
      </c>
      <c r="G57" s="179">
        <v>0</v>
      </c>
      <c r="H57" s="80">
        <f t="shared" si="23"/>
        <v>0</v>
      </c>
      <c r="I57" s="179">
        <v>0</v>
      </c>
      <c r="J57" s="80">
        <f t="shared" si="24"/>
        <v>0</v>
      </c>
      <c r="K57" s="179">
        <v>0</v>
      </c>
      <c r="L57" s="80">
        <f t="shared" si="25"/>
        <v>0</v>
      </c>
      <c r="M57" s="179">
        <v>0</v>
      </c>
      <c r="N57" s="80">
        <f t="shared" si="26"/>
        <v>0</v>
      </c>
      <c r="O57" s="179">
        <v>0</v>
      </c>
      <c r="P57" s="80">
        <f t="shared" si="27"/>
        <v>0</v>
      </c>
      <c r="Q57" s="179">
        <v>0</v>
      </c>
      <c r="R57" s="80">
        <f t="shared" si="28"/>
        <v>0</v>
      </c>
      <c r="S57" s="179">
        <v>0</v>
      </c>
      <c r="T57" s="80">
        <f t="shared" si="29"/>
        <v>0</v>
      </c>
      <c r="U57" s="179">
        <v>0</v>
      </c>
      <c r="V57" s="80">
        <f t="shared" si="30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1"/>
        <v>0</v>
      </c>
      <c r="E58" s="179">
        <v>0</v>
      </c>
      <c r="F58" s="80">
        <f t="shared" si="22"/>
        <v>0</v>
      </c>
      <c r="G58" s="179">
        <v>0</v>
      </c>
      <c r="H58" s="80">
        <f t="shared" si="23"/>
        <v>0</v>
      </c>
      <c r="I58" s="179">
        <v>0</v>
      </c>
      <c r="J58" s="80">
        <f t="shared" si="24"/>
        <v>0</v>
      </c>
      <c r="K58" s="179">
        <v>0</v>
      </c>
      <c r="L58" s="80">
        <f t="shared" si="25"/>
        <v>0</v>
      </c>
      <c r="M58" s="179">
        <v>0</v>
      </c>
      <c r="N58" s="80">
        <f t="shared" si="26"/>
        <v>0</v>
      </c>
      <c r="O58" s="179">
        <v>0</v>
      </c>
      <c r="P58" s="80">
        <f t="shared" si="27"/>
        <v>0</v>
      </c>
      <c r="Q58" s="179">
        <v>0</v>
      </c>
      <c r="R58" s="80">
        <f t="shared" si="28"/>
        <v>0</v>
      </c>
      <c r="S58" s="179">
        <v>0</v>
      </c>
      <c r="T58" s="80">
        <f t="shared" si="29"/>
        <v>0</v>
      </c>
      <c r="U58" s="179">
        <v>0</v>
      </c>
      <c r="V58" s="80">
        <f t="shared" si="30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1"/>
        <v>0</v>
      </c>
      <c r="E59" s="179">
        <v>0</v>
      </c>
      <c r="F59" s="80">
        <f t="shared" si="22"/>
        <v>0</v>
      </c>
      <c r="G59" s="179">
        <v>0</v>
      </c>
      <c r="H59" s="80">
        <f t="shared" si="23"/>
        <v>0</v>
      </c>
      <c r="I59" s="179">
        <v>0</v>
      </c>
      <c r="J59" s="80">
        <f t="shared" si="24"/>
        <v>0</v>
      </c>
      <c r="K59" s="179">
        <v>0</v>
      </c>
      <c r="L59" s="80">
        <f t="shared" si="25"/>
        <v>0</v>
      </c>
      <c r="M59" s="179">
        <v>0</v>
      </c>
      <c r="N59" s="80">
        <f t="shared" si="26"/>
        <v>0</v>
      </c>
      <c r="O59" s="179">
        <v>0</v>
      </c>
      <c r="P59" s="80">
        <f t="shared" si="27"/>
        <v>0</v>
      </c>
      <c r="Q59" s="179">
        <v>0</v>
      </c>
      <c r="R59" s="80">
        <f t="shared" si="28"/>
        <v>0</v>
      </c>
      <c r="S59" s="179">
        <v>0</v>
      </c>
      <c r="T59" s="80">
        <f t="shared" si="29"/>
        <v>0</v>
      </c>
      <c r="U59" s="179">
        <v>0</v>
      </c>
      <c r="V59" s="80">
        <f t="shared" si="30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1"/>
        <v>0</v>
      </c>
      <c r="E60" s="179">
        <v>0</v>
      </c>
      <c r="F60" s="80">
        <f t="shared" si="22"/>
        <v>0</v>
      </c>
      <c r="G60" s="179">
        <v>0</v>
      </c>
      <c r="H60" s="80">
        <f t="shared" si="23"/>
        <v>0</v>
      </c>
      <c r="I60" s="179">
        <v>0</v>
      </c>
      <c r="J60" s="80">
        <f t="shared" si="24"/>
        <v>0</v>
      </c>
      <c r="K60" s="179">
        <v>0</v>
      </c>
      <c r="L60" s="80">
        <f t="shared" si="25"/>
        <v>0</v>
      </c>
      <c r="M60" s="179">
        <v>0</v>
      </c>
      <c r="N60" s="80">
        <f t="shared" si="26"/>
        <v>0</v>
      </c>
      <c r="O60" s="179">
        <v>0</v>
      </c>
      <c r="P60" s="80">
        <f t="shared" si="27"/>
        <v>0</v>
      </c>
      <c r="Q60" s="179">
        <v>0</v>
      </c>
      <c r="R60" s="80">
        <f t="shared" si="28"/>
        <v>0</v>
      </c>
      <c r="S60" s="179">
        <v>0</v>
      </c>
      <c r="T60" s="80">
        <f t="shared" si="29"/>
        <v>0</v>
      </c>
      <c r="U60" s="179">
        <v>0</v>
      </c>
      <c r="V60" s="80">
        <f t="shared" si="30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1"/>
        <v>0</v>
      </c>
      <c r="E61" s="179">
        <v>0</v>
      </c>
      <c r="F61" s="80">
        <f t="shared" si="22"/>
        <v>0</v>
      </c>
      <c r="G61" s="179">
        <v>0</v>
      </c>
      <c r="H61" s="80">
        <f t="shared" si="23"/>
        <v>0</v>
      </c>
      <c r="I61" s="179">
        <v>0</v>
      </c>
      <c r="J61" s="80">
        <f t="shared" si="24"/>
        <v>0</v>
      </c>
      <c r="K61" s="179">
        <v>0</v>
      </c>
      <c r="L61" s="80">
        <f t="shared" si="25"/>
        <v>0</v>
      </c>
      <c r="M61" s="179">
        <v>0</v>
      </c>
      <c r="N61" s="80">
        <f t="shared" si="26"/>
        <v>0</v>
      </c>
      <c r="O61" s="179">
        <v>0</v>
      </c>
      <c r="P61" s="80">
        <f t="shared" si="27"/>
        <v>0</v>
      </c>
      <c r="Q61" s="179">
        <v>0</v>
      </c>
      <c r="R61" s="80">
        <f t="shared" si="28"/>
        <v>0</v>
      </c>
      <c r="S61" s="179">
        <v>0</v>
      </c>
      <c r="T61" s="80">
        <f t="shared" si="29"/>
        <v>0</v>
      </c>
      <c r="U61" s="179">
        <v>0</v>
      </c>
      <c r="V61" s="80">
        <f t="shared" si="30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1"/>
        <v>0</v>
      </c>
      <c r="E62" s="179">
        <v>0</v>
      </c>
      <c r="F62" s="80">
        <f t="shared" si="22"/>
        <v>0</v>
      </c>
      <c r="G62" s="179">
        <v>0</v>
      </c>
      <c r="H62" s="80">
        <f t="shared" si="23"/>
        <v>0</v>
      </c>
      <c r="I62" s="179">
        <v>0</v>
      </c>
      <c r="J62" s="80">
        <f t="shared" si="24"/>
        <v>0</v>
      </c>
      <c r="K62" s="179">
        <v>0</v>
      </c>
      <c r="L62" s="80">
        <f t="shared" si="25"/>
        <v>0</v>
      </c>
      <c r="M62" s="179">
        <v>0</v>
      </c>
      <c r="N62" s="80">
        <f t="shared" si="26"/>
        <v>0</v>
      </c>
      <c r="O62" s="179">
        <v>0</v>
      </c>
      <c r="P62" s="80">
        <f t="shared" si="27"/>
        <v>0</v>
      </c>
      <c r="Q62" s="179">
        <v>0</v>
      </c>
      <c r="R62" s="80">
        <f t="shared" si="28"/>
        <v>0</v>
      </c>
      <c r="S62" s="179">
        <v>0</v>
      </c>
      <c r="T62" s="80">
        <f t="shared" si="29"/>
        <v>0</v>
      </c>
      <c r="U62" s="179">
        <v>0</v>
      </c>
      <c r="V62" s="80">
        <f t="shared" si="30"/>
        <v>0</v>
      </c>
      <c r="X62" s="200"/>
    </row>
    <row r="63" spans="1:24" ht="12.75" customHeight="1">
      <c r="A63" s="2" t="s">
        <v>394</v>
      </c>
      <c r="B63" s="35"/>
      <c r="C63" s="179">
        <v>0</v>
      </c>
      <c r="D63" s="80">
        <f t="shared" si="21"/>
        <v>0</v>
      </c>
      <c r="E63" s="179">
        <v>3684.7272155685991</v>
      </c>
      <c r="F63" s="80">
        <f t="shared" si="22"/>
        <v>7.7573204538286299E-3</v>
      </c>
      <c r="G63" s="179">
        <v>4313.2832563394832</v>
      </c>
      <c r="H63" s="80">
        <f t="shared" si="23"/>
        <v>8.9025454207213271E-3</v>
      </c>
      <c r="I63" s="179">
        <v>4361.0587995560627</v>
      </c>
      <c r="J63" s="80">
        <f t="shared" si="24"/>
        <v>8.8246601500557732E-3</v>
      </c>
      <c r="K63" s="179">
        <v>4397.0522263417633</v>
      </c>
      <c r="L63" s="80">
        <f t="shared" si="25"/>
        <v>8.723032671687685E-3</v>
      </c>
      <c r="M63" s="179">
        <v>4475.565819043155</v>
      </c>
      <c r="N63" s="80">
        <f t="shared" si="26"/>
        <v>8.7046968648497435E-3</v>
      </c>
      <c r="O63" s="179">
        <v>4555.733117640867</v>
      </c>
      <c r="P63" s="80">
        <f t="shared" si="27"/>
        <v>8.686879675810168E-3</v>
      </c>
      <c r="Q63" s="179">
        <v>4637.4290163102314</v>
      </c>
      <c r="R63" s="80">
        <f t="shared" si="28"/>
        <v>8.669272112428102E-3</v>
      </c>
      <c r="S63" s="179">
        <v>4720.5295262189629</v>
      </c>
      <c r="T63" s="80">
        <f t="shared" si="29"/>
        <v>8.6515895315735451E-3</v>
      </c>
      <c r="U63" s="179">
        <v>4988.8940316659155</v>
      </c>
      <c r="V63" s="80">
        <f t="shared" si="30"/>
        <v>8.9641537240308933E-3</v>
      </c>
      <c r="X63" s="200"/>
    </row>
    <row r="64" spans="1:24" ht="12.75" customHeight="1">
      <c r="A64" s="2" t="s">
        <v>395</v>
      </c>
      <c r="B64" s="35"/>
      <c r="C64" s="179">
        <v>0</v>
      </c>
      <c r="D64" s="80">
        <f t="shared" si="21"/>
        <v>0</v>
      </c>
      <c r="E64" s="179">
        <v>2279.9999999999995</v>
      </c>
      <c r="F64" s="80">
        <f t="shared" si="22"/>
        <v>4.7999999999999987E-3</v>
      </c>
      <c r="G64" s="179">
        <v>2325.5999999999995</v>
      </c>
      <c r="H64" s="80">
        <f t="shared" si="23"/>
        <v>4.7999999999999987E-3</v>
      </c>
      <c r="I64" s="179">
        <v>2372.1120000000001</v>
      </c>
      <c r="J64" s="80">
        <f t="shared" si="24"/>
        <v>4.8000000000000004E-3</v>
      </c>
      <c r="K64" s="179">
        <v>2419.5542399999995</v>
      </c>
      <c r="L64" s="80">
        <f t="shared" si="25"/>
        <v>4.7999999999999987E-3</v>
      </c>
      <c r="M64" s="179">
        <v>2467.9453248</v>
      </c>
      <c r="N64" s="80">
        <f t="shared" si="26"/>
        <v>4.7999999999999996E-3</v>
      </c>
      <c r="O64" s="179">
        <v>2517.3042312959997</v>
      </c>
      <c r="P64" s="80">
        <f t="shared" si="27"/>
        <v>4.7999999999999987E-3</v>
      </c>
      <c r="Q64" s="179">
        <v>2567.6503159219196</v>
      </c>
      <c r="R64" s="80">
        <f t="shared" si="28"/>
        <v>4.7999999999999987E-3</v>
      </c>
      <c r="S64" s="179">
        <v>2619.0033222403586</v>
      </c>
      <c r="T64" s="80">
        <f t="shared" si="29"/>
        <v>4.7999999999999996E-3</v>
      </c>
      <c r="U64" s="179">
        <v>2671.3833886851658</v>
      </c>
      <c r="V64" s="80">
        <f t="shared" si="30"/>
        <v>4.8000000000000004E-3</v>
      </c>
      <c r="X64" s="200"/>
    </row>
    <row r="65" spans="1:24" ht="12.75" customHeight="1">
      <c r="A65" s="2" t="s">
        <v>396</v>
      </c>
      <c r="B65" s="35"/>
      <c r="C65" s="179">
        <v>0</v>
      </c>
      <c r="D65" s="80">
        <f t="shared" si="21"/>
        <v>0</v>
      </c>
      <c r="E65" s="179">
        <v>237.5</v>
      </c>
      <c r="F65" s="80">
        <f t="shared" si="22"/>
        <v>5.0000000000000001E-4</v>
      </c>
      <c r="G65" s="179">
        <v>242.25</v>
      </c>
      <c r="H65" s="80">
        <f t="shared" si="23"/>
        <v>5.0000000000000001E-4</v>
      </c>
      <c r="I65" s="179">
        <v>247.09500000000003</v>
      </c>
      <c r="J65" s="80">
        <f t="shared" si="24"/>
        <v>5.0000000000000001E-4</v>
      </c>
      <c r="K65" s="179">
        <v>252.0369</v>
      </c>
      <c r="L65" s="80">
        <f t="shared" si="25"/>
        <v>5.0000000000000001E-4</v>
      </c>
      <c r="M65" s="179">
        <v>257.07763800000004</v>
      </c>
      <c r="N65" s="80">
        <f t="shared" si="26"/>
        <v>5.0000000000000001E-4</v>
      </c>
      <c r="O65" s="179">
        <v>262.21919076</v>
      </c>
      <c r="P65" s="80">
        <f t="shared" si="27"/>
        <v>4.999999999999999E-4</v>
      </c>
      <c r="Q65" s="179">
        <v>267.46357457520003</v>
      </c>
      <c r="R65" s="80">
        <f t="shared" si="28"/>
        <v>5.0000000000000001E-4</v>
      </c>
      <c r="S65" s="179">
        <v>272.81284606670403</v>
      </c>
      <c r="T65" s="80">
        <f t="shared" si="29"/>
        <v>5.0000000000000001E-4</v>
      </c>
      <c r="U65" s="179">
        <v>278.26910298803813</v>
      </c>
      <c r="V65" s="80">
        <f t="shared" si="30"/>
        <v>5.0000000000000001E-4</v>
      </c>
      <c r="X65" s="200"/>
    </row>
    <row r="66" spans="1:24" ht="12.75" customHeight="1">
      <c r="A66" s="2" t="s">
        <v>397</v>
      </c>
      <c r="B66" s="35"/>
      <c r="C66" s="179">
        <v>0</v>
      </c>
      <c r="D66" s="80">
        <f t="shared" si="21"/>
        <v>0</v>
      </c>
      <c r="E66" s="179">
        <v>1330</v>
      </c>
      <c r="F66" s="80">
        <f t="shared" si="22"/>
        <v>2.8E-3</v>
      </c>
      <c r="G66" s="179">
        <v>1356.6000000000001</v>
      </c>
      <c r="H66" s="80">
        <f t="shared" si="23"/>
        <v>2.8000000000000004E-3</v>
      </c>
      <c r="I66" s="179">
        <v>1383.732</v>
      </c>
      <c r="J66" s="80">
        <f t="shared" si="24"/>
        <v>2.8E-3</v>
      </c>
      <c r="K66" s="179">
        <v>1411.4066399999999</v>
      </c>
      <c r="L66" s="80">
        <f t="shared" si="25"/>
        <v>2.8E-3</v>
      </c>
      <c r="M66" s="179">
        <v>1439.6347728000001</v>
      </c>
      <c r="N66" s="80">
        <f t="shared" si="26"/>
        <v>2.8E-3</v>
      </c>
      <c r="O66" s="179">
        <v>1468.4274682559999</v>
      </c>
      <c r="P66" s="80">
        <f t="shared" si="27"/>
        <v>2.7999999999999995E-3</v>
      </c>
      <c r="Q66" s="179">
        <v>1497.79601762112</v>
      </c>
      <c r="R66" s="80">
        <f t="shared" si="28"/>
        <v>2.7999999999999995E-3</v>
      </c>
      <c r="S66" s="179">
        <v>1527.7519379735425</v>
      </c>
      <c r="T66" s="80">
        <f t="shared" si="29"/>
        <v>2.8E-3</v>
      </c>
      <c r="U66" s="179">
        <v>1558.3069767330135</v>
      </c>
      <c r="V66" s="80">
        <f t="shared" si="30"/>
        <v>2.8000000000000004E-3</v>
      </c>
      <c r="X66" s="200"/>
    </row>
    <row r="67" spans="1:24" ht="12.75" customHeight="1">
      <c r="A67" s="2" t="s">
        <v>398</v>
      </c>
      <c r="B67" s="35"/>
      <c r="C67" s="179">
        <v>0</v>
      </c>
      <c r="D67" s="80">
        <f t="shared" si="21"/>
        <v>0</v>
      </c>
      <c r="E67" s="179">
        <v>7124.9999999999991</v>
      </c>
      <c r="F67" s="80">
        <f t="shared" si="22"/>
        <v>1.4999999999999998E-2</v>
      </c>
      <c r="G67" s="179">
        <v>7267.5</v>
      </c>
      <c r="H67" s="80">
        <f t="shared" si="23"/>
        <v>1.4999999999999999E-2</v>
      </c>
      <c r="I67" s="179">
        <v>7412.85</v>
      </c>
      <c r="J67" s="80">
        <f t="shared" si="24"/>
        <v>1.5000000000000001E-2</v>
      </c>
      <c r="K67" s="179">
        <v>7561.107</v>
      </c>
      <c r="L67" s="80">
        <f t="shared" si="25"/>
        <v>1.4999999999999999E-2</v>
      </c>
      <c r="M67" s="179">
        <v>7712.3291400000007</v>
      </c>
      <c r="N67" s="80">
        <f t="shared" si="26"/>
        <v>1.5000000000000001E-2</v>
      </c>
      <c r="O67" s="179">
        <v>7866.5757228000002</v>
      </c>
      <c r="P67" s="80">
        <f t="shared" si="27"/>
        <v>1.4999999999999999E-2</v>
      </c>
      <c r="Q67" s="179">
        <v>8023.9072372560004</v>
      </c>
      <c r="R67" s="80">
        <f t="shared" si="28"/>
        <v>1.4999999999999999E-2</v>
      </c>
      <c r="S67" s="179">
        <v>8184.38538200112</v>
      </c>
      <c r="T67" s="80">
        <f t="shared" si="29"/>
        <v>1.4999999999999999E-2</v>
      </c>
      <c r="U67" s="179">
        <v>8348.0730896411424</v>
      </c>
      <c r="V67" s="80">
        <f t="shared" si="30"/>
        <v>1.4999999999999999E-2</v>
      </c>
      <c r="X67" s="200"/>
    </row>
    <row r="68" spans="1:24" ht="12.75" customHeight="1">
      <c r="A68" s="2" t="s">
        <v>399</v>
      </c>
      <c r="B68" s="35"/>
      <c r="C68" s="179">
        <v>0</v>
      </c>
      <c r="D68" s="80">
        <f t="shared" si="21"/>
        <v>0</v>
      </c>
      <c r="E68" s="179">
        <v>807.49999999999989</v>
      </c>
      <c r="F68" s="80">
        <f t="shared" si="22"/>
        <v>1.6999999999999997E-3</v>
      </c>
      <c r="G68" s="179">
        <v>823.65</v>
      </c>
      <c r="H68" s="80">
        <f t="shared" si="23"/>
        <v>1.6999999999999999E-3</v>
      </c>
      <c r="I68" s="179">
        <v>840.12300000000005</v>
      </c>
      <c r="J68" s="80">
        <f t="shared" si="24"/>
        <v>1.7000000000000001E-3</v>
      </c>
      <c r="K68" s="179">
        <v>856.92545999999993</v>
      </c>
      <c r="L68" s="80">
        <f t="shared" si="25"/>
        <v>1.6999999999999999E-3</v>
      </c>
      <c r="M68" s="179">
        <v>874.06396919999997</v>
      </c>
      <c r="N68" s="80">
        <f t="shared" si="26"/>
        <v>1.6999999999999999E-3</v>
      </c>
      <c r="O68" s="179">
        <v>891.54524858399998</v>
      </c>
      <c r="P68" s="80">
        <f t="shared" si="27"/>
        <v>1.6999999999999997E-3</v>
      </c>
      <c r="Q68" s="179">
        <v>909.37615355568005</v>
      </c>
      <c r="R68" s="80">
        <f t="shared" si="28"/>
        <v>1.6999999999999999E-3</v>
      </c>
      <c r="S68" s="179">
        <v>927.56367662679361</v>
      </c>
      <c r="T68" s="80">
        <f t="shared" si="29"/>
        <v>1.6999999999999999E-3</v>
      </c>
      <c r="U68" s="179">
        <v>946.1149501593294</v>
      </c>
      <c r="V68" s="80">
        <f t="shared" si="30"/>
        <v>1.6999999999999997E-3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1"/>
        <v>0</v>
      </c>
      <c r="E69" s="179">
        <v>0</v>
      </c>
      <c r="F69" s="80">
        <f t="shared" si="22"/>
        <v>0</v>
      </c>
      <c r="G69" s="179">
        <v>0</v>
      </c>
      <c r="H69" s="80">
        <f t="shared" si="23"/>
        <v>0</v>
      </c>
      <c r="I69" s="179">
        <v>0</v>
      </c>
      <c r="J69" s="80">
        <f t="shared" si="24"/>
        <v>0</v>
      </c>
      <c r="K69" s="179">
        <v>0</v>
      </c>
      <c r="L69" s="80">
        <f t="shared" si="25"/>
        <v>0</v>
      </c>
      <c r="M69" s="179">
        <v>0</v>
      </c>
      <c r="N69" s="80">
        <f t="shared" si="26"/>
        <v>0</v>
      </c>
      <c r="O69" s="179">
        <v>0</v>
      </c>
      <c r="P69" s="80">
        <f t="shared" si="27"/>
        <v>0</v>
      </c>
      <c r="Q69" s="179">
        <v>0</v>
      </c>
      <c r="R69" s="80">
        <f t="shared" si="28"/>
        <v>0</v>
      </c>
      <c r="S69" s="179">
        <v>0</v>
      </c>
      <c r="T69" s="80">
        <f t="shared" si="29"/>
        <v>0</v>
      </c>
      <c r="U69" s="179">
        <v>0</v>
      </c>
      <c r="V69" s="80">
        <f t="shared" si="30"/>
        <v>0</v>
      </c>
      <c r="X69" s="200"/>
    </row>
    <row r="70" spans="1:24" ht="12.75" customHeight="1">
      <c r="A70" s="2" t="s">
        <v>401</v>
      </c>
      <c r="B70" s="35"/>
      <c r="C70" s="179">
        <v>0</v>
      </c>
      <c r="D70" s="80">
        <f t="shared" si="21"/>
        <v>0</v>
      </c>
      <c r="E70" s="179">
        <v>47.5</v>
      </c>
      <c r="F70" s="80">
        <f t="shared" si="22"/>
        <v>1E-4</v>
      </c>
      <c r="G70" s="179">
        <v>48.449999999999996</v>
      </c>
      <c r="H70" s="80">
        <f t="shared" si="23"/>
        <v>9.9999999999999991E-5</v>
      </c>
      <c r="I70" s="179">
        <v>49.419000000000004</v>
      </c>
      <c r="J70" s="80">
        <f t="shared" si="24"/>
        <v>1E-4</v>
      </c>
      <c r="K70" s="179">
        <v>50.407380000000003</v>
      </c>
      <c r="L70" s="80">
        <f t="shared" si="25"/>
        <v>1E-4</v>
      </c>
      <c r="M70" s="179">
        <v>51.415527600000004</v>
      </c>
      <c r="N70" s="80">
        <f t="shared" si="26"/>
        <v>1E-4</v>
      </c>
      <c r="O70" s="179">
        <v>52.443838152000005</v>
      </c>
      <c r="P70" s="80">
        <f t="shared" si="27"/>
        <v>1E-4</v>
      </c>
      <c r="Q70" s="179">
        <v>53.492714915040004</v>
      </c>
      <c r="R70" s="80">
        <f t="shared" si="28"/>
        <v>9.9999999999999991E-5</v>
      </c>
      <c r="S70" s="179">
        <v>54.562569213340808</v>
      </c>
      <c r="T70" s="80">
        <f t="shared" si="29"/>
        <v>1E-4</v>
      </c>
      <c r="U70" s="179">
        <v>55.653820597607627</v>
      </c>
      <c r="V70" s="80">
        <f t="shared" si="30"/>
        <v>1.0000000000000002E-4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1"/>
        <v>0</v>
      </c>
      <c r="E71" s="179">
        <v>0</v>
      </c>
      <c r="F71" s="80">
        <f t="shared" si="22"/>
        <v>0</v>
      </c>
      <c r="G71" s="179">
        <v>0</v>
      </c>
      <c r="H71" s="80">
        <f t="shared" si="23"/>
        <v>0</v>
      </c>
      <c r="I71" s="179">
        <v>0</v>
      </c>
      <c r="J71" s="80">
        <f t="shared" si="24"/>
        <v>0</v>
      </c>
      <c r="K71" s="179">
        <v>0</v>
      </c>
      <c r="L71" s="80">
        <f t="shared" si="25"/>
        <v>0</v>
      </c>
      <c r="M71" s="179">
        <v>0</v>
      </c>
      <c r="N71" s="80">
        <f t="shared" si="26"/>
        <v>0</v>
      </c>
      <c r="O71" s="179">
        <v>0</v>
      </c>
      <c r="P71" s="80">
        <f t="shared" si="27"/>
        <v>0</v>
      </c>
      <c r="Q71" s="179">
        <v>0</v>
      </c>
      <c r="R71" s="80">
        <f t="shared" si="28"/>
        <v>0</v>
      </c>
      <c r="S71" s="179">
        <v>0</v>
      </c>
      <c r="T71" s="80">
        <f t="shared" si="29"/>
        <v>0</v>
      </c>
      <c r="U71" s="179">
        <v>0</v>
      </c>
      <c r="V71" s="80">
        <f t="shared" si="30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1"/>
        <v>0</v>
      </c>
      <c r="E72" s="179">
        <v>0</v>
      </c>
      <c r="F72" s="80">
        <f t="shared" si="22"/>
        <v>0</v>
      </c>
      <c r="G72" s="179">
        <v>0</v>
      </c>
      <c r="H72" s="80">
        <f t="shared" si="23"/>
        <v>0</v>
      </c>
      <c r="I72" s="179">
        <v>0</v>
      </c>
      <c r="J72" s="80">
        <f t="shared" si="24"/>
        <v>0</v>
      </c>
      <c r="K72" s="179">
        <v>0</v>
      </c>
      <c r="L72" s="80">
        <f t="shared" si="25"/>
        <v>0</v>
      </c>
      <c r="M72" s="179">
        <v>0</v>
      </c>
      <c r="N72" s="80">
        <f t="shared" si="26"/>
        <v>0</v>
      </c>
      <c r="O72" s="179">
        <v>0</v>
      </c>
      <c r="P72" s="80">
        <f t="shared" si="27"/>
        <v>0</v>
      </c>
      <c r="Q72" s="179">
        <v>0</v>
      </c>
      <c r="R72" s="80">
        <f t="shared" si="28"/>
        <v>0</v>
      </c>
      <c r="S72" s="179">
        <v>0</v>
      </c>
      <c r="T72" s="80">
        <f t="shared" si="29"/>
        <v>0</v>
      </c>
      <c r="U72" s="179">
        <v>0</v>
      </c>
      <c r="V72" s="80">
        <f t="shared" si="30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1"/>
        <v>0</v>
      </c>
      <c r="E73" s="179">
        <v>0</v>
      </c>
      <c r="F73" s="80">
        <f t="shared" si="22"/>
        <v>0</v>
      </c>
      <c r="G73" s="179">
        <v>0</v>
      </c>
      <c r="H73" s="80">
        <f t="shared" si="23"/>
        <v>0</v>
      </c>
      <c r="I73" s="179">
        <v>0</v>
      </c>
      <c r="J73" s="80">
        <f t="shared" si="24"/>
        <v>0</v>
      </c>
      <c r="K73" s="179">
        <v>0</v>
      </c>
      <c r="L73" s="80">
        <f t="shared" si="25"/>
        <v>0</v>
      </c>
      <c r="M73" s="179">
        <v>0</v>
      </c>
      <c r="N73" s="80">
        <f t="shared" si="26"/>
        <v>0</v>
      </c>
      <c r="O73" s="179">
        <v>0</v>
      </c>
      <c r="P73" s="80">
        <f t="shared" si="27"/>
        <v>0</v>
      </c>
      <c r="Q73" s="179">
        <v>0</v>
      </c>
      <c r="R73" s="80">
        <f t="shared" si="28"/>
        <v>0</v>
      </c>
      <c r="S73" s="179">
        <v>0</v>
      </c>
      <c r="T73" s="80">
        <f t="shared" si="29"/>
        <v>0</v>
      </c>
      <c r="U73" s="179">
        <v>0</v>
      </c>
      <c r="V73" s="80">
        <f t="shared" si="30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1"/>
        <v>0</v>
      </c>
      <c r="E74" s="179">
        <v>0</v>
      </c>
      <c r="F74" s="80">
        <f t="shared" si="22"/>
        <v>0</v>
      </c>
      <c r="G74" s="179">
        <v>0</v>
      </c>
      <c r="H74" s="80">
        <f t="shared" si="23"/>
        <v>0</v>
      </c>
      <c r="I74" s="179">
        <v>0</v>
      </c>
      <c r="J74" s="80">
        <f t="shared" si="24"/>
        <v>0</v>
      </c>
      <c r="K74" s="179">
        <v>0</v>
      </c>
      <c r="L74" s="80">
        <f t="shared" si="25"/>
        <v>0</v>
      </c>
      <c r="M74" s="179">
        <v>0</v>
      </c>
      <c r="N74" s="80">
        <f t="shared" si="26"/>
        <v>0</v>
      </c>
      <c r="O74" s="179">
        <v>0</v>
      </c>
      <c r="P74" s="80">
        <f t="shared" si="27"/>
        <v>0</v>
      </c>
      <c r="Q74" s="179">
        <v>0</v>
      </c>
      <c r="R74" s="80">
        <f t="shared" si="28"/>
        <v>0</v>
      </c>
      <c r="S74" s="179">
        <v>0</v>
      </c>
      <c r="T74" s="80">
        <f t="shared" si="29"/>
        <v>0</v>
      </c>
      <c r="U74" s="179">
        <v>0</v>
      </c>
      <c r="V74" s="80">
        <f t="shared" si="30"/>
        <v>0</v>
      </c>
      <c r="X74" s="200"/>
    </row>
    <row r="75" spans="1:24" ht="12.75" customHeight="1">
      <c r="A75" s="2" t="s">
        <v>406</v>
      </c>
      <c r="B75" s="35"/>
      <c r="C75" s="179">
        <v>0</v>
      </c>
      <c r="D75" s="80">
        <f t="shared" si="21"/>
        <v>0</v>
      </c>
      <c r="E75" s="179">
        <v>2374.9999999999995</v>
      </c>
      <c r="F75" s="80">
        <f t="shared" si="22"/>
        <v>4.9999999999999992E-3</v>
      </c>
      <c r="G75" s="179">
        <v>2422.5</v>
      </c>
      <c r="H75" s="80">
        <f t="shared" si="23"/>
        <v>5.0000000000000001E-3</v>
      </c>
      <c r="I75" s="179">
        <v>2470.9500000000003</v>
      </c>
      <c r="J75" s="80">
        <f t="shared" si="24"/>
        <v>5.000000000000001E-3</v>
      </c>
      <c r="K75" s="179">
        <v>2520.3690000000001</v>
      </c>
      <c r="L75" s="80">
        <f t="shared" si="25"/>
        <v>5.0000000000000001E-3</v>
      </c>
      <c r="M75" s="179">
        <v>2570.7763799999998</v>
      </c>
      <c r="N75" s="80">
        <f t="shared" si="26"/>
        <v>4.9999999999999992E-3</v>
      </c>
      <c r="O75" s="179">
        <v>2622.1919076000004</v>
      </c>
      <c r="P75" s="80">
        <f t="shared" si="27"/>
        <v>5.0000000000000001E-3</v>
      </c>
      <c r="Q75" s="179">
        <v>2674.6357457520003</v>
      </c>
      <c r="R75" s="80">
        <f t="shared" si="28"/>
        <v>5.0000000000000001E-3</v>
      </c>
      <c r="S75" s="179">
        <v>2728.1284606670401</v>
      </c>
      <c r="T75" s="80">
        <f t="shared" si="29"/>
        <v>5.0000000000000001E-3</v>
      </c>
      <c r="U75" s="179">
        <v>2782.6910298803809</v>
      </c>
      <c r="V75" s="80">
        <f t="shared" si="30"/>
        <v>5.0000000000000001E-3</v>
      </c>
      <c r="X75" s="200"/>
    </row>
    <row r="76" spans="1:24" ht="12.75" customHeight="1">
      <c r="A76" s="2" t="s">
        <v>407</v>
      </c>
      <c r="B76" s="35"/>
      <c r="C76" s="179">
        <v>0</v>
      </c>
      <c r="D76" s="80">
        <f t="shared" si="21"/>
        <v>0</v>
      </c>
      <c r="E76" s="179">
        <v>190</v>
      </c>
      <c r="F76" s="80">
        <f t="shared" si="22"/>
        <v>4.0000000000000002E-4</v>
      </c>
      <c r="G76" s="179">
        <v>193.79999999999998</v>
      </c>
      <c r="H76" s="80">
        <f t="shared" si="23"/>
        <v>3.9999999999999996E-4</v>
      </c>
      <c r="I76" s="179">
        <v>197.67600000000002</v>
      </c>
      <c r="J76" s="80">
        <f t="shared" si="24"/>
        <v>4.0000000000000002E-4</v>
      </c>
      <c r="K76" s="179">
        <v>201.62952000000001</v>
      </c>
      <c r="L76" s="80">
        <f t="shared" si="25"/>
        <v>4.0000000000000002E-4</v>
      </c>
      <c r="M76" s="179">
        <v>205.66211040000002</v>
      </c>
      <c r="N76" s="80">
        <f t="shared" si="26"/>
        <v>4.0000000000000002E-4</v>
      </c>
      <c r="O76" s="179">
        <v>209.77535260800002</v>
      </c>
      <c r="P76" s="80">
        <f t="shared" si="27"/>
        <v>4.0000000000000002E-4</v>
      </c>
      <c r="Q76" s="179">
        <v>213.97085966016002</v>
      </c>
      <c r="R76" s="80">
        <f t="shared" si="28"/>
        <v>3.9999999999999996E-4</v>
      </c>
      <c r="S76" s="179">
        <v>218.25027685336323</v>
      </c>
      <c r="T76" s="80">
        <f t="shared" si="29"/>
        <v>4.0000000000000002E-4</v>
      </c>
      <c r="U76" s="179">
        <v>222.61528239043051</v>
      </c>
      <c r="V76" s="80">
        <f t="shared" si="30"/>
        <v>4.0000000000000007E-4</v>
      </c>
      <c r="X76" s="200"/>
    </row>
    <row r="77" spans="1:24" ht="12.75" customHeight="1">
      <c r="A77" s="2" t="s">
        <v>408</v>
      </c>
      <c r="B77" s="35"/>
      <c r="C77" s="179">
        <v>0</v>
      </c>
      <c r="D77" s="80">
        <f t="shared" si="21"/>
        <v>0</v>
      </c>
      <c r="E77" s="179">
        <v>617.49999999999989</v>
      </c>
      <c r="F77" s="80">
        <f t="shared" si="22"/>
        <v>1.2999999999999997E-3</v>
      </c>
      <c r="G77" s="179">
        <v>629.84999999999991</v>
      </c>
      <c r="H77" s="80">
        <f t="shared" si="23"/>
        <v>1.2999999999999997E-3</v>
      </c>
      <c r="I77" s="179">
        <v>642.447</v>
      </c>
      <c r="J77" s="80">
        <f t="shared" si="24"/>
        <v>1.2999999999999999E-3</v>
      </c>
      <c r="K77" s="179">
        <v>655.29593999999986</v>
      </c>
      <c r="L77" s="80">
        <f t="shared" si="25"/>
        <v>1.2999999999999997E-3</v>
      </c>
      <c r="M77" s="179">
        <v>668.40185880000001</v>
      </c>
      <c r="N77" s="80">
        <f t="shared" si="26"/>
        <v>1.2999999999999999E-3</v>
      </c>
      <c r="O77" s="179">
        <v>681.76989597599993</v>
      </c>
      <c r="P77" s="80">
        <f t="shared" si="27"/>
        <v>1.2999999999999997E-3</v>
      </c>
      <c r="Q77" s="179">
        <v>695.40529389552</v>
      </c>
      <c r="R77" s="80">
        <f t="shared" si="28"/>
        <v>1.2999999999999997E-3</v>
      </c>
      <c r="S77" s="179">
        <v>709.31339977343043</v>
      </c>
      <c r="T77" s="80">
        <f t="shared" si="29"/>
        <v>1.2999999999999999E-3</v>
      </c>
      <c r="U77" s="179">
        <v>723.49966776889903</v>
      </c>
      <c r="V77" s="80">
        <f t="shared" si="30"/>
        <v>1.2999999999999999E-3</v>
      </c>
      <c r="X77" s="200"/>
    </row>
    <row r="78" spans="1:24" ht="12.75" customHeight="1">
      <c r="A78" s="2" t="s">
        <v>409</v>
      </c>
      <c r="B78" s="35"/>
      <c r="C78" s="179">
        <v>0</v>
      </c>
      <c r="D78" s="80">
        <f t="shared" si="21"/>
        <v>0</v>
      </c>
      <c r="E78" s="179">
        <v>10449.999999999998</v>
      </c>
      <c r="F78" s="80">
        <f t="shared" si="22"/>
        <v>2.1999999999999995E-2</v>
      </c>
      <c r="G78" s="179">
        <v>10658.999999999998</v>
      </c>
      <c r="H78" s="80">
        <f t="shared" si="23"/>
        <v>2.1999999999999995E-2</v>
      </c>
      <c r="I78" s="179">
        <v>10872.18</v>
      </c>
      <c r="J78" s="80">
        <f t="shared" si="24"/>
        <v>2.2000000000000002E-2</v>
      </c>
      <c r="K78" s="179">
        <v>11089.623599999999</v>
      </c>
      <c r="L78" s="80">
        <f t="shared" si="25"/>
        <v>2.1999999999999999E-2</v>
      </c>
      <c r="M78" s="179">
        <v>11311.416072</v>
      </c>
      <c r="N78" s="80">
        <f t="shared" si="26"/>
        <v>2.1999999999999999E-2</v>
      </c>
      <c r="O78" s="179">
        <v>11537.644393439999</v>
      </c>
      <c r="P78" s="80">
        <f t="shared" si="27"/>
        <v>2.1999999999999995E-2</v>
      </c>
      <c r="Q78" s="179">
        <v>11768.397281308798</v>
      </c>
      <c r="R78" s="80">
        <f t="shared" si="28"/>
        <v>2.1999999999999995E-2</v>
      </c>
      <c r="S78" s="179">
        <v>12003.765226934975</v>
      </c>
      <c r="T78" s="80">
        <f t="shared" si="29"/>
        <v>2.1999999999999995E-2</v>
      </c>
      <c r="U78" s="179">
        <v>12243.840531473677</v>
      </c>
      <c r="V78" s="80">
        <f t="shared" si="30"/>
        <v>2.2000000000000002E-2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1"/>
        <v>0</v>
      </c>
      <c r="E79" s="179">
        <v>0</v>
      </c>
      <c r="F79" s="80">
        <f t="shared" si="22"/>
        <v>0</v>
      </c>
      <c r="G79" s="179">
        <v>0</v>
      </c>
      <c r="H79" s="80">
        <f t="shared" si="23"/>
        <v>0</v>
      </c>
      <c r="I79" s="179">
        <v>0</v>
      </c>
      <c r="J79" s="80">
        <f t="shared" si="24"/>
        <v>0</v>
      </c>
      <c r="K79" s="179">
        <v>0</v>
      </c>
      <c r="L79" s="80">
        <f t="shared" si="25"/>
        <v>0</v>
      </c>
      <c r="M79" s="179">
        <v>0</v>
      </c>
      <c r="N79" s="80">
        <f t="shared" si="26"/>
        <v>0</v>
      </c>
      <c r="O79" s="179">
        <v>0</v>
      </c>
      <c r="P79" s="80">
        <f t="shared" si="27"/>
        <v>0</v>
      </c>
      <c r="Q79" s="179">
        <v>0</v>
      </c>
      <c r="R79" s="80">
        <f t="shared" si="28"/>
        <v>0</v>
      </c>
      <c r="S79" s="179">
        <v>0</v>
      </c>
      <c r="T79" s="80">
        <f t="shared" si="29"/>
        <v>0</v>
      </c>
      <c r="U79" s="179">
        <v>0</v>
      </c>
      <c r="V79" s="80">
        <f t="shared" si="30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1"/>
        <v>0</v>
      </c>
      <c r="E80" s="179">
        <v>0</v>
      </c>
      <c r="F80" s="80">
        <f t="shared" si="22"/>
        <v>0</v>
      </c>
      <c r="G80" s="179">
        <v>0</v>
      </c>
      <c r="H80" s="80">
        <f t="shared" si="23"/>
        <v>0</v>
      </c>
      <c r="I80" s="179">
        <v>0</v>
      </c>
      <c r="J80" s="80">
        <f t="shared" si="24"/>
        <v>0</v>
      </c>
      <c r="K80" s="179">
        <v>0</v>
      </c>
      <c r="L80" s="80">
        <f t="shared" si="25"/>
        <v>0</v>
      </c>
      <c r="M80" s="179">
        <v>0</v>
      </c>
      <c r="N80" s="80">
        <f t="shared" si="26"/>
        <v>0</v>
      </c>
      <c r="O80" s="179">
        <v>0</v>
      </c>
      <c r="P80" s="80">
        <f t="shared" si="27"/>
        <v>0</v>
      </c>
      <c r="Q80" s="179">
        <v>0</v>
      </c>
      <c r="R80" s="80">
        <f t="shared" si="28"/>
        <v>0</v>
      </c>
      <c r="S80" s="179">
        <v>0</v>
      </c>
      <c r="T80" s="80">
        <f t="shared" si="29"/>
        <v>0</v>
      </c>
      <c r="U80" s="179">
        <v>0</v>
      </c>
      <c r="V80" s="80">
        <f t="shared" si="30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1"/>
        <v>0</v>
      </c>
      <c r="E81" s="179">
        <v>0</v>
      </c>
      <c r="F81" s="80">
        <f t="shared" si="22"/>
        <v>0</v>
      </c>
      <c r="G81" s="179">
        <v>0</v>
      </c>
      <c r="H81" s="80">
        <f t="shared" si="23"/>
        <v>0</v>
      </c>
      <c r="I81" s="179">
        <v>0</v>
      </c>
      <c r="J81" s="80">
        <f t="shared" si="24"/>
        <v>0</v>
      </c>
      <c r="K81" s="179">
        <v>0</v>
      </c>
      <c r="L81" s="80">
        <f t="shared" si="25"/>
        <v>0</v>
      </c>
      <c r="M81" s="179">
        <v>0</v>
      </c>
      <c r="N81" s="80">
        <f t="shared" si="26"/>
        <v>0</v>
      </c>
      <c r="O81" s="179">
        <v>0</v>
      </c>
      <c r="P81" s="80">
        <f t="shared" si="27"/>
        <v>0</v>
      </c>
      <c r="Q81" s="179">
        <v>0</v>
      </c>
      <c r="R81" s="80">
        <f t="shared" si="28"/>
        <v>0</v>
      </c>
      <c r="S81" s="179">
        <v>0</v>
      </c>
      <c r="T81" s="80">
        <f t="shared" si="29"/>
        <v>0</v>
      </c>
      <c r="U81" s="179">
        <v>0</v>
      </c>
      <c r="V81" s="80">
        <f t="shared" si="30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1"/>
        <v>0</v>
      </c>
      <c r="E82" s="179">
        <v>0</v>
      </c>
      <c r="F82" s="80">
        <f t="shared" si="22"/>
        <v>0</v>
      </c>
      <c r="G82" s="179">
        <v>0</v>
      </c>
      <c r="H82" s="80">
        <f t="shared" si="23"/>
        <v>0</v>
      </c>
      <c r="I82" s="179">
        <v>0</v>
      </c>
      <c r="J82" s="80">
        <f t="shared" si="24"/>
        <v>0</v>
      </c>
      <c r="K82" s="179">
        <v>0</v>
      </c>
      <c r="L82" s="80">
        <f t="shared" si="25"/>
        <v>0</v>
      </c>
      <c r="M82" s="179">
        <v>0</v>
      </c>
      <c r="N82" s="80">
        <f t="shared" si="26"/>
        <v>0</v>
      </c>
      <c r="O82" s="179">
        <v>0</v>
      </c>
      <c r="P82" s="80">
        <f t="shared" si="27"/>
        <v>0</v>
      </c>
      <c r="Q82" s="179">
        <v>0</v>
      </c>
      <c r="R82" s="80">
        <f t="shared" si="28"/>
        <v>0</v>
      </c>
      <c r="S82" s="179">
        <v>0</v>
      </c>
      <c r="T82" s="80">
        <f t="shared" si="29"/>
        <v>0</v>
      </c>
      <c r="U82" s="179">
        <v>0</v>
      </c>
      <c r="V82" s="80">
        <f t="shared" si="30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1"/>
        <v>0</v>
      </c>
      <c r="E83" s="179">
        <v>0</v>
      </c>
      <c r="F83" s="80">
        <f t="shared" si="22"/>
        <v>0</v>
      </c>
      <c r="G83" s="179">
        <v>0</v>
      </c>
      <c r="H83" s="80">
        <f t="shared" si="23"/>
        <v>0</v>
      </c>
      <c r="I83" s="179">
        <v>0</v>
      </c>
      <c r="J83" s="80">
        <f t="shared" si="24"/>
        <v>0</v>
      </c>
      <c r="K83" s="179">
        <v>0</v>
      </c>
      <c r="L83" s="80">
        <f t="shared" si="25"/>
        <v>0</v>
      </c>
      <c r="M83" s="179">
        <v>0</v>
      </c>
      <c r="N83" s="80">
        <f t="shared" si="26"/>
        <v>0</v>
      </c>
      <c r="O83" s="179">
        <v>0</v>
      </c>
      <c r="P83" s="80">
        <f t="shared" si="27"/>
        <v>0</v>
      </c>
      <c r="Q83" s="179">
        <v>0</v>
      </c>
      <c r="R83" s="80">
        <f t="shared" si="28"/>
        <v>0</v>
      </c>
      <c r="S83" s="179">
        <v>0</v>
      </c>
      <c r="T83" s="80">
        <f t="shared" si="29"/>
        <v>0</v>
      </c>
      <c r="U83" s="179">
        <v>0</v>
      </c>
      <c r="V83" s="80">
        <f t="shared" si="30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1"/>
        <v>0</v>
      </c>
      <c r="E84" s="179">
        <v>0</v>
      </c>
      <c r="F84" s="80">
        <f t="shared" si="22"/>
        <v>0</v>
      </c>
      <c r="G84" s="179">
        <v>0</v>
      </c>
      <c r="H84" s="80">
        <f t="shared" si="23"/>
        <v>0</v>
      </c>
      <c r="I84" s="179">
        <v>0</v>
      </c>
      <c r="J84" s="80">
        <f t="shared" si="24"/>
        <v>0</v>
      </c>
      <c r="K84" s="179">
        <v>0</v>
      </c>
      <c r="L84" s="80">
        <f t="shared" si="25"/>
        <v>0</v>
      </c>
      <c r="M84" s="179">
        <v>0</v>
      </c>
      <c r="N84" s="80">
        <f t="shared" si="26"/>
        <v>0</v>
      </c>
      <c r="O84" s="179">
        <v>0</v>
      </c>
      <c r="P84" s="80">
        <f t="shared" si="27"/>
        <v>0</v>
      </c>
      <c r="Q84" s="179">
        <v>0</v>
      </c>
      <c r="R84" s="80">
        <f t="shared" si="28"/>
        <v>0</v>
      </c>
      <c r="S84" s="179">
        <v>0</v>
      </c>
      <c r="T84" s="80">
        <f t="shared" si="29"/>
        <v>0</v>
      </c>
      <c r="U84" s="179">
        <v>0</v>
      </c>
      <c r="V84" s="80">
        <f t="shared" si="30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1"/>
        <v>0</v>
      </c>
      <c r="E85" s="179">
        <v>0</v>
      </c>
      <c r="F85" s="80">
        <f t="shared" si="22"/>
        <v>0</v>
      </c>
      <c r="G85" s="179">
        <v>0</v>
      </c>
      <c r="H85" s="80">
        <f t="shared" si="23"/>
        <v>0</v>
      </c>
      <c r="I85" s="179">
        <v>0</v>
      </c>
      <c r="J85" s="80">
        <f t="shared" si="24"/>
        <v>0</v>
      </c>
      <c r="K85" s="179">
        <v>0</v>
      </c>
      <c r="L85" s="80">
        <f t="shared" si="25"/>
        <v>0</v>
      </c>
      <c r="M85" s="179">
        <v>0</v>
      </c>
      <c r="N85" s="80">
        <f t="shared" si="26"/>
        <v>0</v>
      </c>
      <c r="O85" s="179">
        <v>0</v>
      </c>
      <c r="P85" s="80">
        <f t="shared" si="27"/>
        <v>0</v>
      </c>
      <c r="Q85" s="179">
        <v>0</v>
      </c>
      <c r="R85" s="80">
        <f t="shared" si="28"/>
        <v>0</v>
      </c>
      <c r="S85" s="179">
        <v>0</v>
      </c>
      <c r="T85" s="80">
        <f t="shared" si="29"/>
        <v>0</v>
      </c>
      <c r="U85" s="179">
        <v>0</v>
      </c>
      <c r="V85" s="80">
        <f t="shared" si="30"/>
        <v>0</v>
      </c>
      <c r="X85" s="200"/>
    </row>
    <row r="86" spans="1:24" ht="12.75" customHeight="1">
      <c r="A86" s="2" t="s">
        <v>417</v>
      </c>
      <c r="B86" s="35"/>
      <c r="C86" s="179">
        <v>0</v>
      </c>
      <c r="D86" s="80">
        <f t="shared" si="21"/>
        <v>0</v>
      </c>
      <c r="E86" s="179">
        <v>1900</v>
      </c>
      <c r="F86" s="80">
        <f t="shared" si="22"/>
        <v>4.0000000000000001E-3</v>
      </c>
      <c r="G86" s="179">
        <v>1938</v>
      </c>
      <c r="H86" s="80">
        <f t="shared" si="23"/>
        <v>4.0000000000000001E-3</v>
      </c>
      <c r="I86" s="179">
        <v>1976.7600000000002</v>
      </c>
      <c r="J86" s="80">
        <f t="shared" si="24"/>
        <v>4.0000000000000001E-3</v>
      </c>
      <c r="K86" s="179">
        <v>2016.2952</v>
      </c>
      <c r="L86" s="80">
        <f t="shared" si="25"/>
        <v>4.0000000000000001E-3</v>
      </c>
      <c r="M86" s="179">
        <v>2056.6211040000003</v>
      </c>
      <c r="N86" s="80">
        <f t="shared" si="26"/>
        <v>4.0000000000000001E-3</v>
      </c>
      <c r="O86" s="179">
        <v>2097.75352608</v>
      </c>
      <c r="P86" s="80">
        <f t="shared" si="27"/>
        <v>3.9999999999999992E-3</v>
      </c>
      <c r="Q86" s="179">
        <v>2139.7085966016002</v>
      </c>
      <c r="R86" s="80">
        <f t="shared" si="28"/>
        <v>4.0000000000000001E-3</v>
      </c>
      <c r="S86" s="179">
        <v>2182.5027685336322</v>
      </c>
      <c r="T86" s="80">
        <f t="shared" si="29"/>
        <v>4.0000000000000001E-3</v>
      </c>
      <c r="U86" s="179">
        <v>2226.152823904305</v>
      </c>
      <c r="V86" s="80">
        <f t="shared" si="30"/>
        <v>4.0000000000000001E-3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1"/>
        <v>0</v>
      </c>
      <c r="E87" s="179">
        <v>0</v>
      </c>
      <c r="F87" s="80">
        <f t="shared" si="22"/>
        <v>0</v>
      </c>
      <c r="G87" s="179">
        <v>0</v>
      </c>
      <c r="H87" s="80">
        <f t="shared" si="23"/>
        <v>0</v>
      </c>
      <c r="I87" s="179">
        <v>0</v>
      </c>
      <c r="J87" s="80">
        <f t="shared" si="24"/>
        <v>0</v>
      </c>
      <c r="K87" s="179">
        <v>0</v>
      </c>
      <c r="L87" s="80">
        <f t="shared" si="25"/>
        <v>0</v>
      </c>
      <c r="M87" s="179">
        <v>0</v>
      </c>
      <c r="N87" s="80">
        <f t="shared" si="26"/>
        <v>0</v>
      </c>
      <c r="O87" s="179">
        <v>0</v>
      </c>
      <c r="P87" s="80">
        <f t="shared" si="27"/>
        <v>0</v>
      </c>
      <c r="Q87" s="179">
        <v>0</v>
      </c>
      <c r="R87" s="80">
        <f t="shared" si="28"/>
        <v>0</v>
      </c>
      <c r="S87" s="179">
        <v>0</v>
      </c>
      <c r="T87" s="80">
        <f t="shared" si="29"/>
        <v>0</v>
      </c>
      <c r="U87" s="179">
        <v>0</v>
      </c>
      <c r="V87" s="80">
        <f t="shared" si="30"/>
        <v>0</v>
      </c>
      <c r="X87" s="200"/>
    </row>
    <row r="88" spans="1:24" ht="12.75" customHeight="1">
      <c r="A88" s="2" t="s">
        <v>419</v>
      </c>
      <c r="B88" s="35"/>
      <c r="C88" s="179">
        <v>0</v>
      </c>
      <c r="D88" s="80">
        <f t="shared" si="21"/>
        <v>0</v>
      </c>
      <c r="E88" s="179">
        <v>2422.5</v>
      </c>
      <c r="F88" s="80">
        <f t="shared" si="22"/>
        <v>5.1000000000000004E-3</v>
      </c>
      <c r="G88" s="179">
        <v>2470.9500000000003</v>
      </c>
      <c r="H88" s="80">
        <f t="shared" si="23"/>
        <v>5.1000000000000004E-3</v>
      </c>
      <c r="I88" s="179">
        <v>2520.3690000000006</v>
      </c>
      <c r="J88" s="80">
        <f t="shared" si="24"/>
        <v>5.1000000000000012E-3</v>
      </c>
      <c r="K88" s="179">
        <v>2570.7763800000002</v>
      </c>
      <c r="L88" s="80">
        <f t="shared" si="25"/>
        <v>5.1000000000000004E-3</v>
      </c>
      <c r="M88" s="179">
        <v>2622.1919076000004</v>
      </c>
      <c r="N88" s="80">
        <f t="shared" si="26"/>
        <v>5.1000000000000004E-3</v>
      </c>
      <c r="O88" s="179">
        <v>2674.6357457520003</v>
      </c>
      <c r="P88" s="80">
        <f t="shared" si="27"/>
        <v>5.1000000000000004E-3</v>
      </c>
      <c r="Q88" s="179">
        <v>2728.1284606670406</v>
      </c>
      <c r="R88" s="80">
        <f t="shared" si="28"/>
        <v>5.1000000000000004E-3</v>
      </c>
      <c r="S88" s="179">
        <v>2782.6910298803814</v>
      </c>
      <c r="T88" s="80">
        <f t="shared" si="29"/>
        <v>5.1000000000000004E-3</v>
      </c>
      <c r="U88" s="179">
        <v>2838.344850477989</v>
      </c>
      <c r="V88" s="80">
        <f t="shared" si="30"/>
        <v>5.1000000000000004E-3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1"/>
        <v>0</v>
      </c>
      <c r="E89" s="179">
        <v>0</v>
      </c>
      <c r="F89" s="80">
        <f t="shared" si="22"/>
        <v>0</v>
      </c>
      <c r="G89" s="179">
        <v>0</v>
      </c>
      <c r="H89" s="80">
        <f t="shared" si="23"/>
        <v>0</v>
      </c>
      <c r="I89" s="179">
        <v>0</v>
      </c>
      <c r="J89" s="80">
        <f t="shared" si="24"/>
        <v>0</v>
      </c>
      <c r="K89" s="179">
        <v>0</v>
      </c>
      <c r="L89" s="80">
        <f t="shared" si="25"/>
        <v>0</v>
      </c>
      <c r="M89" s="179">
        <v>0</v>
      </c>
      <c r="N89" s="80">
        <f t="shared" si="26"/>
        <v>0</v>
      </c>
      <c r="O89" s="179">
        <v>0</v>
      </c>
      <c r="P89" s="80">
        <f t="shared" si="27"/>
        <v>0</v>
      </c>
      <c r="Q89" s="179">
        <v>0</v>
      </c>
      <c r="R89" s="80">
        <f t="shared" si="28"/>
        <v>0</v>
      </c>
      <c r="S89" s="179">
        <v>0</v>
      </c>
      <c r="T89" s="80">
        <f t="shared" si="29"/>
        <v>0</v>
      </c>
      <c r="U89" s="179">
        <v>0</v>
      </c>
      <c r="V89" s="80">
        <f t="shared" si="30"/>
        <v>0</v>
      </c>
      <c r="X89" s="200"/>
    </row>
    <row r="90" spans="1:24" ht="12.75" customHeight="1">
      <c r="A90" s="2" t="s">
        <v>421</v>
      </c>
      <c r="B90" s="35"/>
      <c r="C90" s="179">
        <v>0</v>
      </c>
      <c r="D90" s="80">
        <f t="shared" si="21"/>
        <v>0</v>
      </c>
      <c r="E90" s="179">
        <v>95</v>
      </c>
      <c r="F90" s="80">
        <f t="shared" si="22"/>
        <v>2.0000000000000001E-4</v>
      </c>
      <c r="G90" s="179">
        <v>96.899999999999991</v>
      </c>
      <c r="H90" s="80">
        <f t="shared" si="23"/>
        <v>1.9999999999999998E-4</v>
      </c>
      <c r="I90" s="179">
        <v>98.838000000000008</v>
      </c>
      <c r="J90" s="80">
        <f t="shared" si="24"/>
        <v>2.0000000000000001E-4</v>
      </c>
      <c r="K90" s="179">
        <v>100.81476000000001</v>
      </c>
      <c r="L90" s="80">
        <f t="shared" si="25"/>
        <v>2.0000000000000001E-4</v>
      </c>
      <c r="M90" s="179">
        <v>102.83105520000001</v>
      </c>
      <c r="N90" s="80">
        <f t="shared" si="26"/>
        <v>2.0000000000000001E-4</v>
      </c>
      <c r="O90" s="179">
        <v>104.88767630400001</v>
      </c>
      <c r="P90" s="80">
        <f t="shared" si="27"/>
        <v>2.0000000000000001E-4</v>
      </c>
      <c r="Q90" s="179">
        <v>106.98542983008001</v>
      </c>
      <c r="R90" s="80">
        <f t="shared" si="28"/>
        <v>1.9999999999999998E-4</v>
      </c>
      <c r="S90" s="179">
        <v>109.12513842668162</v>
      </c>
      <c r="T90" s="80">
        <f t="shared" si="29"/>
        <v>2.0000000000000001E-4</v>
      </c>
      <c r="U90" s="179">
        <v>111.30764119521525</v>
      </c>
      <c r="V90" s="80">
        <f t="shared" si="30"/>
        <v>2.0000000000000004E-4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21"/>
        <v>0</v>
      </c>
      <c r="E91" s="179">
        <v>0</v>
      </c>
      <c r="F91" s="80">
        <f t="shared" si="22"/>
        <v>0</v>
      </c>
      <c r="G91" s="179">
        <v>0</v>
      </c>
      <c r="H91" s="80">
        <f t="shared" si="23"/>
        <v>0</v>
      </c>
      <c r="I91" s="179">
        <v>0</v>
      </c>
      <c r="J91" s="80">
        <f t="shared" si="24"/>
        <v>0</v>
      </c>
      <c r="K91" s="179">
        <v>0</v>
      </c>
      <c r="L91" s="80">
        <f t="shared" si="25"/>
        <v>0</v>
      </c>
      <c r="M91" s="179">
        <v>0</v>
      </c>
      <c r="N91" s="80">
        <f t="shared" si="26"/>
        <v>0</v>
      </c>
      <c r="O91" s="179">
        <v>0</v>
      </c>
      <c r="P91" s="80">
        <f t="shared" si="27"/>
        <v>0</v>
      </c>
      <c r="Q91" s="179">
        <v>0</v>
      </c>
      <c r="R91" s="80">
        <f t="shared" si="28"/>
        <v>0</v>
      </c>
      <c r="S91" s="179">
        <v>0</v>
      </c>
      <c r="T91" s="80">
        <f t="shared" si="29"/>
        <v>0</v>
      </c>
      <c r="U91" s="179">
        <v>0</v>
      </c>
      <c r="V91" s="80">
        <f t="shared" si="30"/>
        <v>0</v>
      </c>
      <c r="X91" s="200"/>
    </row>
    <row r="92" spans="1:24" ht="12.75" customHeight="1">
      <c r="A92" s="2" t="s">
        <v>423</v>
      </c>
      <c r="B92" s="35"/>
      <c r="C92" s="179">
        <v>0</v>
      </c>
      <c r="D92" s="80">
        <f t="shared" si="21"/>
        <v>0</v>
      </c>
      <c r="E92" s="179">
        <v>2469.9999999999995</v>
      </c>
      <c r="F92" s="80">
        <f t="shared" si="22"/>
        <v>5.1999999999999989E-3</v>
      </c>
      <c r="G92" s="179">
        <v>2519.3999999999996</v>
      </c>
      <c r="H92" s="80">
        <f t="shared" si="23"/>
        <v>5.1999999999999989E-3</v>
      </c>
      <c r="I92" s="179">
        <v>2569.788</v>
      </c>
      <c r="J92" s="80">
        <f t="shared" si="24"/>
        <v>5.1999999999999998E-3</v>
      </c>
      <c r="K92" s="179">
        <v>2621.1837599999994</v>
      </c>
      <c r="L92" s="80">
        <f t="shared" si="25"/>
        <v>5.1999999999999989E-3</v>
      </c>
      <c r="M92" s="179">
        <v>2673.6074352000001</v>
      </c>
      <c r="N92" s="80">
        <f t="shared" si="26"/>
        <v>5.1999999999999998E-3</v>
      </c>
      <c r="O92" s="179">
        <v>2727.0795839039997</v>
      </c>
      <c r="P92" s="80">
        <f t="shared" si="27"/>
        <v>5.1999999999999989E-3</v>
      </c>
      <c r="Q92" s="179">
        <v>2781.62117558208</v>
      </c>
      <c r="R92" s="80">
        <f t="shared" si="28"/>
        <v>5.1999999999999989E-3</v>
      </c>
      <c r="S92" s="179">
        <v>2837.2535990937217</v>
      </c>
      <c r="T92" s="80">
        <f t="shared" si="29"/>
        <v>5.1999999999999998E-3</v>
      </c>
      <c r="U92" s="179">
        <v>2893.9986710755961</v>
      </c>
      <c r="V92" s="80">
        <f t="shared" si="30"/>
        <v>5.1999999999999998E-3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1"/>
        <v>0</v>
      </c>
      <c r="E93" s="179">
        <v>0</v>
      </c>
      <c r="F93" s="80">
        <f t="shared" si="22"/>
        <v>0</v>
      </c>
      <c r="G93" s="179">
        <v>0</v>
      </c>
      <c r="H93" s="80">
        <f t="shared" si="23"/>
        <v>0</v>
      </c>
      <c r="I93" s="179">
        <v>0</v>
      </c>
      <c r="J93" s="80">
        <f t="shared" si="24"/>
        <v>0</v>
      </c>
      <c r="K93" s="179">
        <v>0</v>
      </c>
      <c r="L93" s="80">
        <f t="shared" si="25"/>
        <v>0</v>
      </c>
      <c r="M93" s="179">
        <v>0</v>
      </c>
      <c r="N93" s="80">
        <f t="shared" si="26"/>
        <v>0</v>
      </c>
      <c r="O93" s="179">
        <v>0</v>
      </c>
      <c r="P93" s="80">
        <f t="shared" si="27"/>
        <v>0</v>
      </c>
      <c r="Q93" s="179">
        <v>0</v>
      </c>
      <c r="R93" s="80">
        <f t="shared" si="28"/>
        <v>0</v>
      </c>
      <c r="S93" s="179">
        <v>0</v>
      </c>
      <c r="T93" s="80">
        <f t="shared" si="29"/>
        <v>0</v>
      </c>
      <c r="U93" s="179">
        <v>0</v>
      </c>
      <c r="V93" s="80">
        <f t="shared" si="30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1"/>
        <v>0</v>
      </c>
      <c r="E94" s="179">
        <v>0</v>
      </c>
      <c r="F94" s="80">
        <f t="shared" si="22"/>
        <v>0</v>
      </c>
      <c r="G94" s="179">
        <v>0</v>
      </c>
      <c r="H94" s="80">
        <f t="shared" si="23"/>
        <v>0</v>
      </c>
      <c r="I94" s="179">
        <v>0</v>
      </c>
      <c r="J94" s="80">
        <f t="shared" si="24"/>
        <v>0</v>
      </c>
      <c r="K94" s="179">
        <v>0</v>
      </c>
      <c r="L94" s="80">
        <f t="shared" si="25"/>
        <v>0</v>
      </c>
      <c r="M94" s="179">
        <v>0</v>
      </c>
      <c r="N94" s="80">
        <f t="shared" si="26"/>
        <v>0</v>
      </c>
      <c r="O94" s="179">
        <v>0</v>
      </c>
      <c r="P94" s="80">
        <f t="shared" si="27"/>
        <v>0</v>
      </c>
      <c r="Q94" s="179">
        <v>0</v>
      </c>
      <c r="R94" s="80">
        <f t="shared" si="28"/>
        <v>0</v>
      </c>
      <c r="S94" s="179">
        <v>0</v>
      </c>
      <c r="T94" s="80">
        <f t="shared" si="29"/>
        <v>0</v>
      </c>
      <c r="U94" s="179">
        <v>0</v>
      </c>
      <c r="V94" s="80">
        <f t="shared" si="30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1"/>
        <v>0</v>
      </c>
      <c r="E95" s="179">
        <v>0</v>
      </c>
      <c r="F95" s="80">
        <f t="shared" si="22"/>
        <v>0</v>
      </c>
      <c r="G95" s="179">
        <v>0</v>
      </c>
      <c r="H95" s="80">
        <f t="shared" si="23"/>
        <v>0</v>
      </c>
      <c r="I95" s="179">
        <v>0</v>
      </c>
      <c r="J95" s="80">
        <f t="shared" si="24"/>
        <v>0</v>
      </c>
      <c r="K95" s="179">
        <v>0</v>
      </c>
      <c r="L95" s="80">
        <f t="shared" si="25"/>
        <v>0</v>
      </c>
      <c r="M95" s="179">
        <v>0</v>
      </c>
      <c r="N95" s="80">
        <f t="shared" si="26"/>
        <v>0</v>
      </c>
      <c r="O95" s="179">
        <v>0</v>
      </c>
      <c r="P95" s="80">
        <f t="shared" si="27"/>
        <v>0</v>
      </c>
      <c r="Q95" s="179">
        <v>0</v>
      </c>
      <c r="R95" s="80">
        <f t="shared" si="28"/>
        <v>0</v>
      </c>
      <c r="S95" s="179">
        <v>0</v>
      </c>
      <c r="T95" s="80">
        <f t="shared" si="29"/>
        <v>0</v>
      </c>
      <c r="U95" s="179">
        <v>0</v>
      </c>
      <c r="V95" s="80">
        <f t="shared" si="30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1"/>
        <v>0</v>
      </c>
      <c r="E96" s="179">
        <v>0</v>
      </c>
      <c r="F96" s="80">
        <f t="shared" si="22"/>
        <v>0</v>
      </c>
      <c r="G96" s="179">
        <v>0</v>
      </c>
      <c r="H96" s="80">
        <f t="shared" si="23"/>
        <v>0</v>
      </c>
      <c r="I96" s="179">
        <v>0</v>
      </c>
      <c r="J96" s="80">
        <f t="shared" si="24"/>
        <v>0</v>
      </c>
      <c r="K96" s="179">
        <v>0</v>
      </c>
      <c r="L96" s="80">
        <f t="shared" si="25"/>
        <v>0</v>
      </c>
      <c r="M96" s="179">
        <v>0</v>
      </c>
      <c r="N96" s="80">
        <f t="shared" si="26"/>
        <v>0</v>
      </c>
      <c r="O96" s="179">
        <v>0</v>
      </c>
      <c r="P96" s="80">
        <f t="shared" si="27"/>
        <v>0</v>
      </c>
      <c r="Q96" s="179">
        <v>0</v>
      </c>
      <c r="R96" s="80">
        <f t="shared" si="28"/>
        <v>0</v>
      </c>
      <c r="S96" s="179">
        <v>0</v>
      </c>
      <c r="T96" s="80">
        <f t="shared" si="29"/>
        <v>0</v>
      </c>
      <c r="U96" s="179">
        <v>0</v>
      </c>
      <c r="V96" s="80">
        <f t="shared" si="30"/>
        <v>0</v>
      </c>
      <c r="X96" s="200"/>
    </row>
    <row r="97" spans="1:24" ht="12.75" customHeight="1">
      <c r="A97" s="2" t="s">
        <v>428</v>
      </c>
      <c r="B97" s="35"/>
      <c r="C97" s="179">
        <v>0</v>
      </c>
      <c r="D97" s="80">
        <f t="shared" si="21"/>
        <v>0</v>
      </c>
      <c r="E97" s="179">
        <v>9834.6</v>
      </c>
      <c r="F97" s="80">
        <f t="shared" si="22"/>
        <v>2.070442105263158E-2</v>
      </c>
      <c r="G97" s="179">
        <v>7053.445999999999</v>
      </c>
      <c r="H97" s="80">
        <f t="shared" si="23"/>
        <v>1.455819607843137E-2</v>
      </c>
      <c r="I97" s="179">
        <v>7261.6743844999974</v>
      </c>
      <c r="J97" s="80">
        <f t="shared" si="24"/>
        <v>1.4694094142940969E-2</v>
      </c>
      <c r="K97" s="179">
        <v>7443.2162441124965</v>
      </c>
      <c r="L97" s="80">
        <f t="shared" si="25"/>
        <v>1.4766124016190678E-2</v>
      </c>
      <c r="M97" s="179">
        <v>7629.2966502153104</v>
      </c>
      <c r="N97" s="80">
        <f t="shared" si="26"/>
        <v>1.4838506977054361E-2</v>
      </c>
      <c r="O97" s="179">
        <v>7820.0290664706909</v>
      </c>
      <c r="P97" s="80">
        <f t="shared" si="27"/>
        <v>1.491124475635364E-2</v>
      </c>
      <c r="Q97" s="179">
        <v>8015.5297931324594</v>
      </c>
      <c r="R97" s="80">
        <f t="shared" si="28"/>
        <v>1.4984339093394592E-2</v>
      </c>
      <c r="S97" s="179">
        <v>8215.9180379607697</v>
      </c>
      <c r="T97" s="80">
        <f t="shared" si="29"/>
        <v>1.505779173600927E-2</v>
      </c>
      <c r="U97" s="179">
        <v>8421.3159889097878</v>
      </c>
      <c r="V97" s="80">
        <f t="shared" si="30"/>
        <v>1.513160444059755E-2</v>
      </c>
      <c r="X97" s="200"/>
    </row>
    <row r="98" spans="1:24" ht="12.75" customHeight="1">
      <c r="A98" s="117" t="s">
        <v>431</v>
      </c>
      <c r="B98" s="35"/>
      <c r="C98" s="179">
        <v>0</v>
      </c>
      <c r="D98" s="80">
        <f t="shared" si="21"/>
        <v>0</v>
      </c>
      <c r="E98" s="179">
        <v>569.99999999999989</v>
      </c>
      <c r="F98" s="80">
        <f t="shared" si="22"/>
        <v>1.1999999999999997E-3</v>
      </c>
      <c r="G98" s="179">
        <v>581.39999999999986</v>
      </c>
      <c r="H98" s="80">
        <f t="shared" si="23"/>
        <v>1.1999999999999997E-3</v>
      </c>
      <c r="I98" s="179">
        <v>593.02800000000002</v>
      </c>
      <c r="J98" s="80">
        <f t="shared" si="24"/>
        <v>1.2000000000000001E-3</v>
      </c>
      <c r="K98" s="179">
        <v>604.88855999999987</v>
      </c>
      <c r="L98" s="80">
        <f t="shared" si="25"/>
        <v>1.1999999999999997E-3</v>
      </c>
      <c r="M98" s="179">
        <v>616.9863312</v>
      </c>
      <c r="N98" s="80">
        <f t="shared" si="26"/>
        <v>1.1999999999999999E-3</v>
      </c>
      <c r="O98" s="179">
        <v>629.32605782399992</v>
      </c>
      <c r="P98" s="80">
        <f t="shared" si="27"/>
        <v>1.1999999999999997E-3</v>
      </c>
      <c r="Q98" s="179">
        <v>641.91257898047991</v>
      </c>
      <c r="R98" s="80">
        <f t="shared" si="28"/>
        <v>1.1999999999999997E-3</v>
      </c>
      <c r="S98" s="179">
        <v>654.75083056008964</v>
      </c>
      <c r="T98" s="80">
        <f t="shared" si="29"/>
        <v>1.1999999999999999E-3</v>
      </c>
      <c r="U98" s="179">
        <v>667.84584717129144</v>
      </c>
      <c r="V98" s="80">
        <f t="shared" si="30"/>
        <v>1.2000000000000001E-3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1"/>
        <v>0</v>
      </c>
      <c r="E99" s="179">
        <v>0</v>
      </c>
      <c r="F99" s="80">
        <f t="shared" si="22"/>
        <v>0</v>
      </c>
      <c r="G99" s="179">
        <v>0</v>
      </c>
      <c r="H99" s="80">
        <f t="shared" si="23"/>
        <v>0</v>
      </c>
      <c r="I99" s="179">
        <v>0</v>
      </c>
      <c r="J99" s="80">
        <f t="shared" si="24"/>
        <v>0</v>
      </c>
      <c r="K99" s="179">
        <v>0</v>
      </c>
      <c r="L99" s="80">
        <f t="shared" si="25"/>
        <v>0</v>
      </c>
      <c r="M99" s="179">
        <v>0</v>
      </c>
      <c r="N99" s="80">
        <f t="shared" si="26"/>
        <v>0</v>
      </c>
      <c r="O99" s="179">
        <v>0</v>
      </c>
      <c r="P99" s="80">
        <f t="shared" si="27"/>
        <v>0</v>
      </c>
      <c r="Q99" s="179">
        <v>0</v>
      </c>
      <c r="R99" s="80">
        <f t="shared" si="28"/>
        <v>0</v>
      </c>
      <c r="S99" s="179">
        <v>0</v>
      </c>
      <c r="T99" s="80">
        <f t="shared" si="29"/>
        <v>0</v>
      </c>
      <c r="U99" s="179">
        <v>0</v>
      </c>
      <c r="V99" s="80">
        <f t="shared" si="30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1"/>
        <v>0</v>
      </c>
      <c r="E100" s="179">
        <v>0</v>
      </c>
      <c r="F100" s="80">
        <f t="shared" si="22"/>
        <v>0</v>
      </c>
      <c r="G100" s="179">
        <v>0</v>
      </c>
      <c r="H100" s="80">
        <f t="shared" si="23"/>
        <v>0</v>
      </c>
      <c r="I100" s="179">
        <v>0</v>
      </c>
      <c r="J100" s="80">
        <f t="shared" si="24"/>
        <v>0</v>
      </c>
      <c r="K100" s="179">
        <v>0</v>
      </c>
      <c r="L100" s="80">
        <f t="shared" si="25"/>
        <v>0</v>
      </c>
      <c r="M100" s="179">
        <v>0</v>
      </c>
      <c r="N100" s="80">
        <f t="shared" si="26"/>
        <v>0</v>
      </c>
      <c r="O100" s="179">
        <v>0</v>
      </c>
      <c r="P100" s="80">
        <f t="shared" si="27"/>
        <v>0</v>
      </c>
      <c r="Q100" s="179">
        <v>0</v>
      </c>
      <c r="R100" s="80">
        <f t="shared" si="28"/>
        <v>0</v>
      </c>
      <c r="S100" s="179">
        <v>0</v>
      </c>
      <c r="T100" s="80">
        <f t="shared" si="29"/>
        <v>0</v>
      </c>
      <c r="U100" s="179">
        <v>0</v>
      </c>
      <c r="V100" s="80">
        <f t="shared" si="30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1"/>
        <v>0</v>
      </c>
      <c r="E101" s="179"/>
      <c r="F101" s="80">
        <f t="shared" si="22"/>
        <v>0</v>
      </c>
      <c r="G101" s="179"/>
      <c r="H101" s="80">
        <f t="shared" si="23"/>
        <v>0</v>
      </c>
      <c r="I101" s="179">
        <v>0</v>
      </c>
      <c r="J101" s="80">
        <f t="shared" si="24"/>
        <v>0</v>
      </c>
      <c r="K101" s="179">
        <v>0</v>
      </c>
      <c r="L101" s="80">
        <f t="shared" si="25"/>
        <v>0</v>
      </c>
      <c r="M101" s="179">
        <v>0</v>
      </c>
      <c r="N101" s="80">
        <f t="shared" si="26"/>
        <v>0</v>
      </c>
      <c r="O101" s="179">
        <v>0</v>
      </c>
      <c r="P101" s="80">
        <f t="shared" si="27"/>
        <v>0</v>
      </c>
      <c r="Q101" s="179">
        <v>0</v>
      </c>
      <c r="R101" s="80">
        <f t="shared" si="28"/>
        <v>0</v>
      </c>
      <c r="S101" s="179">
        <v>0</v>
      </c>
      <c r="T101" s="80">
        <f t="shared" si="29"/>
        <v>0</v>
      </c>
      <c r="U101" s="179">
        <v>0</v>
      </c>
      <c r="V101" s="80">
        <f t="shared" si="30"/>
        <v>0</v>
      </c>
      <c r="X101" s="200"/>
    </row>
    <row r="102" spans="1:24" ht="12.75" customHeight="1">
      <c r="A102" s="117" t="s">
        <v>433</v>
      </c>
      <c r="B102" s="35"/>
      <c r="C102" s="179">
        <v>0</v>
      </c>
      <c r="D102" s="80">
        <f t="shared" si="21"/>
        <v>0</v>
      </c>
      <c r="E102" s="179">
        <v>4749.9999999999991</v>
      </c>
      <c r="F102" s="80">
        <f t="shared" si="22"/>
        <v>9.9999999999999985E-3</v>
      </c>
      <c r="G102" s="179">
        <v>4845</v>
      </c>
      <c r="H102" s="80">
        <f t="shared" si="23"/>
        <v>0.01</v>
      </c>
      <c r="I102" s="179">
        <v>4941.9000000000005</v>
      </c>
      <c r="J102" s="80">
        <f t="shared" si="24"/>
        <v>1.0000000000000002E-2</v>
      </c>
      <c r="K102" s="179">
        <v>5040.7380000000003</v>
      </c>
      <c r="L102" s="80">
        <f t="shared" si="25"/>
        <v>0.01</v>
      </c>
      <c r="M102" s="179">
        <v>5141.5527599999996</v>
      </c>
      <c r="N102" s="80">
        <f t="shared" si="26"/>
        <v>9.9999999999999985E-3</v>
      </c>
      <c r="O102" s="179">
        <v>5244.3838152000008</v>
      </c>
      <c r="P102" s="80">
        <f t="shared" si="27"/>
        <v>0.01</v>
      </c>
      <c r="Q102" s="179">
        <v>5349.2714915040006</v>
      </c>
      <c r="R102" s="80">
        <f t="shared" si="28"/>
        <v>0.01</v>
      </c>
      <c r="S102" s="179">
        <v>5456.2569213340803</v>
      </c>
      <c r="T102" s="80">
        <f t="shared" si="29"/>
        <v>0.01</v>
      </c>
      <c r="U102" s="179">
        <v>5565.3820597607619</v>
      </c>
      <c r="V102" s="80">
        <f t="shared" si="30"/>
        <v>0.01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1"/>
        <v>0</v>
      </c>
      <c r="E103" s="179">
        <v>0</v>
      </c>
      <c r="F103" s="80">
        <f t="shared" si="22"/>
        <v>0</v>
      </c>
      <c r="G103" s="179">
        <v>0</v>
      </c>
      <c r="H103" s="80">
        <f t="shared" si="23"/>
        <v>0</v>
      </c>
      <c r="I103" s="179">
        <v>0</v>
      </c>
      <c r="J103" s="80">
        <f t="shared" si="24"/>
        <v>0</v>
      </c>
      <c r="K103" s="179">
        <v>0</v>
      </c>
      <c r="L103" s="80">
        <f t="shared" si="25"/>
        <v>0</v>
      </c>
      <c r="M103" s="179">
        <v>0</v>
      </c>
      <c r="N103" s="80">
        <f t="shared" si="26"/>
        <v>0</v>
      </c>
      <c r="O103" s="179">
        <v>0</v>
      </c>
      <c r="P103" s="80">
        <f t="shared" si="27"/>
        <v>0</v>
      </c>
      <c r="Q103" s="179">
        <v>0</v>
      </c>
      <c r="R103" s="80">
        <f t="shared" si="28"/>
        <v>0</v>
      </c>
      <c r="S103" s="179">
        <v>0</v>
      </c>
      <c r="T103" s="80">
        <f t="shared" si="29"/>
        <v>0</v>
      </c>
      <c r="U103" s="179">
        <v>0</v>
      </c>
      <c r="V103" s="80">
        <f t="shared" si="30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1"/>
        <v>0</v>
      </c>
      <c r="E104" s="179">
        <v>0</v>
      </c>
      <c r="F104" s="80">
        <f t="shared" si="22"/>
        <v>0</v>
      </c>
      <c r="G104" s="179">
        <v>0</v>
      </c>
      <c r="H104" s="80">
        <f t="shared" si="23"/>
        <v>0</v>
      </c>
      <c r="I104" s="179">
        <v>0</v>
      </c>
      <c r="J104" s="80">
        <f t="shared" si="24"/>
        <v>0</v>
      </c>
      <c r="K104" s="179">
        <v>0</v>
      </c>
      <c r="L104" s="80">
        <f t="shared" si="25"/>
        <v>0</v>
      </c>
      <c r="M104" s="179">
        <v>0</v>
      </c>
      <c r="N104" s="80">
        <f t="shared" si="26"/>
        <v>0</v>
      </c>
      <c r="O104" s="179">
        <v>0</v>
      </c>
      <c r="P104" s="80">
        <f t="shared" si="27"/>
        <v>0</v>
      </c>
      <c r="Q104" s="179">
        <v>0</v>
      </c>
      <c r="R104" s="80">
        <f t="shared" si="28"/>
        <v>0</v>
      </c>
      <c r="S104" s="179">
        <v>0</v>
      </c>
      <c r="T104" s="80">
        <f t="shared" si="29"/>
        <v>0</v>
      </c>
      <c r="U104" s="179">
        <v>0</v>
      </c>
      <c r="V104" s="80">
        <f t="shared" si="30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0</v>
      </c>
      <c r="D105" s="83">
        <f t="shared" ref="D105" si="31">IFERROR(C105/C$28,0)</f>
        <v>0</v>
      </c>
      <c r="E105" s="82">
        <f>SUM(E52:E104)</f>
        <v>51761.577215568592</v>
      </c>
      <c r="F105" s="83">
        <f t="shared" ref="F105" si="32">IFERROR(E105/E$28,0)</f>
        <v>0.10897174150646019</v>
      </c>
      <c r="G105" s="82">
        <f>SUM(G52:G104)</f>
        <v>50373.824256339474</v>
      </c>
      <c r="H105" s="83">
        <f t="shared" ref="H105" si="33">IFERROR(G105/G$28,0)</f>
        <v>0.10397074149915268</v>
      </c>
      <c r="I105" s="82">
        <f>SUM(I52:I104)</f>
        <v>51409.970084056062</v>
      </c>
      <c r="J105" s="83">
        <f t="shared" ref="J105" si="34">IFERROR(I105/I$28,0)</f>
        <v>0.10402875429299674</v>
      </c>
      <c r="K105" s="82">
        <f>SUM(K52:K104)</f>
        <v>52423.250108454253</v>
      </c>
      <c r="L105" s="83">
        <f t="shared" ref="L105" si="35">IFERROR(K105/K$28,0)</f>
        <v>0.10399915668787835</v>
      </c>
      <c r="M105" s="82">
        <f>SUM(M52:M104)</f>
        <v>53499.503740018452</v>
      </c>
      <c r="N105" s="83">
        <f t="shared" ref="N105" si="36">IFERROR(M105/M$28,0)</f>
        <v>0.10405320384190407</v>
      </c>
      <c r="O105" s="82">
        <f>SUM(O52:O104)</f>
        <v>54598.296280286762</v>
      </c>
      <c r="P105" s="83">
        <f t="shared" ref="P105" si="37">IFERROR(O105/O$28,0)</f>
        <v>0.10410812443216381</v>
      </c>
      <c r="Q105" s="82">
        <f>SUM(Q52:Q104)</f>
        <v>55719.943587541384</v>
      </c>
      <c r="R105" s="83">
        <f t="shared" ref="R105" si="38">IFERROR(Q105/Q$28,0)</f>
        <v>0.10416361120582267</v>
      </c>
      <c r="S105" s="82">
        <f>SUM(S52:S104)</f>
        <v>56864.772037840419</v>
      </c>
      <c r="T105" s="83">
        <f t="shared" ref="T105" si="39">IFERROR(S105/S$28,0)</f>
        <v>0.10421938126758283</v>
      </c>
      <c r="U105" s="82">
        <f>SUM(U52:U104)</f>
        <v>58217.100983709599</v>
      </c>
      <c r="V105" s="83">
        <f t="shared" si="30"/>
        <v>0.10460575816462844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0</v>
      </c>
      <c r="D107" s="83">
        <f>IFERROR(C107/C$28,0)</f>
        <v>0</v>
      </c>
      <c r="E107" s="82">
        <f>E28-E33-E46-E105</f>
        <v>-349.57721556859178</v>
      </c>
      <c r="F107" s="83">
        <f>IFERROR(E107/E$28,0)</f>
        <v>-7.3595203277598267E-4</v>
      </c>
      <c r="G107" s="82">
        <f>G28-G33-G46-G105</f>
        <v>81584.995743660562</v>
      </c>
      <c r="H107" s="83">
        <f>IFERROR(G107/G$28,0)</f>
        <v>0.16839008409424264</v>
      </c>
      <c r="I107" s="82">
        <f>I28-I33-I46-I105</f>
        <v>81414.945405944018</v>
      </c>
      <c r="J107" s="83">
        <f>IFERROR(I107/I$28,0)</f>
        <v>0.16474421863239649</v>
      </c>
      <c r="K107" s="82">
        <f>K28-K33-K46-K105</f>
        <v>82091.4612687958</v>
      </c>
      <c r="L107" s="83">
        <f>IFERROR(K107/K$28,0)</f>
        <v>0.16285603669303145</v>
      </c>
      <c r="M107" s="82">
        <f>M28-M33-M46-M105</f>
        <v>82714.631881662863</v>
      </c>
      <c r="N107" s="83">
        <f>IFERROR(M107/M$28,0)</f>
        <v>0.16087480911440236</v>
      </c>
      <c r="O107" s="82">
        <f>O28-O33-O46-O105</f>
        <v>83324.480321136623</v>
      </c>
      <c r="P107" s="83">
        <f>IFERROR(O107/O$28,0)</f>
        <v>0.15888326113667359</v>
      </c>
      <c r="Q107" s="82">
        <f>Q28-Q33-Q46-Q105</f>
        <v>83920.255769901647</v>
      </c>
      <c r="R107" s="83">
        <f>IFERROR(Q107/Q$28,0)</f>
        <v>0.15688165370403856</v>
      </c>
      <c r="S107" s="82">
        <f>S28-S33-S46-S105</f>
        <v>84501.17271134234</v>
      </c>
      <c r="T107" s="83">
        <f>IFERROR(S107/S$28,0)</f>
        <v>0.15487022317615023</v>
      </c>
      <c r="U107" s="82">
        <f>U28-U33-U46-U105</f>
        <v>84882.42760016254</v>
      </c>
      <c r="V107" s="83">
        <f>IFERROR(U107/U$28,0)</f>
        <v>0.15251859924206421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  <row r="122" spans="1:22" ht="12.75" customHeight="1">
      <c r="A122" s="274" t="s">
        <v>467</v>
      </c>
      <c r="B122" s="274"/>
      <c r="C122" s="274"/>
      <c r="D122" s="274"/>
    </row>
    <row r="123" spans="1:22" ht="12.75" customHeight="1">
      <c r="A123" s="233" t="s">
        <v>468</v>
      </c>
      <c r="B123" s="234"/>
      <c r="C123" s="234"/>
      <c r="D123" s="234" t="s">
        <v>469</v>
      </c>
    </row>
    <row r="124" spans="1:22" ht="12.75" customHeight="1">
      <c r="A124" s="235" t="s">
        <v>470</v>
      </c>
      <c r="B124" s="236"/>
      <c r="C124" s="236"/>
      <c r="D124" s="237">
        <v>4</v>
      </c>
    </row>
    <row r="125" spans="1:22" ht="12.75" customHeight="1">
      <c r="A125" s="235" t="s">
        <v>471</v>
      </c>
      <c r="B125" s="236"/>
      <c r="C125" s="236"/>
      <c r="D125" s="237">
        <v>5</v>
      </c>
    </row>
    <row r="126" spans="1:22" ht="12.75" customHeight="1">
      <c r="A126" s="235" t="s">
        <v>472</v>
      </c>
      <c r="B126" s="236"/>
      <c r="C126" s="236"/>
      <c r="D126" s="237">
        <v>4</v>
      </c>
    </row>
    <row r="127" spans="1:22" ht="12.75" customHeight="1">
      <c r="A127" s="235" t="s">
        <v>473</v>
      </c>
      <c r="B127" s="236"/>
      <c r="C127" s="236"/>
      <c r="D127" s="237">
        <v>4</v>
      </c>
    </row>
    <row r="128" spans="1:22" ht="12.75" customHeight="1">
      <c r="A128" s="235" t="s">
        <v>474</v>
      </c>
      <c r="B128" s="236"/>
      <c r="C128" s="236"/>
      <c r="D128" s="237">
        <v>4</v>
      </c>
    </row>
    <row r="129" spans="1:4" ht="12.75" customHeight="1">
      <c r="A129" s="235" t="s">
        <v>475</v>
      </c>
      <c r="B129" s="236"/>
      <c r="C129" s="236"/>
      <c r="D129" s="237">
        <v>5</v>
      </c>
    </row>
    <row r="130" spans="1:4" ht="12.75" customHeight="1">
      <c r="A130" s="235" t="s">
        <v>476</v>
      </c>
      <c r="B130" s="236"/>
      <c r="C130" s="236"/>
      <c r="D130" s="237">
        <v>2</v>
      </c>
    </row>
    <row r="131" spans="1:4" ht="12.75" customHeight="1">
      <c r="A131" s="235" t="s">
        <v>477</v>
      </c>
      <c r="B131" s="236"/>
      <c r="C131" s="236"/>
      <c r="D131" s="237">
        <v>6</v>
      </c>
    </row>
    <row r="132" spans="1:4" ht="12.75" customHeight="1">
      <c r="A132" s="235" t="s">
        <v>478</v>
      </c>
      <c r="B132" s="236"/>
      <c r="C132" s="236"/>
      <c r="D132" s="237">
        <v>3</v>
      </c>
    </row>
    <row r="133" spans="1:4" ht="12.75" customHeight="1">
      <c r="A133" s="235" t="s">
        <v>479</v>
      </c>
      <c r="B133" s="236"/>
      <c r="C133" s="236"/>
      <c r="D133" s="237">
        <v>4</v>
      </c>
    </row>
    <row r="134" spans="1:4" ht="12.75" customHeight="1">
      <c r="A134" s="235" t="s">
        <v>480</v>
      </c>
      <c r="B134" s="236"/>
      <c r="C134" s="236"/>
      <c r="D134" s="237">
        <v>2</v>
      </c>
    </row>
    <row r="135" spans="1:4" ht="12.75" customHeight="1">
      <c r="A135" s="235" t="s">
        <v>481</v>
      </c>
      <c r="B135" s="236"/>
      <c r="C135" s="236"/>
      <c r="D135" s="237">
        <v>4</v>
      </c>
    </row>
    <row r="136" spans="1:4" ht="12.75" customHeight="1">
      <c r="A136" s="235" t="s">
        <v>482</v>
      </c>
      <c r="B136" s="236"/>
      <c r="C136" s="236"/>
      <c r="D136" s="237">
        <v>4</v>
      </c>
    </row>
    <row r="137" spans="1:4" ht="12.75" customHeight="1">
      <c r="A137" s="235" t="s">
        <v>483</v>
      </c>
      <c r="B137" s="236"/>
      <c r="C137" s="236"/>
      <c r="D137" s="237">
        <v>2</v>
      </c>
    </row>
    <row r="138" spans="1:4" ht="12.75" customHeight="1">
      <c r="A138" s="235" t="s">
        <v>484</v>
      </c>
      <c r="B138" s="236"/>
      <c r="C138" s="236"/>
      <c r="D138" s="237">
        <v>3</v>
      </c>
    </row>
    <row r="139" spans="1:4" ht="12.75" customHeight="1">
      <c r="A139" s="235" t="s">
        <v>485</v>
      </c>
      <c r="B139" s="236"/>
      <c r="C139" s="236"/>
      <c r="D139" s="237">
        <v>5</v>
      </c>
    </row>
    <row r="140" spans="1:4" ht="12.75" customHeight="1">
      <c r="A140" s="235" t="s">
        <v>486</v>
      </c>
      <c r="B140" s="236"/>
      <c r="C140" s="236"/>
      <c r="D140" s="237">
        <v>4</v>
      </c>
    </row>
    <row r="141" spans="1:4" ht="12.75" customHeight="1">
      <c r="A141" s="235" t="s">
        <v>487</v>
      </c>
      <c r="B141" s="236"/>
      <c r="C141" s="236"/>
      <c r="D141" s="237">
        <v>4</v>
      </c>
    </row>
    <row r="142" spans="1:4" ht="12.75" customHeight="1">
      <c r="A142" s="235" t="s">
        <v>488</v>
      </c>
      <c r="B142" s="236"/>
      <c r="C142" s="236"/>
      <c r="D142" s="237">
        <v>6</v>
      </c>
    </row>
    <row r="143" spans="1:4" ht="12.75" customHeight="1">
      <c r="A143" s="235" t="s">
        <v>489</v>
      </c>
      <c r="B143" s="236"/>
      <c r="C143" s="236"/>
      <c r="D143" s="237">
        <v>6</v>
      </c>
    </row>
    <row r="144" spans="1:4" ht="12.75" customHeight="1">
      <c r="A144" s="235" t="s">
        <v>490</v>
      </c>
      <c r="B144" s="236"/>
      <c r="C144" s="236"/>
      <c r="D144" s="237">
        <v>5</v>
      </c>
    </row>
    <row r="145" spans="1:4" ht="12.75" customHeight="1">
      <c r="A145" s="235" t="s">
        <v>491</v>
      </c>
      <c r="B145" s="236"/>
      <c r="C145" s="236"/>
      <c r="D145" s="237">
        <v>6</v>
      </c>
    </row>
    <row r="146" spans="1:4" ht="12.75" customHeight="1">
      <c r="A146" s="235" t="s">
        <v>492</v>
      </c>
      <c r="B146" s="236"/>
      <c r="C146" s="236"/>
      <c r="D146" s="237">
        <v>7.5</v>
      </c>
    </row>
  </sheetData>
  <mergeCells count="1">
    <mergeCell ref="A122:D122"/>
  </mergeCells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7" tint="0.39997558519241921"/>
  </sheetPr>
  <dimension ref="A1:X119"/>
  <sheetViews>
    <sheetView topLeftCell="A33" zoomScale="70" zoomScaleNormal="70" workbookViewId="0" xr3:uid="{44C9DB06-433C-50F5-8210-7EB2F2901AA3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45.57031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73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/>
      <c r="H3" s="116"/>
      <c r="I3" s="116"/>
      <c r="V3" s="32"/>
    </row>
    <row r="4" spans="1:22" ht="12.75" customHeight="1">
      <c r="A4" s="1" t="s">
        <v>346</v>
      </c>
      <c r="B4" s="109"/>
      <c r="D4" s="118" t="s">
        <v>347</v>
      </c>
      <c r="G4" s="115"/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285</v>
      </c>
      <c r="E8" s="109">
        <f>+C8</f>
        <v>285</v>
      </c>
      <c r="G8" s="109">
        <f>+E8</f>
        <v>285</v>
      </c>
      <c r="I8" s="109">
        <f>+G8</f>
        <v>285</v>
      </c>
      <c r="K8" s="109">
        <f>+I8</f>
        <v>285</v>
      </c>
      <c r="M8" s="109">
        <f>+K8</f>
        <v>285</v>
      </c>
      <c r="O8" s="109">
        <f>+M8</f>
        <v>285</v>
      </c>
      <c r="Q8" s="109">
        <f>+O8</f>
        <v>285</v>
      </c>
      <c r="S8" s="109">
        <f>+Q8</f>
        <v>285</v>
      </c>
      <c r="U8" s="109">
        <f>+S8</f>
        <v>285</v>
      </c>
    </row>
    <row r="10" spans="1:22" ht="12.75" customHeight="1">
      <c r="A10" s="2" t="s">
        <v>449</v>
      </c>
      <c r="C10" s="209">
        <f>+C14/C8/C12</f>
        <v>335.53829930016298</v>
      </c>
      <c r="D10" s="186"/>
      <c r="E10" s="209">
        <f>+E14/E8/E12</f>
        <v>366.16041009965932</v>
      </c>
      <c r="F10" s="186"/>
      <c r="G10" s="209">
        <f>+G14/G8/G12</f>
        <v>371.46114383431507</v>
      </c>
      <c r="H10" s="186"/>
      <c r="I10" s="209">
        <f>+I14/I8/I12</f>
        <v>376.84966455636396</v>
      </c>
      <c r="J10" s="186"/>
      <c r="K10" s="209">
        <f>+K14/K8/K12</f>
        <v>382.32744360902257</v>
      </c>
      <c r="L10" s="186"/>
      <c r="M10" s="209">
        <f>+M14/M8/M12</f>
        <v>387.89597831167617</v>
      </c>
      <c r="N10" s="186"/>
      <c r="O10" s="209">
        <f t="shared" ref="O10" si="0">+O14/O8/O12</f>
        <v>393.55679241212573</v>
      </c>
      <c r="P10" s="186"/>
      <c r="Q10" s="209">
        <f t="shared" ref="Q10" si="1">+Q14/Q8/Q12</f>
        <v>399.31143654722041</v>
      </c>
      <c r="R10" s="186"/>
      <c r="S10" s="209">
        <f>+S14/S8/S12</f>
        <v>405.16148871202068</v>
      </c>
      <c r="T10" s="186"/>
      <c r="U10" s="209">
        <f>+U14/U8/U12</f>
        <v>411.10855473763718</v>
      </c>
    </row>
    <row r="12" spans="1:22" ht="12.75" customHeight="1">
      <c r="A12" s="2" t="s">
        <v>450</v>
      </c>
      <c r="C12" s="110">
        <v>5.49</v>
      </c>
      <c r="E12" s="110">
        <v>5.51</v>
      </c>
      <c r="G12" s="110">
        <v>5.54</v>
      </c>
      <c r="I12" s="110">
        <v>5.57</v>
      </c>
      <c r="K12" s="110">
        <v>5.6</v>
      </c>
      <c r="M12" s="110">
        <v>5.63</v>
      </c>
      <c r="O12" s="110">
        <v>5.66</v>
      </c>
      <c r="Q12" s="110">
        <v>5.69</v>
      </c>
      <c r="S12" s="110">
        <v>5.72</v>
      </c>
      <c r="U12" s="110">
        <v>5.75</v>
      </c>
    </row>
    <row r="14" spans="1:22" ht="12.75" customHeight="1">
      <c r="A14" s="2" t="s">
        <v>451</v>
      </c>
      <c r="C14" s="121">
        <v>525000</v>
      </c>
      <c r="E14" s="121">
        <v>575000</v>
      </c>
      <c r="G14" s="121">
        <f>+E14*1.02</f>
        <v>586500</v>
      </c>
      <c r="I14" s="121">
        <f>+G14*1.02</f>
        <v>598230</v>
      </c>
      <c r="K14" s="121">
        <f>+I14*1.02</f>
        <v>610194.6</v>
      </c>
      <c r="M14" s="121">
        <f>+K14*1.02</f>
        <v>622398.49199999997</v>
      </c>
      <c r="O14" s="121">
        <f>+M14*1.02</f>
        <v>634846.46184</v>
      </c>
      <c r="Q14" s="121">
        <f>+O14*1.02</f>
        <v>647543.39107680006</v>
      </c>
      <c r="S14" s="121">
        <f>+Q14*1.02</f>
        <v>660494.25889833609</v>
      </c>
      <c r="U14" s="121">
        <f>+S14*1.02</f>
        <v>673704.14407630288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</f>
        <v>460005</v>
      </c>
      <c r="D19" s="80">
        <f>IFERROR(C19/C$28,0)</f>
        <v>0.87619999999999998</v>
      </c>
      <c r="E19" s="208">
        <f>+E14-E20</f>
        <v>268697.49999999994</v>
      </c>
      <c r="F19" s="80">
        <f>IFERROR(E19/E$28,0)</f>
        <v>0.46729999999999988</v>
      </c>
      <c r="G19" s="208">
        <f>+G14-G20</f>
        <v>274071.44999999995</v>
      </c>
      <c r="H19" s="80">
        <f>IFERROR(G19/G$28,0)</f>
        <v>0.46729999999999994</v>
      </c>
      <c r="I19" s="208">
        <f>+I14-I20</f>
        <v>279552.87899999996</v>
      </c>
      <c r="J19" s="80">
        <f>IFERROR(I19/I$28,0)</f>
        <v>0.46729999999999994</v>
      </c>
      <c r="K19" s="208">
        <f>+K14-K20</f>
        <v>285143.93657999992</v>
      </c>
      <c r="L19" s="80">
        <f>IFERROR(K19/K$28,0)</f>
        <v>0.46729999999999988</v>
      </c>
      <c r="M19" s="208">
        <f>+M14-M20</f>
        <v>290846.81531159993</v>
      </c>
      <c r="N19" s="80">
        <f>IFERROR(M19/M$28,0)</f>
        <v>0.46729999999999994</v>
      </c>
      <c r="O19" s="208">
        <f>+O14-O20</f>
        <v>296663.75161783193</v>
      </c>
      <c r="P19" s="80">
        <f>IFERROR(O19/O$28,0)</f>
        <v>0.46729999999999988</v>
      </c>
      <c r="Q19" s="208">
        <f>+Q14-Q20</f>
        <v>302597.02665018861</v>
      </c>
      <c r="R19" s="80">
        <f>IFERROR(Q19/Q$28,0)</f>
        <v>0.46729999999999988</v>
      </c>
      <c r="S19" s="208">
        <f>+S14-S20</f>
        <v>308648.96718319238</v>
      </c>
      <c r="T19" s="80">
        <f>IFERROR(S19/S$28,0)</f>
        <v>0.46729999999999988</v>
      </c>
      <c r="U19" s="208">
        <f>+U14-U20</f>
        <v>314821.94652685628</v>
      </c>
      <c r="V19" s="80">
        <f>IFERROR(U19/U$28,0)</f>
        <v>0.46729999999999994</v>
      </c>
    </row>
    <row r="20" spans="1:24" ht="12.75" customHeight="1">
      <c r="A20" s="2" t="s">
        <v>357</v>
      </c>
      <c r="B20" s="35"/>
      <c r="C20" s="111">
        <f>+C14*12.38%</f>
        <v>64995.000000000007</v>
      </c>
      <c r="D20" s="80">
        <f>IFERROR(C20/C$28,0)</f>
        <v>0.12380000000000001</v>
      </c>
      <c r="E20" s="111">
        <f>+E14*53.27%</f>
        <v>306302.50000000006</v>
      </c>
      <c r="F20" s="80">
        <f>IFERROR(E20/E$28,0)</f>
        <v>0.53270000000000006</v>
      </c>
      <c r="G20" s="111">
        <f t="shared" ref="G20:U21" si="2">E20*1.02</f>
        <v>312428.55000000005</v>
      </c>
      <c r="H20" s="80">
        <f>IFERROR(G20/G$28,0)</f>
        <v>0.53270000000000006</v>
      </c>
      <c r="I20" s="111">
        <f t="shared" si="2"/>
        <v>318677.12100000004</v>
      </c>
      <c r="J20" s="80">
        <f>IFERROR(I20/I$28,0)</f>
        <v>0.53270000000000006</v>
      </c>
      <c r="K20" s="111">
        <f t="shared" si="2"/>
        <v>325050.66342000006</v>
      </c>
      <c r="L20" s="80">
        <f>IFERROR(K20/K$28,0)</f>
        <v>0.53270000000000006</v>
      </c>
      <c r="M20" s="111">
        <f t="shared" si="2"/>
        <v>331551.67668840004</v>
      </c>
      <c r="N20" s="80">
        <f>IFERROR(M20/M$28,0)</f>
        <v>0.53270000000000006</v>
      </c>
      <c r="O20" s="111">
        <f t="shared" si="2"/>
        <v>338182.71022216807</v>
      </c>
      <c r="P20" s="80">
        <f>IFERROR(O20/O$28,0)</f>
        <v>0.53270000000000006</v>
      </c>
      <c r="Q20" s="111">
        <f t="shared" si="2"/>
        <v>344946.36442661146</v>
      </c>
      <c r="R20" s="80">
        <f>IFERROR(Q20/Q$28,0)</f>
        <v>0.53270000000000006</v>
      </c>
      <c r="S20" s="111">
        <f t="shared" si="2"/>
        <v>351845.29171514371</v>
      </c>
      <c r="T20" s="80">
        <f>IFERROR(S20/S$28,0)</f>
        <v>0.53270000000000017</v>
      </c>
      <c r="U20" s="111">
        <f t="shared" si="2"/>
        <v>358882.1975494466</v>
      </c>
      <c r="V20" s="80">
        <f>IFERROR(U20/U$28,0)</f>
        <v>0.53270000000000006</v>
      </c>
    </row>
    <row r="21" spans="1:24" ht="12.75" customHeight="1">
      <c r="A21" s="2" t="s">
        <v>358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2"/>
        <v>0</v>
      </c>
      <c r="H21" s="80">
        <f>IFERROR(G21/G$28,0)</f>
        <v>0</v>
      </c>
      <c r="I21" s="111">
        <f t="shared" si="2"/>
        <v>0</v>
      </c>
      <c r="J21" s="80">
        <f>IFERROR(I21/I$28,0)</f>
        <v>0</v>
      </c>
      <c r="K21" s="111">
        <f t="shared" si="2"/>
        <v>0</v>
      </c>
      <c r="L21" s="80">
        <f>IFERROR(K21/K$28,0)</f>
        <v>0</v>
      </c>
      <c r="M21" s="111">
        <f t="shared" si="2"/>
        <v>0</v>
      </c>
      <c r="N21" s="80">
        <f>IFERROR(M21/M$28,0)</f>
        <v>0</v>
      </c>
      <c r="O21" s="111">
        <f t="shared" si="2"/>
        <v>0</v>
      </c>
      <c r="P21" s="80">
        <f>IFERROR(O21/O$28,0)</f>
        <v>0</v>
      </c>
      <c r="Q21" s="111">
        <f t="shared" si="2"/>
        <v>0</v>
      </c>
      <c r="R21" s="80">
        <f>IFERROR(Q21/Q$28,0)</f>
        <v>0</v>
      </c>
      <c r="S21" s="111">
        <f t="shared" si="2"/>
        <v>0</v>
      </c>
      <c r="T21" s="80">
        <f>IFERROR(S21/S$28,0)</f>
        <v>0</v>
      </c>
      <c r="U21" s="111">
        <f t="shared" si="2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3">IFERROR(C23/C$28,0)</f>
        <v>0</v>
      </c>
      <c r="E23" s="79"/>
      <c r="F23" s="80">
        <f t="shared" ref="F23:F28" si="4">IFERROR(E23/E$28,0)</f>
        <v>0</v>
      </c>
      <c r="G23" s="79"/>
      <c r="H23" s="80">
        <f t="shared" ref="H23:H28" si="5">IFERROR(G23/G$28,0)</f>
        <v>0</v>
      </c>
      <c r="I23" s="79"/>
      <c r="J23" s="80">
        <f t="shared" ref="J23:J28" si="6">IFERROR(I23/I$28,0)</f>
        <v>0</v>
      </c>
      <c r="K23" s="79"/>
      <c r="L23" s="80">
        <f t="shared" ref="L23:L28" si="7">IFERROR(K23/K$28,0)</f>
        <v>0</v>
      </c>
      <c r="M23" s="79"/>
      <c r="N23" s="80">
        <f t="shared" ref="N23:N28" si="8">IFERROR(M23/M$28,0)</f>
        <v>0</v>
      </c>
      <c r="O23" s="79"/>
      <c r="P23" s="80">
        <f t="shared" ref="P23:P28" si="9">IFERROR(O23/O$28,0)</f>
        <v>0</v>
      </c>
      <c r="Q23" s="79"/>
      <c r="R23" s="80">
        <f t="shared" ref="R23:R28" si="10">IFERROR(Q23/Q$28,0)</f>
        <v>0</v>
      </c>
      <c r="S23" s="79"/>
      <c r="T23" s="80">
        <f t="shared" ref="T23:T28" si="11">IFERROR(S23/S$28,0)</f>
        <v>0</v>
      </c>
      <c r="U23" s="79"/>
      <c r="V23" s="80">
        <f t="shared" ref="V23:V28" si="12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3"/>
        <v>0</v>
      </c>
      <c r="E24" s="79"/>
      <c r="F24" s="80">
        <f t="shared" si="4"/>
        <v>0</v>
      </c>
      <c r="G24" s="79"/>
      <c r="H24" s="80">
        <f t="shared" si="5"/>
        <v>0</v>
      </c>
      <c r="I24" s="79"/>
      <c r="J24" s="80">
        <f t="shared" si="6"/>
        <v>0</v>
      </c>
      <c r="K24" s="79"/>
      <c r="L24" s="80">
        <f t="shared" si="7"/>
        <v>0</v>
      </c>
      <c r="M24" s="79"/>
      <c r="N24" s="80">
        <f t="shared" si="8"/>
        <v>0</v>
      </c>
      <c r="O24" s="79"/>
      <c r="P24" s="80">
        <f t="shared" si="9"/>
        <v>0</v>
      </c>
      <c r="Q24" s="79"/>
      <c r="R24" s="80">
        <f t="shared" si="10"/>
        <v>0</v>
      </c>
      <c r="S24" s="79"/>
      <c r="T24" s="80">
        <f t="shared" si="11"/>
        <v>0</v>
      </c>
      <c r="U24" s="79"/>
      <c r="V24" s="80">
        <f t="shared" si="12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3"/>
        <v>0</v>
      </c>
      <c r="E25" s="111"/>
      <c r="F25" s="80">
        <f t="shared" si="4"/>
        <v>0</v>
      </c>
      <c r="G25" s="111"/>
      <c r="H25" s="80">
        <f t="shared" si="5"/>
        <v>0</v>
      </c>
      <c r="I25" s="111"/>
      <c r="J25" s="80">
        <f t="shared" si="6"/>
        <v>0</v>
      </c>
      <c r="K25" s="111"/>
      <c r="L25" s="80">
        <f t="shared" si="7"/>
        <v>0</v>
      </c>
      <c r="M25" s="111"/>
      <c r="N25" s="80">
        <f t="shared" si="8"/>
        <v>0</v>
      </c>
      <c r="O25" s="111"/>
      <c r="P25" s="80">
        <f t="shared" si="9"/>
        <v>0</v>
      </c>
      <c r="Q25" s="111"/>
      <c r="R25" s="80">
        <f t="shared" si="10"/>
        <v>0</v>
      </c>
      <c r="S25" s="111"/>
      <c r="T25" s="80">
        <f t="shared" si="11"/>
        <v>0</v>
      </c>
      <c r="U25" s="111"/>
      <c r="V25" s="80">
        <f t="shared" si="12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3"/>
        <v>0</v>
      </c>
      <c r="E26" s="79"/>
      <c r="F26" s="80">
        <f t="shared" si="4"/>
        <v>0</v>
      </c>
      <c r="G26" s="79"/>
      <c r="H26" s="80">
        <f t="shared" si="5"/>
        <v>0</v>
      </c>
      <c r="I26" s="79"/>
      <c r="J26" s="80">
        <f t="shared" si="6"/>
        <v>0</v>
      </c>
      <c r="K26" s="79"/>
      <c r="L26" s="80">
        <f t="shared" si="7"/>
        <v>0</v>
      </c>
      <c r="M26" s="79"/>
      <c r="N26" s="80">
        <f t="shared" si="8"/>
        <v>0</v>
      </c>
      <c r="O26" s="79"/>
      <c r="P26" s="80">
        <f t="shared" si="9"/>
        <v>0</v>
      </c>
      <c r="Q26" s="79"/>
      <c r="R26" s="80">
        <f t="shared" si="10"/>
        <v>0</v>
      </c>
      <c r="S26" s="79"/>
      <c r="T26" s="80">
        <f t="shared" si="11"/>
        <v>0</v>
      </c>
      <c r="U26" s="79"/>
      <c r="V26" s="80">
        <f t="shared" si="12"/>
        <v>0</v>
      </c>
    </row>
    <row r="27" spans="1:24" ht="12.75" customHeight="1">
      <c r="A27" s="2" t="s">
        <v>364</v>
      </c>
      <c r="B27" s="35"/>
      <c r="C27" s="112"/>
      <c r="D27" s="80">
        <f t="shared" si="3"/>
        <v>0</v>
      </c>
      <c r="E27" s="112"/>
      <c r="F27" s="80">
        <f t="shared" si="4"/>
        <v>0</v>
      </c>
      <c r="G27" s="112"/>
      <c r="H27" s="80">
        <f t="shared" si="5"/>
        <v>0</v>
      </c>
      <c r="I27" s="112"/>
      <c r="J27" s="80">
        <f t="shared" si="6"/>
        <v>0</v>
      </c>
      <c r="K27" s="112"/>
      <c r="L27" s="80">
        <f t="shared" si="7"/>
        <v>0</v>
      </c>
      <c r="M27" s="112"/>
      <c r="N27" s="80">
        <f t="shared" si="8"/>
        <v>0</v>
      </c>
      <c r="O27" s="112"/>
      <c r="P27" s="80">
        <f t="shared" si="9"/>
        <v>0</v>
      </c>
      <c r="Q27" s="112"/>
      <c r="R27" s="80">
        <f t="shared" si="10"/>
        <v>0</v>
      </c>
      <c r="S27" s="112"/>
      <c r="T27" s="80">
        <f t="shared" si="11"/>
        <v>0</v>
      </c>
      <c r="U27" s="112"/>
      <c r="V27" s="80">
        <f t="shared" si="12"/>
        <v>0</v>
      </c>
    </row>
    <row r="28" spans="1:24" ht="12.75" customHeight="1">
      <c r="A28" s="1" t="s">
        <v>365</v>
      </c>
      <c r="B28" s="53"/>
      <c r="C28" s="82">
        <f>SUM(C19:C27)</f>
        <v>525000</v>
      </c>
      <c r="D28" s="83">
        <f t="shared" si="3"/>
        <v>1</v>
      </c>
      <c r="E28" s="82">
        <f>SUM(E19:E27)</f>
        <v>575000</v>
      </c>
      <c r="F28" s="83">
        <f t="shared" si="4"/>
        <v>1</v>
      </c>
      <c r="G28" s="82">
        <f>SUM(G19:G27)</f>
        <v>586500</v>
      </c>
      <c r="H28" s="83">
        <f t="shared" si="5"/>
        <v>1</v>
      </c>
      <c r="I28" s="82">
        <f>SUM(I19:I27)</f>
        <v>598230</v>
      </c>
      <c r="J28" s="83">
        <f t="shared" si="6"/>
        <v>1</v>
      </c>
      <c r="K28" s="82">
        <f>SUM(K19:K27)</f>
        <v>610194.6</v>
      </c>
      <c r="L28" s="83">
        <f t="shared" si="7"/>
        <v>1</v>
      </c>
      <c r="M28" s="82">
        <f>SUM(M19:M27)</f>
        <v>622398.49199999997</v>
      </c>
      <c r="N28" s="83">
        <f t="shared" si="8"/>
        <v>1</v>
      </c>
      <c r="O28" s="82">
        <f>SUM(O19:O27)</f>
        <v>634846.46184</v>
      </c>
      <c r="P28" s="83">
        <f t="shared" si="9"/>
        <v>1</v>
      </c>
      <c r="Q28" s="82">
        <f>SUM(Q19:Q27)</f>
        <v>647543.39107680006</v>
      </c>
      <c r="R28" s="83">
        <f t="shared" si="10"/>
        <v>1</v>
      </c>
      <c r="S28" s="82">
        <f>SUM(S19:S27)</f>
        <v>660494.25889833609</v>
      </c>
      <c r="T28" s="83">
        <f t="shared" si="11"/>
        <v>1</v>
      </c>
      <c r="U28" s="82">
        <f>SUM(U19:U27)</f>
        <v>673704.14407630288</v>
      </c>
      <c r="V28" s="83">
        <f t="shared" si="12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0.33500000000000002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175875</v>
      </c>
      <c r="D31" s="80">
        <f>IFERROR(C31/C$28,0)</f>
        <v>0.33500000000000002</v>
      </c>
      <c r="E31" s="179">
        <f>$C$30*E14</f>
        <v>192625</v>
      </c>
      <c r="F31" s="80">
        <f>IFERROR(E31/E$28,0)</f>
        <v>0.33500000000000002</v>
      </c>
      <c r="G31" s="179">
        <f>$C$30*G14</f>
        <v>196477.5</v>
      </c>
      <c r="H31" s="80">
        <f>IFERROR(G31/G$28,0)</f>
        <v>0.33500000000000002</v>
      </c>
      <c r="I31" s="179">
        <f>$C$30*I14</f>
        <v>200407.05000000002</v>
      </c>
      <c r="J31" s="80">
        <f>IFERROR(I31/I$28,0)</f>
        <v>0.33500000000000002</v>
      </c>
      <c r="K31" s="179">
        <f>$C$30*K14</f>
        <v>204415.19099999999</v>
      </c>
      <c r="L31" s="80">
        <f>IFERROR(K31/K$28,0)</f>
        <v>0.33500000000000002</v>
      </c>
      <c r="M31" s="179">
        <f>$C$30*M14</f>
        <v>208503.49481999999</v>
      </c>
      <c r="N31" s="80">
        <f>IFERROR(M31/M$28,0)</f>
        <v>0.33500000000000002</v>
      </c>
      <c r="O31" s="179">
        <f>$C$30*O14</f>
        <v>212673.56471640003</v>
      </c>
      <c r="P31" s="80">
        <f>IFERROR(O31/O$28,0)</f>
        <v>0.33500000000000002</v>
      </c>
      <c r="Q31" s="179">
        <f>$C$30*Q14</f>
        <v>216927.03601072804</v>
      </c>
      <c r="R31" s="80">
        <f>IFERROR(Q31/Q$28,0)</f>
        <v>0.33500000000000002</v>
      </c>
      <c r="S31" s="179">
        <f>$C$30*S14</f>
        <v>221265.57673094262</v>
      </c>
      <c r="T31" s="80">
        <f>IFERROR(S31/S$28,0)</f>
        <v>0.33500000000000002</v>
      </c>
      <c r="U31" s="179">
        <f>$C$30*U14</f>
        <v>225690.88826556149</v>
      </c>
      <c r="V31" s="80">
        <f>IFERROR(U31/U$28,0)</f>
        <v>0.33500000000000002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175875</v>
      </c>
      <c r="D33" s="83">
        <f>IFERROR(C33/C$28,0)</f>
        <v>0.33500000000000002</v>
      </c>
      <c r="E33" s="82">
        <f>SUM(E31:E32)</f>
        <v>192625</v>
      </c>
      <c r="F33" s="83">
        <f>IFERROR(E33/E$28,0)</f>
        <v>0.33500000000000002</v>
      </c>
      <c r="G33" s="82">
        <f>SUM(G31:G32)</f>
        <v>196477.5</v>
      </c>
      <c r="H33" s="83">
        <f>IFERROR(G33/G$28,0)</f>
        <v>0.33500000000000002</v>
      </c>
      <c r="I33" s="82">
        <f>SUM(I31:I32)</f>
        <v>200407.05000000002</v>
      </c>
      <c r="J33" s="83">
        <f>IFERROR(I33/I$28,0)</f>
        <v>0.33500000000000002</v>
      </c>
      <c r="K33" s="82">
        <f>SUM(K31:K32)</f>
        <v>204415.19099999999</v>
      </c>
      <c r="L33" s="83">
        <f>IFERROR(K33/K$28,0)</f>
        <v>0.33500000000000002</v>
      </c>
      <c r="M33" s="82">
        <f>SUM(M31:M32)</f>
        <v>208503.49481999999</v>
      </c>
      <c r="N33" s="83">
        <f>IFERROR(M33/M$28,0)</f>
        <v>0.33500000000000002</v>
      </c>
      <c r="O33" s="82">
        <f>SUM(O31:O32)</f>
        <v>212673.56471640003</v>
      </c>
      <c r="P33" s="83">
        <f>IFERROR(O33/O$28,0)</f>
        <v>0.33500000000000002</v>
      </c>
      <c r="Q33" s="82">
        <f>SUM(Q31:Q32)</f>
        <v>216927.03601072804</v>
      </c>
      <c r="R33" s="83">
        <f>IFERROR(Q33/Q$28,0)</f>
        <v>0.33500000000000002</v>
      </c>
      <c r="S33" s="82">
        <f>SUM(S31:S32)</f>
        <v>221265.57673094262</v>
      </c>
      <c r="T33" s="83">
        <f>IFERROR(S33/S$28,0)</f>
        <v>0.33500000000000002</v>
      </c>
      <c r="U33" s="82">
        <f>SUM(U31:U32)</f>
        <v>225690.88826556149</v>
      </c>
      <c r="V33" s="83">
        <f>IFERROR(U33/U$28,0)</f>
        <v>0.33500000000000002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/>
      <c r="D36" s="80">
        <f t="shared" ref="D36:D46" si="13">IFERROR(C36/C$28,0)</f>
        <v>0</v>
      </c>
      <c r="E36" s="179"/>
      <c r="F36" s="80">
        <f t="shared" ref="F36:F46" si="14">IFERROR(E36/E$28,0)</f>
        <v>0</v>
      </c>
      <c r="G36" s="179"/>
      <c r="H36" s="80">
        <f t="shared" ref="H36:H46" si="15">IFERROR(G36/G$28,0)</f>
        <v>0</v>
      </c>
      <c r="I36" s="179"/>
      <c r="J36" s="80">
        <f t="shared" ref="J36:J46" si="16">IFERROR(I36/I$28,0)</f>
        <v>0</v>
      </c>
      <c r="K36" s="179"/>
      <c r="L36" s="80">
        <f t="shared" ref="L36:L46" si="17">IFERROR(K36/K$28,0)</f>
        <v>0</v>
      </c>
      <c r="M36" s="179"/>
      <c r="N36" s="80">
        <f t="shared" ref="N36:N46" si="18">IFERROR(M36/M$28,0)</f>
        <v>0</v>
      </c>
      <c r="O36" s="179"/>
      <c r="P36" s="80">
        <f t="shared" ref="P36:P46" si="19">IFERROR(O36/O$28,0)</f>
        <v>0</v>
      </c>
      <c r="Q36" s="179"/>
      <c r="R36" s="80">
        <f t="shared" ref="R36:R46" si="20">IFERROR(Q36/Q$28,0)</f>
        <v>0</v>
      </c>
      <c r="S36" s="179"/>
      <c r="T36" s="80">
        <f t="shared" ref="T36:T46" si="21">IFERROR(S36/S$28,0)</f>
        <v>0</v>
      </c>
      <c r="U36" s="179"/>
      <c r="V36" s="80">
        <f t="shared" ref="V36:V46" si="22">IFERROR(U36/U$28,0)</f>
        <v>0</v>
      </c>
    </row>
    <row r="37" spans="1:22" ht="12.75" customHeight="1">
      <c r="A37" s="2" t="s">
        <v>372</v>
      </c>
      <c r="B37" s="35"/>
      <c r="C37" s="179">
        <v>100901</v>
      </c>
      <c r="D37" s="80">
        <f t="shared" si="13"/>
        <v>0.19219238095238095</v>
      </c>
      <c r="E37" s="179">
        <f>+C37*1.112</f>
        <v>112201.91200000001</v>
      </c>
      <c r="F37" s="80">
        <f t="shared" si="14"/>
        <v>0.19513376000000002</v>
      </c>
      <c r="G37" s="179">
        <f>+E37*1.035</f>
        <v>116128.97892000001</v>
      </c>
      <c r="H37" s="80">
        <f t="shared" si="15"/>
        <v>0.19800337411764707</v>
      </c>
      <c r="I37" s="179">
        <f>+G37*1.032</f>
        <v>119845.10624544001</v>
      </c>
      <c r="J37" s="80">
        <f t="shared" si="16"/>
        <v>0.20033282557785467</v>
      </c>
      <c r="K37" s="179">
        <f>+I37*1.025</f>
        <v>122841.23390157599</v>
      </c>
      <c r="L37" s="80">
        <f t="shared" si="17"/>
        <v>0.20131484923264809</v>
      </c>
      <c r="M37" s="179">
        <f>+K37*1.025</f>
        <v>125912.26474911538</v>
      </c>
      <c r="N37" s="80">
        <f t="shared" si="18"/>
        <v>0.20230168672888652</v>
      </c>
      <c r="O37" s="179">
        <f>+M37*1.025</f>
        <v>129060.07136784325</v>
      </c>
      <c r="P37" s="80">
        <f t="shared" si="19"/>
        <v>0.20329336166383202</v>
      </c>
      <c r="Q37" s="179">
        <f>+O37*1.025</f>
        <v>132286.57315203932</v>
      </c>
      <c r="R37" s="80">
        <f t="shared" si="20"/>
        <v>0.20428989775041939</v>
      </c>
      <c r="S37" s="179">
        <f>+Q37*1.025</f>
        <v>135593.7374808403</v>
      </c>
      <c r="T37" s="80">
        <f t="shared" si="21"/>
        <v>0.20529131881782339</v>
      </c>
      <c r="U37" s="179">
        <f>+S37*1.025</f>
        <v>138983.58091786128</v>
      </c>
      <c r="V37" s="80">
        <f t="shared" si="22"/>
        <v>0.20629764881202836</v>
      </c>
    </row>
    <row r="38" spans="1:22" ht="12.75" customHeight="1">
      <c r="A38" s="2" t="s">
        <v>373</v>
      </c>
      <c r="B38" s="35"/>
      <c r="C38" s="179">
        <v>10933</v>
      </c>
      <c r="D38" s="80">
        <f t="shared" si="13"/>
        <v>2.0824761904761905E-2</v>
      </c>
      <c r="E38" s="179">
        <f t="shared" ref="E38:E39" si="23">+C38*1.112</f>
        <v>12157.496000000001</v>
      </c>
      <c r="F38" s="80">
        <f t="shared" si="14"/>
        <v>2.1143471304347829E-2</v>
      </c>
      <c r="G38" s="179">
        <f>+E38*1.035</f>
        <v>12583.00836</v>
      </c>
      <c r="H38" s="80">
        <f t="shared" si="15"/>
        <v>2.1454404705882352E-2</v>
      </c>
      <c r="I38" s="179">
        <f>+G38*1.032</f>
        <v>12985.66462752</v>
      </c>
      <c r="J38" s="80">
        <f t="shared" si="16"/>
        <v>2.1706809467128028E-2</v>
      </c>
      <c r="K38" s="179">
        <f>+I38*1.025</f>
        <v>13310.306243207999</v>
      </c>
      <c r="L38" s="80">
        <f t="shared" si="17"/>
        <v>2.1813215395888458E-2</v>
      </c>
      <c r="M38" s="179">
        <f>+K38*1.025</f>
        <v>13643.063899288198</v>
      </c>
      <c r="N38" s="80">
        <f t="shared" si="18"/>
        <v>2.1920142922338889E-2</v>
      </c>
      <c r="O38" s="179">
        <f>+M38*1.025</f>
        <v>13984.140496770402</v>
      </c>
      <c r="P38" s="80">
        <f t="shared" si="19"/>
        <v>2.2027594603330744E-2</v>
      </c>
      <c r="Q38" s="179">
        <f>+O38*1.025</f>
        <v>14333.744009189661</v>
      </c>
      <c r="R38" s="80">
        <f t="shared" si="20"/>
        <v>2.2135573008249029E-2</v>
      </c>
      <c r="S38" s="179">
        <f>+Q38*1.025</f>
        <v>14692.087609419401</v>
      </c>
      <c r="T38" s="80">
        <f t="shared" si="21"/>
        <v>2.2244080719073776E-2</v>
      </c>
      <c r="U38" s="179">
        <f>+S38*1.025</f>
        <v>15059.389799654884</v>
      </c>
      <c r="V38" s="80">
        <f t="shared" si="22"/>
        <v>2.2353120330441779E-2</v>
      </c>
    </row>
    <row r="39" spans="1:22" ht="12.75" customHeight="1">
      <c r="A39" s="2" t="s">
        <v>374</v>
      </c>
      <c r="B39" s="35"/>
      <c r="C39" s="179">
        <v>45607</v>
      </c>
      <c r="D39" s="80">
        <f t="shared" si="13"/>
        <v>8.6870476190476192E-2</v>
      </c>
      <c r="E39" s="179">
        <f t="shared" si="23"/>
        <v>50714.984000000004</v>
      </c>
      <c r="F39" s="80">
        <f t="shared" si="14"/>
        <v>8.8199972173913052E-2</v>
      </c>
      <c r="G39" s="179">
        <f>+E39*1.035</f>
        <v>52490.008439999998</v>
      </c>
      <c r="H39" s="80">
        <f t="shared" si="15"/>
        <v>8.9497030588235285E-2</v>
      </c>
      <c r="I39" s="179">
        <f>+G39*1.032</f>
        <v>54169.688710080001</v>
      </c>
      <c r="J39" s="80">
        <f t="shared" si="16"/>
        <v>9.0549936830449831E-2</v>
      </c>
      <c r="K39" s="179">
        <f>+I39*1.025</f>
        <v>55523.930927832</v>
      </c>
      <c r="L39" s="80">
        <f t="shared" si="17"/>
        <v>9.0993809069814774E-2</v>
      </c>
      <c r="M39" s="179">
        <f>+K39*1.025</f>
        <v>56912.029201027792</v>
      </c>
      <c r="N39" s="80">
        <f t="shared" si="18"/>
        <v>9.1439857153490331E-2</v>
      </c>
      <c r="O39" s="179">
        <f>+M39*1.025</f>
        <v>58334.829931053479</v>
      </c>
      <c r="P39" s="80">
        <f t="shared" si="19"/>
        <v>9.1888091747379969E-2</v>
      </c>
      <c r="Q39" s="179">
        <f>+O39*1.025</f>
        <v>59793.200679329813</v>
      </c>
      <c r="R39" s="80">
        <f t="shared" si="20"/>
        <v>9.2338523569671038E-2</v>
      </c>
      <c r="S39" s="179">
        <f>+Q39*1.025</f>
        <v>61288.03069631305</v>
      </c>
      <c r="T39" s="80">
        <f t="shared" si="21"/>
        <v>9.2791163391090975E-2</v>
      </c>
      <c r="U39" s="179">
        <f>+S39*1.025</f>
        <v>62820.231463720869</v>
      </c>
      <c r="V39" s="80">
        <f t="shared" si="22"/>
        <v>9.3246022035164938E-2</v>
      </c>
    </row>
    <row r="40" spans="1:22" ht="12.75" customHeight="1">
      <c r="A40" s="2" t="s">
        <v>375</v>
      </c>
      <c r="B40" s="35"/>
      <c r="C40" s="179">
        <f>C36*0.124</f>
        <v>0</v>
      </c>
      <c r="D40" s="80">
        <f t="shared" si="13"/>
        <v>0</v>
      </c>
      <c r="E40" s="113">
        <f>E36*0.124</f>
        <v>0</v>
      </c>
      <c r="F40" s="80">
        <f t="shared" si="14"/>
        <v>0</v>
      </c>
      <c r="G40" s="113">
        <f>G36*0.124</f>
        <v>0</v>
      </c>
      <c r="H40" s="80">
        <f t="shared" si="15"/>
        <v>0</v>
      </c>
      <c r="I40" s="113">
        <f>I36*0.124</f>
        <v>0</v>
      </c>
      <c r="J40" s="80">
        <f t="shared" si="16"/>
        <v>0</v>
      </c>
      <c r="K40" s="179">
        <f>K36*0.124</f>
        <v>0</v>
      </c>
      <c r="L40" s="80">
        <f t="shared" si="17"/>
        <v>0</v>
      </c>
      <c r="M40" s="113">
        <f>M36*0.124</f>
        <v>0</v>
      </c>
      <c r="N40" s="80">
        <f t="shared" si="18"/>
        <v>0</v>
      </c>
      <c r="O40" s="113">
        <f>O36*0.124</f>
        <v>0</v>
      </c>
      <c r="P40" s="80">
        <f t="shared" si="19"/>
        <v>0</v>
      </c>
      <c r="Q40" s="179">
        <f>Q36*0.124</f>
        <v>0</v>
      </c>
      <c r="R40" s="80">
        <f t="shared" si="20"/>
        <v>0</v>
      </c>
      <c r="S40" s="113">
        <f>S36*0.124</f>
        <v>0</v>
      </c>
      <c r="T40" s="80">
        <f t="shared" si="21"/>
        <v>0</v>
      </c>
      <c r="U40" s="113">
        <f>U36*0.124</f>
        <v>0</v>
      </c>
      <c r="V40" s="80">
        <f t="shared" si="22"/>
        <v>0</v>
      </c>
    </row>
    <row r="41" spans="1:22" ht="12.75" customHeight="1">
      <c r="A41" s="2" t="s">
        <v>376</v>
      </c>
      <c r="B41" s="35"/>
      <c r="C41" s="179">
        <f>C37*0.124</f>
        <v>12511.724</v>
      </c>
      <c r="D41" s="80">
        <f t="shared" si="13"/>
        <v>2.3831855238095237E-2</v>
      </c>
      <c r="E41" s="179">
        <f>E37*0.124</f>
        <v>13913.037088000001</v>
      </c>
      <c r="F41" s="80">
        <f t="shared" si="14"/>
        <v>2.4196586240000002E-2</v>
      </c>
      <c r="G41" s="179">
        <f>G37*0.124</f>
        <v>14399.993386080001</v>
      </c>
      <c r="H41" s="80">
        <f t="shared" si="15"/>
        <v>2.4552418390588238E-2</v>
      </c>
      <c r="I41" s="179">
        <f>I37*0.124</f>
        <v>14860.793174434561</v>
      </c>
      <c r="J41" s="80">
        <f t="shared" si="16"/>
        <v>2.4841270371653981E-2</v>
      </c>
      <c r="K41" s="179">
        <f>K37*0.124</f>
        <v>15232.313003795423</v>
      </c>
      <c r="L41" s="80">
        <f t="shared" si="17"/>
        <v>2.496304130484836E-2</v>
      </c>
      <c r="M41" s="179">
        <f>M37*0.124</f>
        <v>15613.120828890307</v>
      </c>
      <c r="N41" s="80">
        <f t="shared" si="18"/>
        <v>2.508540915438193E-2</v>
      </c>
      <c r="O41" s="179">
        <f>O37*0.124</f>
        <v>16003.448849612563</v>
      </c>
      <c r="P41" s="80">
        <f t="shared" si="19"/>
        <v>2.5208376846315168E-2</v>
      </c>
      <c r="Q41" s="179">
        <f>Q37*0.124</f>
        <v>16403.535070852875</v>
      </c>
      <c r="R41" s="80">
        <f t="shared" si="20"/>
        <v>2.5331947321052001E-2</v>
      </c>
      <c r="S41" s="179">
        <f>S37*0.124</f>
        <v>16813.623447624195</v>
      </c>
      <c r="T41" s="80">
        <f t="shared" si="21"/>
        <v>2.5456123533410098E-2</v>
      </c>
      <c r="U41" s="179">
        <f>U37*0.124</f>
        <v>17233.964033814798</v>
      </c>
      <c r="V41" s="80">
        <f t="shared" si="22"/>
        <v>2.5580908452691516E-2</v>
      </c>
    </row>
    <row r="42" spans="1:22" ht="12.75" customHeight="1">
      <c r="A42" s="2" t="s">
        <v>377</v>
      </c>
      <c r="B42" s="35"/>
      <c r="C42" s="179"/>
      <c r="D42" s="80">
        <f t="shared" si="13"/>
        <v>0</v>
      </c>
      <c r="E42" s="179"/>
      <c r="F42" s="80">
        <f t="shared" si="14"/>
        <v>0</v>
      </c>
      <c r="G42" s="179"/>
      <c r="H42" s="80">
        <f t="shared" si="15"/>
        <v>0</v>
      </c>
      <c r="I42" s="179"/>
      <c r="J42" s="80">
        <f t="shared" si="16"/>
        <v>0</v>
      </c>
      <c r="K42" s="179"/>
      <c r="L42" s="80">
        <f t="shared" si="17"/>
        <v>0</v>
      </c>
      <c r="M42" s="179"/>
      <c r="N42" s="80">
        <f t="shared" si="18"/>
        <v>0</v>
      </c>
      <c r="O42" s="179"/>
      <c r="P42" s="80">
        <f t="shared" si="19"/>
        <v>0</v>
      </c>
      <c r="Q42" s="179"/>
      <c r="R42" s="80">
        <f t="shared" si="20"/>
        <v>0</v>
      </c>
      <c r="S42" s="179"/>
      <c r="T42" s="80">
        <f t="shared" si="21"/>
        <v>0</v>
      </c>
      <c r="U42" s="179"/>
      <c r="V42" s="80">
        <f t="shared" si="22"/>
        <v>0</v>
      </c>
    </row>
    <row r="43" spans="1:22" ht="12.75" customHeight="1">
      <c r="A43" s="2" t="s">
        <v>378</v>
      </c>
      <c r="B43" s="35"/>
      <c r="C43" s="179"/>
      <c r="D43" s="80">
        <f t="shared" si="13"/>
        <v>0</v>
      </c>
      <c r="E43" s="179"/>
      <c r="F43" s="80">
        <f t="shared" si="14"/>
        <v>0</v>
      </c>
      <c r="G43" s="179"/>
      <c r="H43" s="80">
        <f t="shared" si="15"/>
        <v>0</v>
      </c>
      <c r="I43" s="179"/>
      <c r="J43" s="80">
        <f t="shared" si="16"/>
        <v>0</v>
      </c>
      <c r="K43" s="179"/>
      <c r="L43" s="80">
        <f t="shared" si="17"/>
        <v>0</v>
      </c>
      <c r="M43" s="179"/>
      <c r="N43" s="80">
        <f t="shared" si="18"/>
        <v>0</v>
      </c>
      <c r="O43" s="179"/>
      <c r="P43" s="80">
        <f t="shared" si="19"/>
        <v>0</v>
      </c>
      <c r="Q43" s="179"/>
      <c r="R43" s="80">
        <f t="shared" si="20"/>
        <v>0</v>
      </c>
      <c r="S43" s="179"/>
      <c r="T43" s="80">
        <f t="shared" si="21"/>
        <v>0</v>
      </c>
      <c r="U43" s="179"/>
      <c r="V43" s="80">
        <f t="shared" si="22"/>
        <v>0</v>
      </c>
    </row>
    <row r="44" spans="1:22" ht="12.75" customHeight="1">
      <c r="A44" s="2" t="s">
        <v>379</v>
      </c>
      <c r="B44" s="35"/>
      <c r="C44" s="179"/>
      <c r="D44" s="80">
        <f t="shared" si="13"/>
        <v>0</v>
      </c>
      <c r="E44" s="179"/>
      <c r="F44" s="80">
        <f t="shared" si="14"/>
        <v>0</v>
      </c>
      <c r="G44" s="179"/>
      <c r="H44" s="80">
        <f t="shared" si="15"/>
        <v>0</v>
      </c>
      <c r="I44" s="179"/>
      <c r="J44" s="80">
        <f t="shared" si="16"/>
        <v>0</v>
      </c>
      <c r="K44" s="179"/>
      <c r="L44" s="80">
        <f t="shared" si="17"/>
        <v>0</v>
      </c>
      <c r="M44" s="179"/>
      <c r="N44" s="80">
        <f t="shared" si="18"/>
        <v>0</v>
      </c>
      <c r="O44" s="179"/>
      <c r="P44" s="80">
        <f t="shared" si="19"/>
        <v>0</v>
      </c>
      <c r="Q44" s="179"/>
      <c r="R44" s="80">
        <f t="shared" si="20"/>
        <v>0</v>
      </c>
      <c r="S44" s="179"/>
      <c r="T44" s="80">
        <f t="shared" si="21"/>
        <v>0</v>
      </c>
      <c r="U44" s="179"/>
      <c r="V44" s="80">
        <f t="shared" si="22"/>
        <v>0</v>
      </c>
    </row>
    <row r="45" spans="1:22" ht="12.75" customHeight="1">
      <c r="A45" s="2" t="s">
        <v>380</v>
      </c>
      <c r="B45" s="35"/>
      <c r="C45" s="182">
        <f>SUM(C36:C39)*0.094</f>
        <v>14799.454</v>
      </c>
      <c r="D45" s="80">
        <f t="shared" si="13"/>
        <v>2.8189436190476189E-2</v>
      </c>
      <c r="E45" s="182">
        <f>SUM(E36:E39)*0.094</f>
        <v>16456.992848000002</v>
      </c>
      <c r="F45" s="80">
        <f t="shared" si="14"/>
        <v>2.8620857126956525E-2</v>
      </c>
      <c r="G45" s="182">
        <f>SUM(G36:G39)*0.094</f>
        <v>17032.987597679999</v>
      </c>
      <c r="H45" s="80">
        <f t="shared" si="15"/>
        <v>2.9041752084705882E-2</v>
      </c>
      <c r="I45" s="182">
        <f>SUM(I36:I39)*0.094</f>
        <v>17578.043200805761</v>
      </c>
      <c r="J45" s="80">
        <f t="shared" si="16"/>
        <v>2.9383419756290659E-2</v>
      </c>
      <c r="K45" s="182">
        <f>SUM(K36:K39)*0.094</f>
        <v>18017.494280825904</v>
      </c>
      <c r="L45" s="80">
        <f t="shared" si="17"/>
        <v>2.9527456127645024E-2</v>
      </c>
      <c r="M45" s="182">
        <f>SUM(M36:M39)*0.094</f>
        <v>18467.931637846548</v>
      </c>
      <c r="N45" s="80">
        <f t="shared" si="18"/>
        <v>2.967219855964328E-2</v>
      </c>
      <c r="O45" s="182">
        <f>SUM(O36:O39)*0.094</f>
        <v>18929.62992879271</v>
      </c>
      <c r="P45" s="80">
        <f t="shared" si="19"/>
        <v>2.9817650513367017E-2</v>
      </c>
      <c r="Q45" s="182">
        <f>SUM(Q36:Q39)*0.094</f>
        <v>19402.870677012525</v>
      </c>
      <c r="R45" s="80">
        <f t="shared" si="20"/>
        <v>2.9963815466863906E-2</v>
      </c>
      <c r="S45" s="182">
        <f>SUM(S36:S39)*0.094</f>
        <v>19887.942443937838</v>
      </c>
      <c r="T45" s="80">
        <f t="shared" si="21"/>
        <v>3.0110696915230883E-2</v>
      </c>
      <c r="U45" s="182">
        <f>SUM(U36:U39)*0.094</f>
        <v>20385.141005036283</v>
      </c>
      <c r="V45" s="80">
        <f t="shared" si="22"/>
        <v>3.0258298370697698E-2</v>
      </c>
    </row>
    <row r="46" spans="1:22" ht="12.75" customHeight="1">
      <c r="A46" s="1" t="s">
        <v>381</v>
      </c>
      <c r="B46" s="53"/>
      <c r="C46" s="82">
        <f>SUM(C36:C45)</f>
        <v>184752.17799999999</v>
      </c>
      <c r="D46" s="83">
        <f t="shared" si="13"/>
        <v>0.35190891047619044</v>
      </c>
      <c r="E46" s="82">
        <f>SUM(E36:E45)</f>
        <v>205444.42193600003</v>
      </c>
      <c r="F46" s="83">
        <f t="shared" si="14"/>
        <v>0.35729464684521745</v>
      </c>
      <c r="G46" s="82">
        <f>SUM(G36:G45)</f>
        <v>212634.97670376001</v>
      </c>
      <c r="H46" s="83">
        <f t="shared" si="15"/>
        <v>0.36254897988705886</v>
      </c>
      <c r="I46" s="82">
        <f>SUM(I36:I45)</f>
        <v>219439.29595828033</v>
      </c>
      <c r="J46" s="83">
        <f t="shared" si="16"/>
        <v>0.36681426200337719</v>
      </c>
      <c r="K46" s="82">
        <f>SUM(K36:K45)</f>
        <v>224925.27835723732</v>
      </c>
      <c r="L46" s="83">
        <f t="shared" si="17"/>
        <v>0.36861237113084472</v>
      </c>
      <c r="M46" s="82">
        <f>SUM(M36:M45)</f>
        <v>230548.41031616821</v>
      </c>
      <c r="N46" s="83">
        <f t="shared" si="18"/>
        <v>0.37041929451874095</v>
      </c>
      <c r="O46" s="82">
        <f>SUM(O36:O45)</f>
        <v>236312.12057407241</v>
      </c>
      <c r="P46" s="83">
        <f t="shared" si="19"/>
        <v>0.37223507537422496</v>
      </c>
      <c r="Q46" s="82">
        <f>SUM(Q36:Q45)</f>
        <v>242219.92358842416</v>
      </c>
      <c r="R46" s="83">
        <f t="shared" si="20"/>
        <v>0.37405975711625533</v>
      </c>
      <c r="S46" s="82">
        <f>SUM(S36:S45)</f>
        <v>248275.42167813479</v>
      </c>
      <c r="T46" s="83">
        <f t="shared" si="21"/>
        <v>0.37589338337662914</v>
      </c>
      <c r="U46" s="82">
        <f>SUM(U36:U45)</f>
        <v>254482.30722008811</v>
      </c>
      <c r="V46" s="83">
        <f t="shared" si="22"/>
        <v>0.37773599800102425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>
        <f>B4</f>
        <v>0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4">IFERROR(C52/C$28,0)</f>
        <v>0</v>
      </c>
      <c r="E52" s="179">
        <v>0</v>
      </c>
      <c r="F52" s="80">
        <f t="shared" ref="F52:F104" si="25">IFERROR(E52/E$28,0)</f>
        <v>0</v>
      </c>
      <c r="G52" s="179">
        <v>0</v>
      </c>
      <c r="H52" s="80">
        <f t="shared" ref="H52:H104" si="26">IFERROR(G52/G$28,0)</f>
        <v>0</v>
      </c>
      <c r="I52" s="179">
        <v>0</v>
      </c>
      <c r="J52" s="80">
        <f t="shared" ref="J52:J104" si="27">IFERROR(I52/I$28,0)</f>
        <v>0</v>
      </c>
      <c r="K52" s="179">
        <v>0</v>
      </c>
      <c r="L52" s="80">
        <f t="shared" ref="L52:L104" si="28">IFERROR(K52/K$28,0)</f>
        <v>0</v>
      </c>
      <c r="M52" s="179">
        <v>0</v>
      </c>
      <c r="N52" s="80">
        <f t="shared" ref="N52:N104" si="29">IFERROR(M52/M$28,0)</f>
        <v>0</v>
      </c>
      <c r="O52" s="179">
        <v>0</v>
      </c>
      <c r="P52" s="80">
        <f t="shared" ref="P52:P104" si="30">IFERROR(O52/O$28,0)</f>
        <v>0</v>
      </c>
      <c r="Q52" s="179">
        <v>0</v>
      </c>
      <c r="R52" s="80">
        <f t="shared" ref="R52:R104" si="31">IFERROR(Q52/Q$28,0)</f>
        <v>0</v>
      </c>
      <c r="S52" s="179">
        <v>0</v>
      </c>
      <c r="T52" s="80">
        <f t="shared" ref="T52:T104" si="32">IFERROR(S52/S$28,0)</f>
        <v>0</v>
      </c>
      <c r="U52" s="179">
        <v>0</v>
      </c>
      <c r="V52" s="80">
        <f t="shared" ref="V52:V105" si="33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4"/>
        <v>0</v>
      </c>
      <c r="E53" s="179">
        <v>0</v>
      </c>
      <c r="F53" s="80">
        <f t="shared" si="25"/>
        <v>0</v>
      </c>
      <c r="G53" s="179">
        <v>0</v>
      </c>
      <c r="H53" s="80">
        <f t="shared" si="26"/>
        <v>0</v>
      </c>
      <c r="I53" s="179">
        <v>0</v>
      </c>
      <c r="J53" s="80">
        <f t="shared" si="27"/>
        <v>0</v>
      </c>
      <c r="K53" s="179">
        <v>0</v>
      </c>
      <c r="L53" s="80">
        <f t="shared" si="28"/>
        <v>0</v>
      </c>
      <c r="M53" s="179">
        <v>0</v>
      </c>
      <c r="N53" s="80">
        <f t="shared" si="29"/>
        <v>0</v>
      </c>
      <c r="O53" s="179">
        <v>0</v>
      </c>
      <c r="P53" s="80">
        <f t="shared" si="30"/>
        <v>0</v>
      </c>
      <c r="Q53" s="179">
        <v>0</v>
      </c>
      <c r="R53" s="80">
        <f t="shared" si="31"/>
        <v>0</v>
      </c>
      <c r="S53" s="179">
        <v>0</v>
      </c>
      <c r="T53" s="80">
        <f t="shared" si="32"/>
        <v>0</v>
      </c>
      <c r="U53" s="179">
        <v>0</v>
      </c>
      <c r="V53" s="80">
        <f t="shared" si="33"/>
        <v>0</v>
      </c>
      <c r="X53" s="200"/>
    </row>
    <row r="54" spans="1:24" ht="12.75" customHeight="1">
      <c r="A54" s="2" t="s">
        <v>385</v>
      </c>
      <c r="B54" s="35"/>
      <c r="C54" s="179">
        <v>367.5</v>
      </c>
      <c r="D54" s="80">
        <f t="shared" si="24"/>
        <v>6.9999999999999999E-4</v>
      </c>
      <c r="E54" s="179">
        <v>402.5</v>
      </c>
      <c r="F54" s="80">
        <f t="shared" si="25"/>
        <v>6.9999999999999999E-4</v>
      </c>
      <c r="G54" s="179">
        <v>410.55</v>
      </c>
      <c r="H54" s="80">
        <f t="shared" si="26"/>
        <v>6.9999999999999999E-4</v>
      </c>
      <c r="I54" s="179">
        <v>418.76099999999997</v>
      </c>
      <c r="J54" s="80">
        <f t="shared" si="27"/>
        <v>6.9999999999999999E-4</v>
      </c>
      <c r="K54" s="179">
        <v>427.13621999999998</v>
      </c>
      <c r="L54" s="80">
        <f t="shared" si="28"/>
        <v>6.9999999999999999E-4</v>
      </c>
      <c r="M54" s="179">
        <v>435.67894439999992</v>
      </c>
      <c r="N54" s="80">
        <f t="shared" si="29"/>
        <v>6.9999999999999988E-4</v>
      </c>
      <c r="O54" s="179">
        <v>444.39252328800001</v>
      </c>
      <c r="P54" s="80">
        <f t="shared" si="30"/>
        <v>6.9999999999999999E-4</v>
      </c>
      <c r="Q54" s="179">
        <v>453.28037375376005</v>
      </c>
      <c r="R54" s="80">
        <f t="shared" si="31"/>
        <v>6.9999999999999999E-4</v>
      </c>
      <c r="S54" s="179">
        <v>462.34598122883523</v>
      </c>
      <c r="T54" s="80">
        <f t="shared" si="32"/>
        <v>6.9999999999999999E-4</v>
      </c>
      <c r="U54" s="179">
        <v>471.592900853412</v>
      </c>
      <c r="V54" s="80">
        <f t="shared" si="33"/>
        <v>6.9999999999999999E-4</v>
      </c>
      <c r="X54" s="200"/>
    </row>
    <row r="55" spans="1:24" ht="12.75" customHeight="1">
      <c r="A55" s="2" t="s">
        <v>386</v>
      </c>
      <c r="B55" s="35"/>
      <c r="C55" s="179">
        <v>36750</v>
      </c>
      <c r="D55" s="80">
        <f t="shared" si="24"/>
        <v>7.0000000000000007E-2</v>
      </c>
      <c r="E55" s="179">
        <v>40250.000000000007</v>
      </c>
      <c r="F55" s="80">
        <f t="shared" si="25"/>
        <v>7.0000000000000007E-2</v>
      </c>
      <c r="G55" s="179">
        <v>41055.000000000007</v>
      </c>
      <c r="H55" s="80">
        <f t="shared" si="26"/>
        <v>7.0000000000000007E-2</v>
      </c>
      <c r="I55" s="179">
        <v>41876.100000000006</v>
      </c>
      <c r="J55" s="80">
        <f t="shared" si="27"/>
        <v>7.0000000000000007E-2</v>
      </c>
      <c r="K55" s="179">
        <v>42713.622000000003</v>
      </c>
      <c r="L55" s="80">
        <f t="shared" si="28"/>
        <v>7.0000000000000007E-2</v>
      </c>
      <c r="M55" s="179">
        <v>43567.894440000004</v>
      </c>
      <c r="N55" s="80">
        <f t="shared" si="29"/>
        <v>7.0000000000000007E-2</v>
      </c>
      <c r="O55" s="179">
        <v>44439.252328800001</v>
      </c>
      <c r="P55" s="80">
        <f t="shared" si="30"/>
        <v>7.0000000000000007E-2</v>
      </c>
      <c r="Q55" s="179">
        <v>45328.037375376007</v>
      </c>
      <c r="R55" s="80">
        <f t="shared" si="31"/>
        <v>7.0000000000000007E-2</v>
      </c>
      <c r="S55" s="179">
        <v>46234.59812288353</v>
      </c>
      <c r="T55" s="80">
        <f t="shared" si="32"/>
        <v>7.0000000000000007E-2</v>
      </c>
      <c r="U55" s="179">
        <v>47159.290085341207</v>
      </c>
      <c r="V55" s="80">
        <f t="shared" si="33"/>
        <v>7.0000000000000007E-2</v>
      </c>
      <c r="X55" s="200"/>
    </row>
    <row r="56" spans="1:24" ht="12.75" customHeight="1">
      <c r="A56" s="2" t="s">
        <v>387</v>
      </c>
      <c r="B56" s="35"/>
      <c r="C56" s="179">
        <v>267.75</v>
      </c>
      <c r="D56" s="80">
        <f t="shared" si="24"/>
        <v>5.1000000000000004E-4</v>
      </c>
      <c r="E56" s="179">
        <v>293.25</v>
      </c>
      <c r="F56" s="80">
        <f t="shared" si="25"/>
        <v>5.1000000000000004E-4</v>
      </c>
      <c r="G56" s="179">
        <v>299.11500000000001</v>
      </c>
      <c r="H56" s="80">
        <f t="shared" si="26"/>
        <v>5.1000000000000004E-4</v>
      </c>
      <c r="I56" s="179">
        <v>305.09730000000008</v>
      </c>
      <c r="J56" s="80">
        <f t="shared" si="27"/>
        <v>5.1000000000000015E-4</v>
      </c>
      <c r="K56" s="179">
        <v>311.19924600000002</v>
      </c>
      <c r="L56" s="80">
        <f t="shared" si="28"/>
        <v>5.1000000000000004E-4</v>
      </c>
      <c r="M56" s="179">
        <v>317.42323091999998</v>
      </c>
      <c r="N56" s="80">
        <f t="shared" si="29"/>
        <v>5.1000000000000004E-4</v>
      </c>
      <c r="O56" s="179">
        <v>323.77169553840002</v>
      </c>
      <c r="P56" s="80">
        <f t="shared" si="30"/>
        <v>5.1000000000000004E-4</v>
      </c>
      <c r="Q56" s="179">
        <v>330.24712944916809</v>
      </c>
      <c r="R56" s="80">
        <f t="shared" si="31"/>
        <v>5.1000000000000004E-4</v>
      </c>
      <c r="S56" s="179">
        <v>336.85207203815139</v>
      </c>
      <c r="T56" s="80">
        <f t="shared" si="32"/>
        <v>5.0999999999999993E-4</v>
      </c>
      <c r="U56" s="179">
        <v>343.5891134789145</v>
      </c>
      <c r="V56" s="80">
        <f t="shared" si="33"/>
        <v>5.1000000000000004E-4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4"/>
        <v>0</v>
      </c>
      <c r="E57" s="179">
        <v>0</v>
      </c>
      <c r="F57" s="80">
        <f t="shared" si="25"/>
        <v>0</v>
      </c>
      <c r="G57" s="179">
        <v>0</v>
      </c>
      <c r="H57" s="80">
        <f t="shared" si="26"/>
        <v>0</v>
      </c>
      <c r="I57" s="179">
        <v>0</v>
      </c>
      <c r="J57" s="80">
        <f t="shared" si="27"/>
        <v>0</v>
      </c>
      <c r="K57" s="179">
        <v>0</v>
      </c>
      <c r="L57" s="80">
        <f t="shared" si="28"/>
        <v>0</v>
      </c>
      <c r="M57" s="179">
        <v>0</v>
      </c>
      <c r="N57" s="80">
        <f t="shared" si="29"/>
        <v>0</v>
      </c>
      <c r="O57" s="179">
        <v>0</v>
      </c>
      <c r="P57" s="80">
        <f t="shared" si="30"/>
        <v>0</v>
      </c>
      <c r="Q57" s="179">
        <v>0</v>
      </c>
      <c r="R57" s="80">
        <f t="shared" si="31"/>
        <v>0</v>
      </c>
      <c r="S57" s="179">
        <v>0</v>
      </c>
      <c r="T57" s="80">
        <f t="shared" si="32"/>
        <v>0</v>
      </c>
      <c r="U57" s="179">
        <v>0</v>
      </c>
      <c r="V57" s="80">
        <f t="shared" si="33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4"/>
        <v>0</v>
      </c>
      <c r="E58" s="179">
        <v>0</v>
      </c>
      <c r="F58" s="80">
        <f t="shared" si="25"/>
        <v>0</v>
      </c>
      <c r="G58" s="179">
        <v>0</v>
      </c>
      <c r="H58" s="80">
        <f t="shared" si="26"/>
        <v>0</v>
      </c>
      <c r="I58" s="179">
        <v>0</v>
      </c>
      <c r="J58" s="80">
        <f t="shared" si="27"/>
        <v>0</v>
      </c>
      <c r="K58" s="179">
        <v>0</v>
      </c>
      <c r="L58" s="80">
        <f t="shared" si="28"/>
        <v>0</v>
      </c>
      <c r="M58" s="179">
        <v>0</v>
      </c>
      <c r="N58" s="80">
        <f t="shared" si="29"/>
        <v>0</v>
      </c>
      <c r="O58" s="179">
        <v>0</v>
      </c>
      <c r="P58" s="80">
        <f t="shared" si="30"/>
        <v>0</v>
      </c>
      <c r="Q58" s="179">
        <v>0</v>
      </c>
      <c r="R58" s="80">
        <f t="shared" si="31"/>
        <v>0</v>
      </c>
      <c r="S58" s="179">
        <v>0</v>
      </c>
      <c r="T58" s="80">
        <f t="shared" si="32"/>
        <v>0</v>
      </c>
      <c r="U58" s="179">
        <v>0</v>
      </c>
      <c r="V58" s="80">
        <f t="shared" si="33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4"/>
        <v>0</v>
      </c>
      <c r="E59" s="179">
        <v>0</v>
      </c>
      <c r="F59" s="80">
        <f t="shared" si="25"/>
        <v>0</v>
      </c>
      <c r="G59" s="179">
        <v>0</v>
      </c>
      <c r="H59" s="80">
        <f t="shared" si="26"/>
        <v>0</v>
      </c>
      <c r="I59" s="179">
        <v>0</v>
      </c>
      <c r="J59" s="80">
        <f t="shared" si="27"/>
        <v>0</v>
      </c>
      <c r="K59" s="179">
        <v>0</v>
      </c>
      <c r="L59" s="80">
        <f t="shared" si="28"/>
        <v>0</v>
      </c>
      <c r="M59" s="179">
        <v>0</v>
      </c>
      <c r="N59" s="80">
        <f t="shared" si="29"/>
        <v>0</v>
      </c>
      <c r="O59" s="179">
        <v>0</v>
      </c>
      <c r="P59" s="80">
        <f t="shared" si="30"/>
        <v>0</v>
      </c>
      <c r="Q59" s="179">
        <v>0</v>
      </c>
      <c r="R59" s="80">
        <f t="shared" si="31"/>
        <v>0</v>
      </c>
      <c r="S59" s="179">
        <v>0</v>
      </c>
      <c r="T59" s="80">
        <f t="shared" si="32"/>
        <v>0</v>
      </c>
      <c r="U59" s="179">
        <v>0</v>
      </c>
      <c r="V59" s="80">
        <f t="shared" si="33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4"/>
        <v>0</v>
      </c>
      <c r="E60" s="179">
        <v>0</v>
      </c>
      <c r="F60" s="80">
        <f t="shared" si="25"/>
        <v>0</v>
      </c>
      <c r="G60" s="179">
        <v>0</v>
      </c>
      <c r="H60" s="80">
        <f t="shared" si="26"/>
        <v>0</v>
      </c>
      <c r="I60" s="179">
        <v>0</v>
      </c>
      <c r="J60" s="80">
        <f t="shared" si="27"/>
        <v>0</v>
      </c>
      <c r="K60" s="179">
        <v>0</v>
      </c>
      <c r="L60" s="80">
        <f t="shared" si="28"/>
        <v>0</v>
      </c>
      <c r="M60" s="179">
        <v>0</v>
      </c>
      <c r="N60" s="80">
        <f t="shared" si="29"/>
        <v>0</v>
      </c>
      <c r="O60" s="179">
        <v>0</v>
      </c>
      <c r="P60" s="80">
        <f t="shared" si="30"/>
        <v>0</v>
      </c>
      <c r="Q60" s="179">
        <v>0</v>
      </c>
      <c r="R60" s="80">
        <f t="shared" si="31"/>
        <v>0</v>
      </c>
      <c r="S60" s="179">
        <v>0</v>
      </c>
      <c r="T60" s="80">
        <f t="shared" si="32"/>
        <v>0</v>
      </c>
      <c r="U60" s="179">
        <v>0</v>
      </c>
      <c r="V60" s="80">
        <f t="shared" si="33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4"/>
        <v>0</v>
      </c>
      <c r="E61" s="179">
        <v>0</v>
      </c>
      <c r="F61" s="80">
        <f t="shared" si="25"/>
        <v>0</v>
      </c>
      <c r="G61" s="179">
        <v>0</v>
      </c>
      <c r="H61" s="80">
        <f t="shared" si="26"/>
        <v>0</v>
      </c>
      <c r="I61" s="179">
        <v>0</v>
      </c>
      <c r="J61" s="80">
        <f t="shared" si="27"/>
        <v>0</v>
      </c>
      <c r="K61" s="179">
        <v>0</v>
      </c>
      <c r="L61" s="80">
        <f t="shared" si="28"/>
        <v>0</v>
      </c>
      <c r="M61" s="179">
        <v>0</v>
      </c>
      <c r="N61" s="80">
        <f t="shared" si="29"/>
        <v>0</v>
      </c>
      <c r="O61" s="179">
        <v>0</v>
      </c>
      <c r="P61" s="80">
        <f t="shared" si="30"/>
        <v>0</v>
      </c>
      <c r="Q61" s="179">
        <v>0</v>
      </c>
      <c r="R61" s="80">
        <f t="shared" si="31"/>
        <v>0</v>
      </c>
      <c r="S61" s="179">
        <v>0</v>
      </c>
      <c r="T61" s="80">
        <f t="shared" si="32"/>
        <v>0</v>
      </c>
      <c r="U61" s="179">
        <v>0</v>
      </c>
      <c r="V61" s="80">
        <f t="shared" si="33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4"/>
        <v>0</v>
      </c>
      <c r="E62" s="179">
        <v>0</v>
      </c>
      <c r="F62" s="80">
        <f t="shared" si="25"/>
        <v>0</v>
      </c>
      <c r="G62" s="179">
        <v>0</v>
      </c>
      <c r="H62" s="80">
        <f t="shared" si="26"/>
        <v>0</v>
      </c>
      <c r="I62" s="179">
        <v>0</v>
      </c>
      <c r="J62" s="80">
        <f t="shared" si="27"/>
        <v>0</v>
      </c>
      <c r="K62" s="179">
        <v>0</v>
      </c>
      <c r="L62" s="80">
        <f t="shared" si="28"/>
        <v>0</v>
      </c>
      <c r="M62" s="179">
        <v>0</v>
      </c>
      <c r="N62" s="80">
        <f t="shared" si="29"/>
        <v>0</v>
      </c>
      <c r="O62" s="179">
        <v>0</v>
      </c>
      <c r="P62" s="80">
        <f t="shared" si="30"/>
        <v>0</v>
      </c>
      <c r="Q62" s="179">
        <v>0</v>
      </c>
      <c r="R62" s="80">
        <f t="shared" si="31"/>
        <v>0</v>
      </c>
      <c r="S62" s="179">
        <v>0</v>
      </c>
      <c r="T62" s="80">
        <f t="shared" si="32"/>
        <v>0</v>
      </c>
      <c r="U62" s="179">
        <v>0</v>
      </c>
      <c r="V62" s="80">
        <f t="shared" si="33"/>
        <v>0</v>
      </c>
      <c r="X62" s="200"/>
    </row>
    <row r="63" spans="1:24" ht="12.75" customHeight="1">
      <c r="A63" s="2" t="s">
        <v>394</v>
      </c>
      <c r="B63" s="35"/>
      <c r="C63" s="179">
        <v>7204.2786633148526</v>
      </c>
      <c r="D63" s="80">
        <f t="shared" si="24"/>
        <v>1.3722435549171148E-2</v>
      </c>
      <c r="E63" s="179">
        <v>4460.4592609514621</v>
      </c>
      <c r="F63" s="80">
        <f t="shared" si="25"/>
        <v>7.7573204538286299E-3</v>
      </c>
      <c r="G63" s="179">
        <v>5221.3428892530592</v>
      </c>
      <c r="H63" s="80">
        <f t="shared" si="26"/>
        <v>8.9025454207213289E-3</v>
      </c>
      <c r="I63" s="179">
        <v>5279.1764415678654</v>
      </c>
      <c r="J63" s="80">
        <f t="shared" si="27"/>
        <v>8.8246601500557732E-3</v>
      </c>
      <c r="K63" s="179">
        <v>5322.7474318873983</v>
      </c>
      <c r="L63" s="80">
        <f t="shared" si="28"/>
        <v>8.723032671687685E-3</v>
      </c>
      <c r="M63" s="179">
        <v>5417.7902019996072</v>
      </c>
      <c r="N63" s="80">
        <f t="shared" si="29"/>
        <v>8.7046968648497418E-3</v>
      </c>
      <c r="O63" s="179">
        <v>5514.8348266178918</v>
      </c>
      <c r="P63" s="80">
        <f t="shared" si="30"/>
        <v>8.686879675810168E-3</v>
      </c>
      <c r="Q63" s="179">
        <v>5613.7298618492277</v>
      </c>
      <c r="R63" s="80">
        <f t="shared" si="31"/>
        <v>8.6692721124281037E-3</v>
      </c>
      <c r="S63" s="179">
        <v>5714.3252159492713</v>
      </c>
      <c r="T63" s="80">
        <f t="shared" si="32"/>
        <v>8.6515895315735451E-3</v>
      </c>
      <c r="U63" s="179">
        <v>6039.187512016636</v>
      </c>
      <c r="V63" s="80">
        <f t="shared" si="33"/>
        <v>8.9641537240308933E-3</v>
      </c>
      <c r="X63" s="200"/>
    </row>
    <row r="64" spans="1:24" ht="12.75" customHeight="1">
      <c r="A64" s="2" t="s">
        <v>395</v>
      </c>
      <c r="B64" s="35"/>
      <c r="C64" s="179">
        <v>2519.9999999999995</v>
      </c>
      <c r="D64" s="80">
        <f t="shared" si="24"/>
        <v>4.7999999999999987E-3</v>
      </c>
      <c r="E64" s="179">
        <v>2759.9999999999995</v>
      </c>
      <c r="F64" s="80">
        <f t="shared" si="25"/>
        <v>4.7999999999999996E-3</v>
      </c>
      <c r="G64" s="179">
        <v>2815.2</v>
      </c>
      <c r="H64" s="80">
        <f t="shared" si="26"/>
        <v>4.7999999999999996E-3</v>
      </c>
      <c r="I64" s="179">
        <v>2871.5039999999999</v>
      </c>
      <c r="J64" s="80">
        <f t="shared" si="27"/>
        <v>4.7999999999999996E-3</v>
      </c>
      <c r="K64" s="179">
        <v>2928.9340799999995</v>
      </c>
      <c r="L64" s="80">
        <f t="shared" si="28"/>
        <v>4.7999999999999996E-3</v>
      </c>
      <c r="M64" s="179">
        <v>2987.5127615999995</v>
      </c>
      <c r="N64" s="80">
        <f t="shared" si="29"/>
        <v>4.7999999999999996E-3</v>
      </c>
      <c r="O64" s="179">
        <v>3047.2630168319997</v>
      </c>
      <c r="P64" s="80">
        <f t="shared" si="30"/>
        <v>4.7999999999999996E-3</v>
      </c>
      <c r="Q64" s="179">
        <v>3108.2082771686396</v>
      </c>
      <c r="R64" s="80">
        <f t="shared" si="31"/>
        <v>4.7999999999999987E-3</v>
      </c>
      <c r="S64" s="179">
        <v>3170.3724427120128</v>
      </c>
      <c r="T64" s="80">
        <f t="shared" si="32"/>
        <v>4.7999999999999996E-3</v>
      </c>
      <c r="U64" s="179">
        <v>3233.7798915662534</v>
      </c>
      <c r="V64" s="80">
        <f t="shared" si="33"/>
        <v>4.7999999999999996E-3</v>
      </c>
      <c r="X64" s="200"/>
    </row>
    <row r="65" spans="1:24" ht="12.75" customHeight="1">
      <c r="A65" s="2" t="s">
        <v>396</v>
      </c>
      <c r="B65" s="35"/>
      <c r="C65" s="179">
        <v>262.5</v>
      </c>
      <c r="D65" s="80">
        <f t="shared" si="24"/>
        <v>5.0000000000000001E-4</v>
      </c>
      <c r="E65" s="179">
        <v>287.5</v>
      </c>
      <c r="F65" s="80">
        <f t="shared" si="25"/>
        <v>5.0000000000000001E-4</v>
      </c>
      <c r="G65" s="179">
        <v>293.25</v>
      </c>
      <c r="H65" s="80">
        <f t="shared" si="26"/>
        <v>5.0000000000000001E-4</v>
      </c>
      <c r="I65" s="179">
        <v>299.11500000000007</v>
      </c>
      <c r="J65" s="80">
        <f t="shared" si="27"/>
        <v>5.0000000000000012E-4</v>
      </c>
      <c r="K65" s="179">
        <v>305.09730000000002</v>
      </c>
      <c r="L65" s="80">
        <f t="shared" si="28"/>
        <v>5.0000000000000001E-4</v>
      </c>
      <c r="M65" s="179">
        <v>311.19924599999996</v>
      </c>
      <c r="N65" s="80">
        <f t="shared" si="29"/>
        <v>5.0000000000000001E-4</v>
      </c>
      <c r="O65" s="179">
        <v>317.42323092000004</v>
      </c>
      <c r="P65" s="80">
        <f t="shared" si="30"/>
        <v>5.0000000000000001E-4</v>
      </c>
      <c r="Q65" s="179">
        <v>323.77169553840002</v>
      </c>
      <c r="R65" s="80">
        <f t="shared" si="31"/>
        <v>5.0000000000000001E-4</v>
      </c>
      <c r="S65" s="179">
        <v>330.24712944916803</v>
      </c>
      <c r="T65" s="80">
        <f t="shared" si="32"/>
        <v>5.0000000000000001E-4</v>
      </c>
      <c r="U65" s="179">
        <v>336.85207203815145</v>
      </c>
      <c r="V65" s="80">
        <f t="shared" si="33"/>
        <v>5.0000000000000001E-4</v>
      </c>
      <c r="X65" s="200"/>
    </row>
    <row r="66" spans="1:24" ht="12.75" customHeight="1">
      <c r="A66" s="2" t="s">
        <v>397</v>
      </c>
      <c r="B66" s="35"/>
      <c r="C66" s="179">
        <v>1470</v>
      </c>
      <c r="D66" s="80">
        <f t="shared" si="24"/>
        <v>2.8E-3</v>
      </c>
      <c r="E66" s="179">
        <v>1610</v>
      </c>
      <c r="F66" s="80">
        <f t="shared" si="25"/>
        <v>2.8E-3</v>
      </c>
      <c r="G66" s="179">
        <v>1642.2</v>
      </c>
      <c r="H66" s="80">
        <f t="shared" si="26"/>
        <v>2.8E-3</v>
      </c>
      <c r="I66" s="179">
        <v>1675.0439999999999</v>
      </c>
      <c r="J66" s="80">
        <f t="shared" si="27"/>
        <v>2.8E-3</v>
      </c>
      <c r="K66" s="179">
        <v>1708.5448799999999</v>
      </c>
      <c r="L66" s="80">
        <f t="shared" si="28"/>
        <v>2.8E-3</v>
      </c>
      <c r="M66" s="179">
        <v>1742.7157775999997</v>
      </c>
      <c r="N66" s="80">
        <f t="shared" si="29"/>
        <v>2.7999999999999995E-3</v>
      </c>
      <c r="O66" s="179">
        <v>1777.570093152</v>
      </c>
      <c r="P66" s="80">
        <f t="shared" si="30"/>
        <v>2.8E-3</v>
      </c>
      <c r="Q66" s="179">
        <v>1813.1214950150402</v>
      </c>
      <c r="R66" s="80">
        <f t="shared" si="31"/>
        <v>2.8E-3</v>
      </c>
      <c r="S66" s="179">
        <v>1849.3839249153409</v>
      </c>
      <c r="T66" s="80">
        <f t="shared" si="32"/>
        <v>2.8E-3</v>
      </c>
      <c r="U66" s="179">
        <v>1886.371603413648</v>
      </c>
      <c r="V66" s="80">
        <f t="shared" si="33"/>
        <v>2.8E-3</v>
      </c>
      <c r="X66" s="200"/>
    </row>
    <row r="67" spans="1:24" ht="12.75" customHeight="1">
      <c r="A67" s="2" t="s">
        <v>398</v>
      </c>
      <c r="B67" s="35"/>
      <c r="C67" s="179">
        <v>7874.9999999999991</v>
      </c>
      <c r="D67" s="80">
        <f t="shared" si="24"/>
        <v>1.4999999999999998E-2</v>
      </c>
      <c r="E67" s="179">
        <v>8625</v>
      </c>
      <c r="F67" s="80">
        <f t="shared" si="25"/>
        <v>1.4999999999999999E-2</v>
      </c>
      <c r="G67" s="179">
        <v>8797.5</v>
      </c>
      <c r="H67" s="80">
        <f t="shared" si="26"/>
        <v>1.4999999999999999E-2</v>
      </c>
      <c r="I67" s="179">
        <v>8973.4500000000007</v>
      </c>
      <c r="J67" s="80">
        <f t="shared" si="27"/>
        <v>1.5000000000000001E-2</v>
      </c>
      <c r="K67" s="179">
        <v>9152.9189999999999</v>
      </c>
      <c r="L67" s="80">
        <f t="shared" si="28"/>
        <v>1.5000000000000001E-2</v>
      </c>
      <c r="M67" s="179">
        <v>9335.9773799999984</v>
      </c>
      <c r="N67" s="80">
        <f t="shared" si="29"/>
        <v>1.4999999999999998E-2</v>
      </c>
      <c r="O67" s="179">
        <v>9522.6969276</v>
      </c>
      <c r="P67" s="80">
        <f t="shared" si="30"/>
        <v>1.4999999999999999E-2</v>
      </c>
      <c r="Q67" s="179">
        <v>9713.150866152002</v>
      </c>
      <c r="R67" s="80">
        <f t="shared" si="31"/>
        <v>1.5000000000000001E-2</v>
      </c>
      <c r="S67" s="179">
        <v>9907.4138834750411</v>
      </c>
      <c r="T67" s="80">
        <f t="shared" si="32"/>
        <v>1.4999999999999999E-2</v>
      </c>
      <c r="U67" s="179">
        <v>10105.562161144542</v>
      </c>
      <c r="V67" s="80">
        <f t="shared" si="33"/>
        <v>1.4999999999999998E-2</v>
      </c>
      <c r="X67" s="200"/>
    </row>
    <row r="68" spans="1:24" ht="12.75" customHeight="1">
      <c r="A68" s="2" t="s">
        <v>399</v>
      </c>
      <c r="B68" s="35"/>
      <c r="C68" s="179">
        <v>892.49999999999989</v>
      </c>
      <c r="D68" s="80">
        <f t="shared" si="24"/>
        <v>1.6999999999999997E-3</v>
      </c>
      <c r="E68" s="179">
        <v>977.49999999999989</v>
      </c>
      <c r="F68" s="80">
        <f t="shared" si="25"/>
        <v>1.6999999999999999E-3</v>
      </c>
      <c r="G68" s="179">
        <v>997.05</v>
      </c>
      <c r="H68" s="80">
        <f t="shared" si="26"/>
        <v>1.6999999999999999E-3</v>
      </c>
      <c r="I68" s="179">
        <v>1016.9910000000001</v>
      </c>
      <c r="J68" s="80">
        <f t="shared" si="27"/>
        <v>1.7000000000000001E-3</v>
      </c>
      <c r="K68" s="179">
        <v>1037.3308199999999</v>
      </c>
      <c r="L68" s="80">
        <f t="shared" si="28"/>
        <v>1.6999999999999999E-3</v>
      </c>
      <c r="M68" s="179">
        <v>1058.0774363999999</v>
      </c>
      <c r="N68" s="80">
        <f t="shared" si="29"/>
        <v>1.6999999999999999E-3</v>
      </c>
      <c r="O68" s="179">
        <v>1079.238985128</v>
      </c>
      <c r="P68" s="80">
        <f t="shared" si="30"/>
        <v>1.6999999999999999E-3</v>
      </c>
      <c r="Q68" s="179">
        <v>1100.8237648305601</v>
      </c>
      <c r="R68" s="80">
        <f t="shared" si="31"/>
        <v>1.6999999999999999E-3</v>
      </c>
      <c r="S68" s="179">
        <v>1122.8402401271712</v>
      </c>
      <c r="T68" s="80">
        <f t="shared" si="32"/>
        <v>1.6999999999999999E-3</v>
      </c>
      <c r="U68" s="179">
        <v>1145.2970449297147</v>
      </c>
      <c r="V68" s="80">
        <f t="shared" si="33"/>
        <v>1.6999999999999997E-3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4"/>
        <v>0</v>
      </c>
      <c r="E69" s="179">
        <v>0</v>
      </c>
      <c r="F69" s="80">
        <f t="shared" si="25"/>
        <v>0</v>
      </c>
      <c r="G69" s="179">
        <v>0</v>
      </c>
      <c r="H69" s="80">
        <f t="shared" si="26"/>
        <v>0</v>
      </c>
      <c r="I69" s="179">
        <v>0</v>
      </c>
      <c r="J69" s="80">
        <f t="shared" si="27"/>
        <v>0</v>
      </c>
      <c r="K69" s="179">
        <v>0</v>
      </c>
      <c r="L69" s="80">
        <f t="shared" si="28"/>
        <v>0</v>
      </c>
      <c r="M69" s="179">
        <v>0</v>
      </c>
      <c r="N69" s="80">
        <f t="shared" si="29"/>
        <v>0</v>
      </c>
      <c r="O69" s="179">
        <v>0</v>
      </c>
      <c r="P69" s="80">
        <f t="shared" si="30"/>
        <v>0</v>
      </c>
      <c r="Q69" s="179">
        <v>0</v>
      </c>
      <c r="R69" s="80">
        <f t="shared" si="31"/>
        <v>0</v>
      </c>
      <c r="S69" s="179">
        <v>0</v>
      </c>
      <c r="T69" s="80">
        <f t="shared" si="32"/>
        <v>0</v>
      </c>
      <c r="U69" s="179">
        <v>0</v>
      </c>
      <c r="V69" s="80">
        <f t="shared" si="33"/>
        <v>0</v>
      </c>
      <c r="X69" s="200"/>
    </row>
    <row r="70" spans="1:24" ht="12.75" customHeight="1">
      <c r="A70" s="2" t="s">
        <v>401</v>
      </c>
      <c r="B70" s="35"/>
      <c r="C70" s="179">
        <v>52.500000000000007</v>
      </c>
      <c r="D70" s="80">
        <f t="shared" si="24"/>
        <v>1.0000000000000002E-4</v>
      </c>
      <c r="E70" s="179">
        <v>57.5</v>
      </c>
      <c r="F70" s="80">
        <f t="shared" si="25"/>
        <v>1E-4</v>
      </c>
      <c r="G70" s="179">
        <v>58.65</v>
      </c>
      <c r="H70" s="80">
        <f t="shared" si="26"/>
        <v>9.9999999999999991E-5</v>
      </c>
      <c r="I70" s="179">
        <v>59.823000000000008</v>
      </c>
      <c r="J70" s="80">
        <f t="shared" si="27"/>
        <v>1.0000000000000002E-4</v>
      </c>
      <c r="K70" s="179">
        <v>61.019460000000002</v>
      </c>
      <c r="L70" s="80">
        <f t="shared" si="28"/>
        <v>1E-4</v>
      </c>
      <c r="M70" s="179">
        <v>62.239849199999995</v>
      </c>
      <c r="N70" s="80">
        <f t="shared" si="29"/>
        <v>9.9999999999999991E-5</v>
      </c>
      <c r="O70" s="179">
        <v>63.484646184000013</v>
      </c>
      <c r="P70" s="80">
        <f t="shared" si="30"/>
        <v>1.0000000000000002E-4</v>
      </c>
      <c r="Q70" s="179">
        <v>64.754339107680011</v>
      </c>
      <c r="R70" s="80">
        <f t="shared" si="31"/>
        <v>1E-4</v>
      </c>
      <c r="S70" s="179">
        <v>66.049425889833614</v>
      </c>
      <c r="T70" s="80">
        <f t="shared" si="32"/>
        <v>1E-4</v>
      </c>
      <c r="U70" s="179">
        <v>67.370414407630292</v>
      </c>
      <c r="V70" s="80">
        <f t="shared" si="33"/>
        <v>1E-4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4"/>
        <v>0</v>
      </c>
      <c r="E71" s="179">
        <v>0</v>
      </c>
      <c r="F71" s="80">
        <f t="shared" si="25"/>
        <v>0</v>
      </c>
      <c r="G71" s="179">
        <v>0</v>
      </c>
      <c r="H71" s="80">
        <f t="shared" si="26"/>
        <v>0</v>
      </c>
      <c r="I71" s="179">
        <v>0</v>
      </c>
      <c r="J71" s="80">
        <f t="shared" si="27"/>
        <v>0</v>
      </c>
      <c r="K71" s="179">
        <v>0</v>
      </c>
      <c r="L71" s="80">
        <f t="shared" si="28"/>
        <v>0</v>
      </c>
      <c r="M71" s="179">
        <v>0</v>
      </c>
      <c r="N71" s="80">
        <f t="shared" si="29"/>
        <v>0</v>
      </c>
      <c r="O71" s="179">
        <v>0</v>
      </c>
      <c r="P71" s="80">
        <f t="shared" si="30"/>
        <v>0</v>
      </c>
      <c r="Q71" s="179">
        <v>0</v>
      </c>
      <c r="R71" s="80">
        <f t="shared" si="31"/>
        <v>0</v>
      </c>
      <c r="S71" s="179">
        <v>0</v>
      </c>
      <c r="T71" s="80">
        <f t="shared" si="32"/>
        <v>0</v>
      </c>
      <c r="U71" s="179">
        <v>0</v>
      </c>
      <c r="V71" s="80">
        <f t="shared" si="33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4"/>
        <v>0</v>
      </c>
      <c r="E72" s="179">
        <v>0</v>
      </c>
      <c r="F72" s="80">
        <f t="shared" si="25"/>
        <v>0</v>
      </c>
      <c r="G72" s="179">
        <v>0</v>
      </c>
      <c r="H72" s="80">
        <f t="shared" si="26"/>
        <v>0</v>
      </c>
      <c r="I72" s="179">
        <v>0</v>
      </c>
      <c r="J72" s="80">
        <f t="shared" si="27"/>
        <v>0</v>
      </c>
      <c r="K72" s="179">
        <v>0</v>
      </c>
      <c r="L72" s="80">
        <f t="shared" si="28"/>
        <v>0</v>
      </c>
      <c r="M72" s="179">
        <v>0</v>
      </c>
      <c r="N72" s="80">
        <f t="shared" si="29"/>
        <v>0</v>
      </c>
      <c r="O72" s="179">
        <v>0</v>
      </c>
      <c r="P72" s="80">
        <f t="shared" si="30"/>
        <v>0</v>
      </c>
      <c r="Q72" s="179">
        <v>0</v>
      </c>
      <c r="R72" s="80">
        <f t="shared" si="31"/>
        <v>0</v>
      </c>
      <c r="S72" s="179">
        <v>0</v>
      </c>
      <c r="T72" s="80">
        <f t="shared" si="32"/>
        <v>0</v>
      </c>
      <c r="U72" s="179">
        <v>0</v>
      </c>
      <c r="V72" s="80">
        <f t="shared" si="33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4"/>
        <v>0</v>
      </c>
      <c r="E73" s="179">
        <v>0</v>
      </c>
      <c r="F73" s="80">
        <f t="shared" si="25"/>
        <v>0</v>
      </c>
      <c r="G73" s="179">
        <v>0</v>
      </c>
      <c r="H73" s="80">
        <f t="shared" si="26"/>
        <v>0</v>
      </c>
      <c r="I73" s="179">
        <v>0</v>
      </c>
      <c r="J73" s="80">
        <f t="shared" si="27"/>
        <v>0</v>
      </c>
      <c r="K73" s="179">
        <v>0</v>
      </c>
      <c r="L73" s="80">
        <f t="shared" si="28"/>
        <v>0</v>
      </c>
      <c r="M73" s="179">
        <v>0</v>
      </c>
      <c r="N73" s="80">
        <f t="shared" si="29"/>
        <v>0</v>
      </c>
      <c r="O73" s="179">
        <v>0</v>
      </c>
      <c r="P73" s="80">
        <f t="shared" si="30"/>
        <v>0</v>
      </c>
      <c r="Q73" s="179">
        <v>0</v>
      </c>
      <c r="R73" s="80">
        <f t="shared" si="31"/>
        <v>0</v>
      </c>
      <c r="S73" s="179">
        <v>0</v>
      </c>
      <c r="T73" s="80">
        <f t="shared" si="32"/>
        <v>0</v>
      </c>
      <c r="U73" s="179">
        <v>0</v>
      </c>
      <c r="V73" s="80">
        <f t="shared" si="33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4"/>
        <v>0</v>
      </c>
      <c r="E74" s="179">
        <v>0</v>
      </c>
      <c r="F74" s="80">
        <f t="shared" si="25"/>
        <v>0</v>
      </c>
      <c r="G74" s="179">
        <v>0</v>
      </c>
      <c r="H74" s="80">
        <f t="shared" si="26"/>
        <v>0</v>
      </c>
      <c r="I74" s="179">
        <v>0</v>
      </c>
      <c r="J74" s="80">
        <f t="shared" si="27"/>
        <v>0</v>
      </c>
      <c r="K74" s="179">
        <v>0</v>
      </c>
      <c r="L74" s="80">
        <f t="shared" si="28"/>
        <v>0</v>
      </c>
      <c r="M74" s="179">
        <v>0</v>
      </c>
      <c r="N74" s="80">
        <f t="shared" si="29"/>
        <v>0</v>
      </c>
      <c r="O74" s="179">
        <v>0</v>
      </c>
      <c r="P74" s="80">
        <f t="shared" si="30"/>
        <v>0</v>
      </c>
      <c r="Q74" s="179">
        <v>0</v>
      </c>
      <c r="R74" s="80">
        <f t="shared" si="31"/>
        <v>0</v>
      </c>
      <c r="S74" s="179">
        <v>0</v>
      </c>
      <c r="T74" s="80">
        <f t="shared" si="32"/>
        <v>0</v>
      </c>
      <c r="U74" s="179">
        <v>0</v>
      </c>
      <c r="V74" s="80">
        <f t="shared" si="33"/>
        <v>0</v>
      </c>
      <c r="X74" s="200"/>
    </row>
    <row r="75" spans="1:24" ht="12.75" customHeight="1">
      <c r="A75" s="2" t="s">
        <v>406</v>
      </c>
      <c r="B75" s="35"/>
      <c r="C75" s="179">
        <v>2625</v>
      </c>
      <c r="D75" s="80">
        <f t="shared" si="24"/>
        <v>5.0000000000000001E-3</v>
      </c>
      <c r="E75" s="179">
        <v>2874.9999999999995</v>
      </c>
      <c r="F75" s="80">
        <f t="shared" si="25"/>
        <v>4.9999999999999992E-3</v>
      </c>
      <c r="G75" s="179">
        <v>2932.5</v>
      </c>
      <c r="H75" s="80">
        <f t="shared" si="26"/>
        <v>5.0000000000000001E-3</v>
      </c>
      <c r="I75" s="179">
        <v>2991.1500000000005</v>
      </c>
      <c r="J75" s="80">
        <f t="shared" si="27"/>
        <v>5.000000000000001E-3</v>
      </c>
      <c r="K75" s="179">
        <v>3050.973</v>
      </c>
      <c r="L75" s="80">
        <f t="shared" si="28"/>
        <v>5.0000000000000001E-3</v>
      </c>
      <c r="M75" s="179">
        <v>3111.9924599999995</v>
      </c>
      <c r="N75" s="80">
        <f t="shared" si="29"/>
        <v>4.9999999999999992E-3</v>
      </c>
      <c r="O75" s="179">
        <v>3174.2323092000006</v>
      </c>
      <c r="P75" s="80">
        <f t="shared" si="30"/>
        <v>5.000000000000001E-3</v>
      </c>
      <c r="Q75" s="179">
        <v>3237.7169553840004</v>
      </c>
      <c r="R75" s="80">
        <f t="shared" si="31"/>
        <v>5.0000000000000001E-3</v>
      </c>
      <c r="S75" s="179">
        <v>3302.4712944916805</v>
      </c>
      <c r="T75" s="80">
        <f t="shared" si="32"/>
        <v>5.0000000000000001E-3</v>
      </c>
      <c r="U75" s="179">
        <v>3368.5207203815144</v>
      </c>
      <c r="V75" s="80">
        <f t="shared" si="33"/>
        <v>5.0000000000000001E-3</v>
      </c>
      <c r="X75" s="200"/>
    </row>
    <row r="76" spans="1:24" ht="12.75" customHeight="1">
      <c r="A76" s="2" t="s">
        <v>407</v>
      </c>
      <c r="B76" s="35"/>
      <c r="C76" s="179">
        <v>210.00000000000003</v>
      </c>
      <c r="D76" s="80">
        <f t="shared" si="24"/>
        <v>4.0000000000000007E-4</v>
      </c>
      <c r="E76" s="179">
        <v>230</v>
      </c>
      <c r="F76" s="80">
        <f t="shared" si="25"/>
        <v>4.0000000000000002E-4</v>
      </c>
      <c r="G76" s="179">
        <v>234.6</v>
      </c>
      <c r="H76" s="80">
        <f t="shared" si="26"/>
        <v>3.9999999999999996E-4</v>
      </c>
      <c r="I76" s="179">
        <v>239.29200000000003</v>
      </c>
      <c r="J76" s="80">
        <f t="shared" si="27"/>
        <v>4.0000000000000007E-4</v>
      </c>
      <c r="K76" s="179">
        <v>244.07784000000001</v>
      </c>
      <c r="L76" s="80">
        <f t="shared" si="28"/>
        <v>4.0000000000000002E-4</v>
      </c>
      <c r="M76" s="179">
        <v>248.95939679999998</v>
      </c>
      <c r="N76" s="80">
        <f t="shared" si="29"/>
        <v>3.9999999999999996E-4</v>
      </c>
      <c r="O76" s="179">
        <v>253.93858473600005</v>
      </c>
      <c r="P76" s="80">
        <f t="shared" si="30"/>
        <v>4.0000000000000007E-4</v>
      </c>
      <c r="Q76" s="179">
        <v>259.01735643072004</v>
      </c>
      <c r="R76" s="80">
        <f t="shared" si="31"/>
        <v>4.0000000000000002E-4</v>
      </c>
      <c r="S76" s="179">
        <v>264.19770355933446</v>
      </c>
      <c r="T76" s="80">
        <f t="shared" si="32"/>
        <v>4.0000000000000002E-4</v>
      </c>
      <c r="U76" s="179">
        <v>269.48165763052117</v>
      </c>
      <c r="V76" s="80">
        <f t="shared" si="33"/>
        <v>4.0000000000000002E-4</v>
      </c>
      <c r="X76" s="200"/>
    </row>
    <row r="77" spans="1:24" ht="12.75" customHeight="1">
      <c r="A77" s="2" t="s">
        <v>408</v>
      </c>
      <c r="B77" s="35"/>
      <c r="C77" s="179">
        <v>682.49999999999989</v>
      </c>
      <c r="D77" s="80">
        <f t="shared" si="24"/>
        <v>1.2999999999999997E-3</v>
      </c>
      <c r="E77" s="179">
        <v>747.49999999999989</v>
      </c>
      <c r="F77" s="80">
        <f t="shared" si="25"/>
        <v>1.2999999999999997E-3</v>
      </c>
      <c r="G77" s="179">
        <v>762.44999999999993</v>
      </c>
      <c r="H77" s="80">
        <f t="shared" si="26"/>
        <v>1.2999999999999999E-3</v>
      </c>
      <c r="I77" s="179">
        <v>777.69900000000007</v>
      </c>
      <c r="J77" s="80">
        <f t="shared" si="27"/>
        <v>1.3000000000000002E-3</v>
      </c>
      <c r="K77" s="179">
        <v>793.25297999999987</v>
      </c>
      <c r="L77" s="80">
        <f t="shared" si="28"/>
        <v>1.2999999999999997E-3</v>
      </c>
      <c r="M77" s="179">
        <v>809.11803959999986</v>
      </c>
      <c r="N77" s="80">
        <f t="shared" si="29"/>
        <v>1.2999999999999999E-3</v>
      </c>
      <c r="O77" s="179">
        <v>825.30040039199991</v>
      </c>
      <c r="P77" s="80">
        <f t="shared" si="30"/>
        <v>1.2999999999999999E-3</v>
      </c>
      <c r="Q77" s="179">
        <v>841.80640839984005</v>
      </c>
      <c r="R77" s="80">
        <f t="shared" si="31"/>
        <v>1.2999999999999999E-3</v>
      </c>
      <c r="S77" s="179">
        <v>858.64253656783683</v>
      </c>
      <c r="T77" s="80">
        <f t="shared" si="32"/>
        <v>1.2999999999999999E-3</v>
      </c>
      <c r="U77" s="179">
        <v>875.81538729919373</v>
      </c>
      <c r="V77" s="80">
        <f t="shared" si="33"/>
        <v>1.2999999999999999E-3</v>
      </c>
      <c r="X77" s="200"/>
    </row>
    <row r="78" spans="1:24" ht="12.75" customHeight="1">
      <c r="A78" s="2" t="s">
        <v>409</v>
      </c>
      <c r="B78" s="35"/>
      <c r="C78" s="179">
        <v>11549.999999999998</v>
      </c>
      <c r="D78" s="80">
        <f t="shared" si="24"/>
        <v>2.1999999999999995E-2</v>
      </c>
      <c r="E78" s="179">
        <v>12649.999999999998</v>
      </c>
      <c r="F78" s="80">
        <f t="shared" si="25"/>
        <v>2.1999999999999995E-2</v>
      </c>
      <c r="G78" s="179">
        <v>12902.999999999998</v>
      </c>
      <c r="H78" s="80">
        <f t="shared" si="26"/>
        <v>2.1999999999999995E-2</v>
      </c>
      <c r="I78" s="179">
        <v>13161.06</v>
      </c>
      <c r="J78" s="80">
        <f t="shared" si="27"/>
        <v>2.1999999999999999E-2</v>
      </c>
      <c r="K78" s="179">
        <v>13424.281199999999</v>
      </c>
      <c r="L78" s="80">
        <f t="shared" si="28"/>
        <v>2.1999999999999999E-2</v>
      </c>
      <c r="M78" s="179">
        <v>13692.766823999998</v>
      </c>
      <c r="N78" s="80">
        <f t="shared" si="29"/>
        <v>2.1999999999999999E-2</v>
      </c>
      <c r="O78" s="179">
        <v>13966.622160479999</v>
      </c>
      <c r="P78" s="80">
        <f t="shared" si="30"/>
        <v>2.1999999999999999E-2</v>
      </c>
      <c r="Q78" s="179">
        <v>14245.954603689599</v>
      </c>
      <c r="R78" s="80">
        <f t="shared" si="31"/>
        <v>2.1999999999999995E-2</v>
      </c>
      <c r="S78" s="179">
        <v>14530.873695763392</v>
      </c>
      <c r="T78" s="80">
        <f t="shared" si="32"/>
        <v>2.1999999999999995E-2</v>
      </c>
      <c r="U78" s="179">
        <v>14821.491169678664</v>
      </c>
      <c r="V78" s="80">
        <f t="shared" si="33"/>
        <v>2.2000000000000002E-2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4"/>
        <v>0</v>
      </c>
      <c r="E79" s="179">
        <v>0</v>
      </c>
      <c r="F79" s="80">
        <f t="shared" si="25"/>
        <v>0</v>
      </c>
      <c r="G79" s="179">
        <v>0</v>
      </c>
      <c r="H79" s="80">
        <f t="shared" si="26"/>
        <v>0</v>
      </c>
      <c r="I79" s="179">
        <v>0</v>
      </c>
      <c r="J79" s="80">
        <f t="shared" si="27"/>
        <v>0</v>
      </c>
      <c r="K79" s="179">
        <v>0</v>
      </c>
      <c r="L79" s="80">
        <f t="shared" si="28"/>
        <v>0</v>
      </c>
      <c r="M79" s="179">
        <v>0</v>
      </c>
      <c r="N79" s="80">
        <f t="shared" si="29"/>
        <v>0</v>
      </c>
      <c r="O79" s="179">
        <v>0</v>
      </c>
      <c r="P79" s="80">
        <f t="shared" si="30"/>
        <v>0</v>
      </c>
      <c r="Q79" s="179">
        <v>0</v>
      </c>
      <c r="R79" s="80">
        <f t="shared" si="31"/>
        <v>0</v>
      </c>
      <c r="S79" s="179">
        <v>0</v>
      </c>
      <c r="T79" s="80">
        <f t="shared" si="32"/>
        <v>0</v>
      </c>
      <c r="U79" s="179">
        <v>0</v>
      </c>
      <c r="V79" s="80">
        <f t="shared" si="33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4"/>
        <v>0</v>
      </c>
      <c r="E80" s="179">
        <v>0</v>
      </c>
      <c r="F80" s="80">
        <f t="shared" si="25"/>
        <v>0</v>
      </c>
      <c r="G80" s="179">
        <v>0</v>
      </c>
      <c r="H80" s="80">
        <f t="shared" si="26"/>
        <v>0</v>
      </c>
      <c r="I80" s="179">
        <v>0</v>
      </c>
      <c r="J80" s="80">
        <f t="shared" si="27"/>
        <v>0</v>
      </c>
      <c r="K80" s="179">
        <v>0</v>
      </c>
      <c r="L80" s="80">
        <f t="shared" si="28"/>
        <v>0</v>
      </c>
      <c r="M80" s="179">
        <v>0</v>
      </c>
      <c r="N80" s="80">
        <f t="shared" si="29"/>
        <v>0</v>
      </c>
      <c r="O80" s="179">
        <v>0</v>
      </c>
      <c r="P80" s="80">
        <f t="shared" si="30"/>
        <v>0</v>
      </c>
      <c r="Q80" s="179">
        <v>0</v>
      </c>
      <c r="R80" s="80">
        <f t="shared" si="31"/>
        <v>0</v>
      </c>
      <c r="S80" s="179">
        <v>0</v>
      </c>
      <c r="T80" s="80">
        <f t="shared" si="32"/>
        <v>0</v>
      </c>
      <c r="U80" s="179">
        <v>0</v>
      </c>
      <c r="V80" s="80">
        <f t="shared" si="33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4"/>
        <v>0</v>
      </c>
      <c r="E81" s="179">
        <v>0</v>
      </c>
      <c r="F81" s="80">
        <f t="shared" si="25"/>
        <v>0</v>
      </c>
      <c r="G81" s="179">
        <v>0</v>
      </c>
      <c r="H81" s="80">
        <f t="shared" si="26"/>
        <v>0</v>
      </c>
      <c r="I81" s="179">
        <v>0</v>
      </c>
      <c r="J81" s="80">
        <f t="shared" si="27"/>
        <v>0</v>
      </c>
      <c r="K81" s="179">
        <v>0</v>
      </c>
      <c r="L81" s="80">
        <f t="shared" si="28"/>
        <v>0</v>
      </c>
      <c r="M81" s="179">
        <v>0</v>
      </c>
      <c r="N81" s="80">
        <f t="shared" si="29"/>
        <v>0</v>
      </c>
      <c r="O81" s="179">
        <v>0</v>
      </c>
      <c r="P81" s="80">
        <f t="shared" si="30"/>
        <v>0</v>
      </c>
      <c r="Q81" s="179">
        <v>0</v>
      </c>
      <c r="R81" s="80">
        <f t="shared" si="31"/>
        <v>0</v>
      </c>
      <c r="S81" s="179">
        <v>0</v>
      </c>
      <c r="T81" s="80">
        <f t="shared" si="32"/>
        <v>0</v>
      </c>
      <c r="U81" s="179">
        <v>0</v>
      </c>
      <c r="V81" s="80">
        <f t="shared" si="33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4"/>
        <v>0</v>
      </c>
      <c r="E82" s="179">
        <v>0</v>
      </c>
      <c r="F82" s="80">
        <f t="shared" si="25"/>
        <v>0</v>
      </c>
      <c r="G82" s="179">
        <v>0</v>
      </c>
      <c r="H82" s="80">
        <f t="shared" si="26"/>
        <v>0</v>
      </c>
      <c r="I82" s="179">
        <v>0</v>
      </c>
      <c r="J82" s="80">
        <f t="shared" si="27"/>
        <v>0</v>
      </c>
      <c r="K82" s="179">
        <v>0</v>
      </c>
      <c r="L82" s="80">
        <f t="shared" si="28"/>
        <v>0</v>
      </c>
      <c r="M82" s="179">
        <v>0</v>
      </c>
      <c r="N82" s="80">
        <f t="shared" si="29"/>
        <v>0</v>
      </c>
      <c r="O82" s="179">
        <v>0</v>
      </c>
      <c r="P82" s="80">
        <f t="shared" si="30"/>
        <v>0</v>
      </c>
      <c r="Q82" s="179">
        <v>0</v>
      </c>
      <c r="R82" s="80">
        <f t="shared" si="31"/>
        <v>0</v>
      </c>
      <c r="S82" s="179">
        <v>0</v>
      </c>
      <c r="T82" s="80">
        <f t="shared" si="32"/>
        <v>0</v>
      </c>
      <c r="U82" s="179">
        <v>0</v>
      </c>
      <c r="V82" s="80">
        <f t="shared" si="33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4"/>
        <v>0</v>
      </c>
      <c r="E83" s="179">
        <v>0</v>
      </c>
      <c r="F83" s="80">
        <f t="shared" si="25"/>
        <v>0</v>
      </c>
      <c r="G83" s="179">
        <v>0</v>
      </c>
      <c r="H83" s="80">
        <f t="shared" si="26"/>
        <v>0</v>
      </c>
      <c r="I83" s="179">
        <v>0</v>
      </c>
      <c r="J83" s="80">
        <f t="shared" si="27"/>
        <v>0</v>
      </c>
      <c r="K83" s="179">
        <v>0</v>
      </c>
      <c r="L83" s="80">
        <f t="shared" si="28"/>
        <v>0</v>
      </c>
      <c r="M83" s="179">
        <v>0</v>
      </c>
      <c r="N83" s="80">
        <f t="shared" si="29"/>
        <v>0</v>
      </c>
      <c r="O83" s="179">
        <v>0</v>
      </c>
      <c r="P83" s="80">
        <f t="shared" si="30"/>
        <v>0</v>
      </c>
      <c r="Q83" s="179">
        <v>0</v>
      </c>
      <c r="R83" s="80">
        <f t="shared" si="31"/>
        <v>0</v>
      </c>
      <c r="S83" s="179">
        <v>0</v>
      </c>
      <c r="T83" s="80">
        <f t="shared" si="32"/>
        <v>0</v>
      </c>
      <c r="U83" s="179">
        <v>0</v>
      </c>
      <c r="V83" s="80">
        <f t="shared" si="33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4"/>
        <v>0</v>
      </c>
      <c r="E84" s="179">
        <v>0</v>
      </c>
      <c r="F84" s="80">
        <f t="shared" si="25"/>
        <v>0</v>
      </c>
      <c r="G84" s="179">
        <v>0</v>
      </c>
      <c r="H84" s="80">
        <f t="shared" si="26"/>
        <v>0</v>
      </c>
      <c r="I84" s="179">
        <v>0</v>
      </c>
      <c r="J84" s="80">
        <f t="shared" si="27"/>
        <v>0</v>
      </c>
      <c r="K84" s="179">
        <v>0</v>
      </c>
      <c r="L84" s="80">
        <f t="shared" si="28"/>
        <v>0</v>
      </c>
      <c r="M84" s="179">
        <v>0</v>
      </c>
      <c r="N84" s="80">
        <f t="shared" si="29"/>
        <v>0</v>
      </c>
      <c r="O84" s="179">
        <v>0</v>
      </c>
      <c r="P84" s="80">
        <f t="shared" si="30"/>
        <v>0</v>
      </c>
      <c r="Q84" s="179">
        <v>0</v>
      </c>
      <c r="R84" s="80">
        <f t="shared" si="31"/>
        <v>0</v>
      </c>
      <c r="S84" s="179">
        <v>0</v>
      </c>
      <c r="T84" s="80">
        <f t="shared" si="32"/>
        <v>0</v>
      </c>
      <c r="U84" s="179">
        <v>0</v>
      </c>
      <c r="V84" s="80">
        <f t="shared" si="33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4"/>
        <v>0</v>
      </c>
      <c r="E85" s="179">
        <v>0</v>
      </c>
      <c r="F85" s="80">
        <f t="shared" si="25"/>
        <v>0</v>
      </c>
      <c r="G85" s="179">
        <v>0</v>
      </c>
      <c r="H85" s="80">
        <f t="shared" si="26"/>
        <v>0</v>
      </c>
      <c r="I85" s="179">
        <v>0</v>
      </c>
      <c r="J85" s="80">
        <f t="shared" si="27"/>
        <v>0</v>
      </c>
      <c r="K85" s="179">
        <v>0</v>
      </c>
      <c r="L85" s="80">
        <f t="shared" si="28"/>
        <v>0</v>
      </c>
      <c r="M85" s="179">
        <v>0</v>
      </c>
      <c r="N85" s="80">
        <f t="shared" si="29"/>
        <v>0</v>
      </c>
      <c r="O85" s="179">
        <v>0</v>
      </c>
      <c r="P85" s="80">
        <f t="shared" si="30"/>
        <v>0</v>
      </c>
      <c r="Q85" s="179">
        <v>0</v>
      </c>
      <c r="R85" s="80">
        <f t="shared" si="31"/>
        <v>0</v>
      </c>
      <c r="S85" s="179">
        <v>0</v>
      </c>
      <c r="T85" s="80">
        <f t="shared" si="32"/>
        <v>0</v>
      </c>
      <c r="U85" s="179">
        <v>0</v>
      </c>
      <c r="V85" s="80">
        <f t="shared" si="33"/>
        <v>0</v>
      </c>
      <c r="X85" s="200"/>
    </row>
    <row r="86" spans="1:24" ht="12.75" customHeight="1">
      <c r="A86" s="2" t="s">
        <v>417</v>
      </c>
      <c r="B86" s="35"/>
      <c r="C86" s="179">
        <v>2100</v>
      </c>
      <c r="D86" s="80">
        <f t="shared" si="24"/>
        <v>4.0000000000000001E-3</v>
      </c>
      <c r="E86" s="179">
        <v>2300</v>
      </c>
      <c r="F86" s="80">
        <f t="shared" si="25"/>
        <v>4.0000000000000001E-3</v>
      </c>
      <c r="G86" s="179">
        <v>2346</v>
      </c>
      <c r="H86" s="80">
        <f t="shared" si="26"/>
        <v>4.0000000000000001E-3</v>
      </c>
      <c r="I86" s="179">
        <v>2392.9200000000005</v>
      </c>
      <c r="J86" s="80">
        <f t="shared" si="27"/>
        <v>4.000000000000001E-3</v>
      </c>
      <c r="K86" s="179">
        <v>2440.7784000000001</v>
      </c>
      <c r="L86" s="80">
        <f t="shared" si="28"/>
        <v>4.0000000000000001E-3</v>
      </c>
      <c r="M86" s="179">
        <v>2489.5939679999997</v>
      </c>
      <c r="N86" s="80">
        <f t="shared" si="29"/>
        <v>4.0000000000000001E-3</v>
      </c>
      <c r="O86" s="179">
        <v>2539.3858473600003</v>
      </c>
      <c r="P86" s="80">
        <f t="shared" si="30"/>
        <v>4.0000000000000001E-3</v>
      </c>
      <c r="Q86" s="179">
        <v>2590.1735643072002</v>
      </c>
      <c r="R86" s="80">
        <f t="shared" si="31"/>
        <v>4.0000000000000001E-3</v>
      </c>
      <c r="S86" s="179">
        <v>2641.9770355933442</v>
      </c>
      <c r="T86" s="80">
        <f t="shared" si="32"/>
        <v>4.0000000000000001E-3</v>
      </c>
      <c r="U86" s="179">
        <v>2694.8165763052116</v>
      </c>
      <c r="V86" s="80">
        <f t="shared" si="33"/>
        <v>4.0000000000000001E-3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4"/>
        <v>0</v>
      </c>
      <c r="E87" s="179">
        <v>0</v>
      </c>
      <c r="F87" s="80">
        <f t="shared" si="25"/>
        <v>0</v>
      </c>
      <c r="G87" s="179">
        <v>0</v>
      </c>
      <c r="H87" s="80">
        <f t="shared" si="26"/>
        <v>0</v>
      </c>
      <c r="I87" s="179">
        <v>0</v>
      </c>
      <c r="J87" s="80">
        <f t="shared" si="27"/>
        <v>0</v>
      </c>
      <c r="K87" s="179">
        <v>0</v>
      </c>
      <c r="L87" s="80">
        <f t="shared" si="28"/>
        <v>0</v>
      </c>
      <c r="M87" s="179">
        <v>0</v>
      </c>
      <c r="N87" s="80">
        <f t="shared" si="29"/>
        <v>0</v>
      </c>
      <c r="O87" s="179">
        <v>0</v>
      </c>
      <c r="P87" s="80">
        <f t="shared" si="30"/>
        <v>0</v>
      </c>
      <c r="Q87" s="179">
        <v>0</v>
      </c>
      <c r="R87" s="80">
        <f t="shared" si="31"/>
        <v>0</v>
      </c>
      <c r="S87" s="179">
        <v>0</v>
      </c>
      <c r="T87" s="80">
        <f t="shared" si="32"/>
        <v>0</v>
      </c>
      <c r="U87" s="179">
        <v>0</v>
      </c>
      <c r="V87" s="80">
        <f t="shared" si="33"/>
        <v>0</v>
      </c>
      <c r="X87" s="200"/>
    </row>
    <row r="88" spans="1:24" ht="12.75" customHeight="1">
      <c r="A88" s="2" t="s">
        <v>419</v>
      </c>
      <c r="B88" s="35"/>
      <c r="C88" s="179">
        <v>2677.5</v>
      </c>
      <c r="D88" s="80">
        <f t="shared" si="24"/>
        <v>5.1000000000000004E-3</v>
      </c>
      <c r="E88" s="179">
        <v>2932.5</v>
      </c>
      <c r="F88" s="80">
        <f t="shared" si="25"/>
        <v>5.1000000000000004E-3</v>
      </c>
      <c r="G88" s="179">
        <v>2991.1500000000005</v>
      </c>
      <c r="H88" s="80">
        <f t="shared" si="26"/>
        <v>5.1000000000000012E-3</v>
      </c>
      <c r="I88" s="179">
        <v>3050.9730000000004</v>
      </c>
      <c r="J88" s="80">
        <f t="shared" si="27"/>
        <v>5.1000000000000004E-3</v>
      </c>
      <c r="K88" s="179">
        <v>3111.9924600000004</v>
      </c>
      <c r="L88" s="80">
        <f t="shared" si="28"/>
        <v>5.1000000000000012E-3</v>
      </c>
      <c r="M88" s="179">
        <v>3174.2323092000001</v>
      </c>
      <c r="N88" s="80">
        <f t="shared" si="29"/>
        <v>5.1000000000000004E-3</v>
      </c>
      <c r="O88" s="179">
        <v>3237.7169553840004</v>
      </c>
      <c r="P88" s="80">
        <f t="shared" si="30"/>
        <v>5.1000000000000004E-3</v>
      </c>
      <c r="Q88" s="179">
        <v>3302.4712944916805</v>
      </c>
      <c r="R88" s="80">
        <f t="shared" si="31"/>
        <v>5.1000000000000004E-3</v>
      </c>
      <c r="S88" s="179">
        <v>3368.5207203815144</v>
      </c>
      <c r="T88" s="80">
        <f t="shared" si="32"/>
        <v>5.1000000000000004E-3</v>
      </c>
      <c r="U88" s="179">
        <v>3435.8911347891453</v>
      </c>
      <c r="V88" s="80">
        <f t="shared" si="33"/>
        <v>5.1000000000000012E-3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4"/>
        <v>0</v>
      </c>
      <c r="E89" s="179">
        <v>0</v>
      </c>
      <c r="F89" s="80">
        <f t="shared" si="25"/>
        <v>0</v>
      </c>
      <c r="G89" s="179">
        <v>0</v>
      </c>
      <c r="H89" s="80">
        <f t="shared" si="26"/>
        <v>0</v>
      </c>
      <c r="I89" s="179">
        <v>0</v>
      </c>
      <c r="J89" s="80">
        <f t="shared" si="27"/>
        <v>0</v>
      </c>
      <c r="K89" s="179">
        <v>0</v>
      </c>
      <c r="L89" s="80">
        <f t="shared" si="28"/>
        <v>0</v>
      </c>
      <c r="M89" s="179">
        <v>0</v>
      </c>
      <c r="N89" s="80">
        <f t="shared" si="29"/>
        <v>0</v>
      </c>
      <c r="O89" s="179">
        <v>0</v>
      </c>
      <c r="P89" s="80">
        <f t="shared" si="30"/>
        <v>0</v>
      </c>
      <c r="Q89" s="179">
        <v>0</v>
      </c>
      <c r="R89" s="80">
        <f t="shared" si="31"/>
        <v>0</v>
      </c>
      <c r="S89" s="179">
        <v>0</v>
      </c>
      <c r="T89" s="80">
        <f t="shared" si="32"/>
        <v>0</v>
      </c>
      <c r="U89" s="179">
        <v>0</v>
      </c>
      <c r="V89" s="80">
        <f t="shared" si="33"/>
        <v>0</v>
      </c>
      <c r="X89" s="200"/>
    </row>
    <row r="90" spans="1:24" ht="12.75" customHeight="1">
      <c r="A90" s="2" t="s">
        <v>421</v>
      </c>
      <c r="B90" s="35"/>
      <c r="C90" s="179">
        <v>105.00000000000001</v>
      </c>
      <c r="D90" s="80">
        <f t="shared" si="24"/>
        <v>2.0000000000000004E-4</v>
      </c>
      <c r="E90" s="179">
        <v>115</v>
      </c>
      <c r="F90" s="80">
        <f t="shared" si="25"/>
        <v>2.0000000000000001E-4</v>
      </c>
      <c r="G90" s="179">
        <v>117.3</v>
      </c>
      <c r="H90" s="80">
        <f t="shared" si="26"/>
        <v>1.9999999999999998E-4</v>
      </c>
      <c r="I90" s="179">
        <v>119.64600000000002</v>
      </c>
      <c r="J90" s="80">
        <f t="shared" si="27"/>
        <v>2.0000000000000004E-4</v>
      </c>
      <c r="K90" s="179">
        <v>122.03892</v>
      </c>
      <c r="L90" s="80">
        <f t="shared" si="28"/>
        <v>2.0000000000000001E-4</v>
      </c>
      <c r="M90" s="179">
        <v>124.47969839999999</v>
      </c>
      <c r="N90" s="80">
        <f t="shared" si="29"/>
        <v>1.9999999999999998E-4</v>
      </c>
      <c r="O90" s="179">
        <v>126.96929236800003</v>
      </c>
      <c r="P90" s="80">
        <f t="shared" si="30"/>
        <v>2.0000000000000004E-4</v>
      </c>
      <c r="Q90" s="179">
        <v>129.50867821536002</v>
      </c>
      <c r="R90" s="80">
        <f t="shared" si="31"/>
        <v>2.0000000000000001E-4</v>
      </c>
      <c r="S90" s="179">
        <v>132.09885177966723</v>
      </c>
      <c r="T90" s="80">
        <f t="shared" si="32"/>
        <v>2.0000000000000001E-4</v>
      </c>
      <c r="U90" s="179">
        <v>134.74082881526058</v>
      </c>
      <c r="V90" s="80">
        <f t="shared" si="33"/>
        <v>2.0000000000000001E-4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24"/>
        <v>0</v>
      </c>
      <c r="E91" s="179">
        <v>0</v>
      </c>
      <c r="F91" s="80">
        <f t="shared" si="25"/>
        <v>0</v>
      </c>
      <c r="G91" s="179">
        <v>0</v>
      </c>
      <c r="H91" s="80">
        <f t="shared" si="26"/>
        <v>0</v>
      </c>
      <c r="I91" s="179">
        <v>0</v>
      </c>
      <c r="J91" s="80">
        <f t="shared" si="27"/>
        <v>0</v>
      </c>
      <c r="K91" s="179">
        <v>0</v>
      </c>
      <c r="L91" s="80">
        <f t="shared" si="28"/>
        <v>0</v>
      </c>
      <c r="M91" s="179">
        <v>0</v>
      </c>
      <c r="N91" s="80">
        <f t="shared" si="29"/>
        <v>0</v>
      </c>
      <c r="O91" s="179">
        <v>0</v>
      </c>
      <c r="P91" s="80">
        <f t="shared" si="30"/>
        <v>0</v>
      </c>
      <c r="Q91" s="179">
        <v>0</v>
      </c>
      <c r="R91" s="80">
        <f t="shared" si="31"/>
        <v>0</v>
      </c>
      <c r="S91" s="179">
        <v>0</v>
      </c>
      <c r="T91" s="80">
        <f t="shared" si="32"/>
        <v>0</v>
      </c>
      <c r="U91" s="179">
        <v>0</v>
      </c>
      <c r="V91" s="80">
        <f t="shared" si="33"/>
        <v>0</v>
      </c>
      <c r="X91" s="200"/>
    </row>
    <row r="92" spans="1:24" ht="12.75" customHeight="1">
      <c r="A92" s="2" t="s">
        <v>423</v>
      </c>
      <c r="B92" s="35"/>
      <c r="C92" s="179">
        <v>2729.9999999999995</v>
      </c>
      <c r="D92" s="80">
        <f t="shared" si="24"/>
        <v>5.1999999999999989E-3</v>
      </c>
      <c r="E92" s="179">
        <v>2989.9999999999995</v>
      </c>
      <c r="F92" s="80">
        <f t="shared" si="25"/>
        <v>5.1999999999999989E-3</v>
      </c>
      <c r="G92" s="179">
        <v>3049.7999999999997</v>
      </c>
      <c r="H92" s="80">
        <f t="shared" si="26"/>
        <v>5.1999999999999998E-3</v>
      </c>
      <c r="I92" s="179">
        <v>3110.7960000000003</v>
      </c>
      <c r="J92" s="80">
        <f t="shared" si="27"/>
        <v>5.2000000000000006E-3</v>
      </c>
      <c r="K92" s="179">
        <v>3173.0119199999995</v>
      </c>
      <c r="L92" s="80">
        <f t="shared" si="28"/>
        <v>5.1999999999999989E-3</v>
      </c>
      <c r="M92" s="179">
        <v>3236.4721583999994</v>
      </c>
      <c r="N92" s="80">
        <f t="shared" si="29"/>
        <v>5.1999999999999998E-3</v>
      </c>
      <c r="O92" s="179">
        <v>3301.2016015679997</v>
      </c>
      <c r="P92" s="80">
        <f t="shared" si="30"/>
        <v>5.1999999999999998E-3</v>
      </c>
      <c r="Q92" s="179">
        <v>3367.2256335993602</v>
      </c>
      <c r="R92" s="80">
        <f t="shared" si="31"/>
        <v>5.1999999999999998E-3</v>
      </c>
      <c r="S92" s="179">
        <v>3434.5701462713473</v>
      </c>
      <c r="T92" s="80">
        <f t="shared" si="32"/>
        <v>5.1999999999999998E-3</v>
      </c>
      <c r="U92" s="179">
        <v>3503.2615491967749</v>
      </c>
      <c r="V92" s="80">
        <f t="shared" si="33"/>
        <v>5.1999999999999998E-3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4"/>
        <v>0</v>
      </c>
      <c r="E93" s="179">
        <v>0</v>
      </c>
      <c r="F93" s="80">
        <f t="shared" si="25"/>
        <v>0</v>
      </c>
      <c r="G93" s="179">
        <v>0</v>
      </c>
      <c r="H93" s="80">
        <f t="shared" si="26"/>
        <v>0</v>
      </c>
      <c r="I93" s="179">
        <v>0</v>
      </c>
      <c r="J93" s="80">
        <f t="shared" si="27"/>
        <v>0</v>
      </c>
      <c r="K93" s="179">
        <v>0</v>
      </c>
      <c r="L93" s="80">
        <f t="shared" si="28"/>
        <v>0</v>
      </c>
      <c r="M93" s="179">
        <v>0</v>
      </c>
      <c r="N93" s="80">
        <f t="shared" si="29"/>
        <v>0</v>
      </c>
      <c r="O93" s="179">
        <v>0</v>
      </c>
      <c r="P93" s="80">
        <f t="shared" si="30"/>
        <v>0</v>
      </c>
      <c r="Q93" s="179">
        <v>0</v>
      </c>
      <c r="R93" s="80">
        <f t="shared" si="31"/>
        <v>0</v>
      </c>
      <c r="S93" s="179">
        <v>0</v>
      </c>
      <c r="T93" s="80">
        <f t="shared" si="32"/>
        <v>0</v>
      </c>
      <c r="U93" s="179">
        <v>0</v>
      </c>
      <c r="V93" s="80">
        <f t="shared" si="33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4"/>
        <v>0</v>
      </c>
      <c r="E94" s="179">
        <v>0</v>
      </c>
      <c r="F94" s="80">
        <f t="shared" si="25"/>
        <v>0</v>
      </c>
      <c r="G94" s="179">
        <v>0</v>
      </c>
      <c r="H94" s="80">
        <f t="shared" si="26"/>
        <v>0</v>
      </c>
      <c r="I94" s="179">
        <v>0</v>
      </c>
      <c r="J94" s="80">
        <f t="shared" si="27"/>
        <v>0</v>
      </c>
      <c r="K94" s="179">
        <v>0</v>
      </c>
      <c r="L94" s="80">
        <f t="shared" si="28"/>
        <v>0</v>
      </c>
      <c r="M94" s="179">
        <v>0</v>
      </c>
      <c r="N94" s="80">
        <f t="shared" si="29"/>
        <v>0</v>
      </c>
      <c r="O94" s="179">
        <v>0</v>
      </c>
      <c r="P94" s="80">
        <f t="shared" si="30"/>
        <v>0</v>
      </c>
      <c r="Q94" s="179">
        <v>0</v>
      </c>
      <c r="R94" s="80">
        <f t="shared" si="31"/>
        <v>0</v>
      </c>
      <c r="S94" s="179">
        <v>0</v>
      </c>
      <c r="T94" s="80">
        <f t="shared" si="32"/>
        <v>0</v>
      </c>
      <c r="U94" s="179">
        <v>0</v>
      </c>
      <c r="V94" s="80">
        <f t="shared" si="33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4"/>
        <v>0</v>
      </c>
      <c r="E95" s="179">
        <v>0</v>
      </c>
      <c r="F95" s="80">
        <f t="shared" si="25"/>
        <v>0</v>
      </c>
      <c r="G95" s="179">
        <v>0</v>
      </c>
      <c r="H95" s="80">
        <f t="shared" si="26"/>
        <v>0</v>
      </c>
      <c r="I95" s="179">
        <v>0</v>
      </c>
      <c r="J95" s="80">
        <f t="shared" si="27"/>
        <v>0</v>
      </c>
      <c r="K95" s="179">
        <v>0</v>
      </c>
      <c r="L95" s="80">
        <f t="shared" si="28"/>
        <v>0</v>
      </c>
      <c r="M95" s="179">
        <v>0</v>
      </c>
      <c r="N95" s="80">
        <f t="shared" si="29"/>
        <v>0</v>
      </c>
      <c r="O95" s="179">
        <v>0</v>
      </c>
      <c r="P95" s="80">
        <f t="shared" si="30"/>
        <v>0</v>
      </c>
      <c r="Q95" s="179">
        <v>0</v>
      </c>
      <c r="R95" s="80">
        <f t="shared" si="31"/>
        <v>0</v>
      </c>
      <c r="S95" s="179">
        <v>0</v>
      </c>
      <c r="T95" s="80">
        <f t="shared" si="32"/>
        <v>0</v>
      </c>
      <c r="U95" s="179">
        <v>0</v>
      </c>
      <c r="V95" s="80">
        <f t="shared" si="33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4"/>
        <v>0</v>
      </c>
      <c r="E96" s="179">
        <v>0</v>
      </c>
      <c r="F96" s="80">
        <f t="shared" si="25"/>
        <v>0</v>
      </c>
      <c r="G96" s="179">
        <v>0</v>
      </c>
      <c r="H96" s="80">
        <f t="shared" si="26"/>
        <v>0</v>
      </c>
      <c r="I96" s="179">
        <v>0</v>
      </c>
      <c r="J96" s="80">
        <f t="shared" si="27"/>
        <v>0</v>
      </c>
      <c r="K96" s="179">
        <v>0</v>
      </c>
      <c r="L96" s="80">
        <f t="shared" si="28"/>
        <v>0</v>
      </c>
      <c r="M96" s="179">
        <v>0</v>
      </c>
      <c r="N96" s="80">
        <f t="shared" si="29"/>
        <v>0</v>
      </c>
      <c r="O96" s="179">
        <v>0</v>
      </c>
      <c r="P96" s="80">
        <f t="shared" si="30"/>
        <v>0</v>
      </c>
      <c r="Q96" s="179">
        <v>0</v>
      </c>
      <c r="R96" s="80">
        <f t="shared" si="31"/>
        <v>0</v>
      </c>
      <c r="S96" s="179">
        <v>0</v>
      </c>
      <c r="T96" s="80">
        <f t="shared" si="32"/>
        <v>0</v>
      </c>
      <c r="U96" s="179">
        <v>0</v>
      </c>
      <c r="V96" s="80">
        <f t="shared" si="33"/>
        <v>0</v>
      </c>
      <c r="X96" s="200"/>
    </row>
    <row r="97" spans="1:24" ht="12.75" customHeight="1">
      <c r="A97" s="2" t="s">
        <v>428</v>
      </c>
      <c r="B97" s="35"/>
      <c r="C97" s="179">
        <v>6974.6363000000001</v>
      </c>
      <c r="D97" s="80">
        <f t="shared" si="24"/>
        <v>1.3285021523809525E-2</v>
      </c>
      <c r="E97" s="179">
        <v>7755.7955656000004</v>
      </c>
      <c r="F97" s="80">
        <f t="shared" si="25"/>
        <v>1.3488340114086957E-2</v>
      </c>
      <c r="G97" s="179">
        <v>8027.2484103960005</v>
      </c>
      <c r="H97" s="80">
        <f t="shared" si="26"/>
        <v>1.3686698056941178E-2</v>
      </c>
      <c r="I97" s="179">
        <v>8284.1203595286715</v>
      </c>
      <c r="J97" s="80">
        <f t="shared" si="27"/>
        <v>1.384771803408166E-2</v>
      </c>
      <c r="K97" s="179">
        <v>8491.2233685168885</v>
      </c>
      <c r="L97" s="80">
        <f t="shared" si="28"/>
        <v>1.3915599004836963E-2</v>
      </c>
      <c r="M97" s="179">
        <v>8703.5039527298104</v>
      </c>
      <c r="N97" s="80">
        <f t="shared" si="29"/>
        <v>1.3983812725448909E-2</v>
      </c>
      <c r="O97" s="179">
        <v>8921.0915515480538</v>
      </c>
      <c r="P97" s="80">
        <f t="shared" si="30"/>
        <v>1.4052360827044242E-2</v>
      </c>
      <c r="Q97" s="179">
        <v>9144.1188403367541</v>
      </c>
      <c r="R97" s="80">
        <f t="shared" si="31"/>
        <v>1.4121244948745438E-2</v>
      </c>
      <c r="S97" s="179">
        <v>9372.7218113451727</v>
      </c>
      <c r="T97" s="80">
        <f t="shared" si="32"/>
        <v>1.4190466737709875E-2</v>
      </c>
      <c r="U97" s="179">
        <v>9607.0398566288004</v>
      </c>
      <c r="V97" s="80">
        <f t="shared" si="33"/>
        <v>1.4260027849169233E-2</v>
      </c>
      <c r="X97" s="200"/>
    </row>
    <row r="98" spans="1:24" ht="12.75" customHeight="1">
      <c r="A98" s="117" t="s">
        <v>431</v>
      </c>
      <c r="B98" s="35"/>
      <c r="C98" s="179">
        <v>629.99999999999989</v>
      </c>
      <c r="D98" s="80">
        <f t="shared" si="24"/>
        <v>1.1999999999999997E-3</v>
      </c>
      <c r="E98" s="179">
        <v>689.99999999999989</v>
      </c>
      <c r="F98" s="80">
        <f t="shared" si="25"/>
        <v>1.1999999999999999E-3</v>
      </c>
      <c r="G98" s="179">
        <v>703.8</v>
      </c>
      <c r="H98" s="80">
        <f t="shared" si="26"/>
        <v>1.1999999999999999E-3</v>
      </c>
      <c r="I98" s="179">
        <v>717.87599999999998</v>
      </c>
      <c r="J98" s="80">
        <f t="shared" si="27"/>
        <v>1.1999999999999999E-3</v>
      </c>
      <c r="K98" s="179">
        <v>732.23351999999988</v>
      </c>
      <c r="L98" s="80">
        <f t="shared" si="28"/>
        <v>1.1999999999999999E-3</v>
      </c>
      <c r="M98" s="179">
        <v>746.87819039999988</v>
      </c>
      <c r="N98" s="80">
        <f t="shared" si="29"/>
        <v>1.1999999999999999E-3</v>
      </c>
      <c r="O98" s="179">
        <v>761.81575420799993</v>
      </c>
      <c r="P98" s="80">
        <f t="shared" si="30"/>
        <v>1.1999999999999999E-3</v>
      </c>
      <c r="Q98" s="179">
        <v>777.0520692921599</v>
      </c>
      <c r="R98" s="80">
        <f t="shared" si="31"/>
        <v>1.1999999999999997E-3</v>
      </c>
      <c r="S98" s="179">
        <v>792.5931106780032</v>
      </c>
      <c r="T98" s="80">
        <f t="shared" si="32"/>
        <v>1.1999999999999999E-3</v>
      </c>
      <c r="U98" s="179">
        <v>808.44497289156334</v>
      </c>
      <c r="V98" s="80">
        <f t="shared" si="33"/>
        <v>1.1999999999999999E-3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4"/>
        <v>0</v>
      </c>
      <c r="E99" s="179">
        <v>0</v>
      </c>
      <c r="F99" s="80">
        <f t="shared" si="25"/>
        <v>0</v>
      </c>
      <c r="G99" s="179">
        <v>0</v>
      </c>
      <c r="H99" s="80">
        <f t="shared" si="26"/>
        <v>0</v>
      </c>
      <c r="I99" s="179">
        <v>0</v>
      </c>
      <c r="J99" s="80">
        <f t="shared" si="27"/>
        <v>0</v>
      </c>
      <c r="K99" s="179">
        <v>0</v>
      </c>
      <c r="L99" s="80">
        <f t="shared" si="28"/>
        <v>0</v>
      </c>
      <c r="M99" s="179">
        <v>0</v>
      </c>
      <c r="N99" s="80">
        <f t="shared" si="29"/>
        <v>0</v>
      </c>
      <c r="O99" s="179">
        <v>0</v>
      </c>
      <c r="P99" s="80">
        <f t="shared" si="30"/>
        <v>0</v>
      </c>
      <c r="Q99" s="179">
        <v>0</v>
      </c>
      <c r="R99" s="80">
        <f t="shared" si="31"/>
        <v>0</v>
      </c>
      <c r="S99" s="179">
        <v>0</v>
      </c>
      <c r="T99" s="80">
        <f t="shared" si="32"/>
        <v>0</v>
      </c>
      <c r="U99" s="179">
        <v>0</v>
      </c>
      <c r="V99" s="80">
        <f t="shared" si="33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4"/>
        <v>0</v>
      </c>
      <c r="E100" s="179">
        <v>0</v>
      </c>
      <c r="F100" s="80">
        <f t="shared" si="25"/>
        <v>0</v>
      </c>
      <c r="G100" s="179">
        <v>0</v>
      </c>
      <c r="H100" s="80">
        <f t="shared" si="26"/>
        <v>0</v>
      </c>
      <c r="I100" s="179">
        <v>0</v>
      </c>
      <c r="J100" s="80">
        <f t="shared" si="27"/>
        <v>0</v>
      </c>
      <c r="K100" s="179">
        <v>0</v>
      </c>
      <c r="L100" s="80">
        <f t="shared" si="28"/>
        <v>0</v>
      </c>
      <c r="M100" s="179">
        <v>0</v>
      </c>
      <c r="N100" s="80">
        <f t="shared" si="29"/>
        <v>0</v>
      </c>
      <c r="O100" s="179">
        <v>0</v>
      </c>
      <c r="P100" s="80">
        <f t="shared" si="30"/>
        <v>0</v>
      </c>
      <c r="Q100" s="179">
        <v>0</v>
      </c>
      <c r="R100" s="80">
        <f t="shared" si="31"/>
        <v>0</v>
      </c>
      <c r="S100" s="179">
        <v>0</v>
      </c>
      <c r="T100" s="80">
        <f t="shared" si="32"/>
        <v>0</v>
      </c>
      <c r="U100" s="179">
        <v>0</v>
      </c>
      <c r="V100" s="80">
        <f t="shared" si="33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4"/>
        <v>0</v>
      </c>
      <c r="E101" s="179"/>
      <c r="F101" s="80">
        <f t="shared" si="25"/>
        <v>0</v>
      </c>
      <c r="G101" s="179"/>
      <c r="H101" s="80">
        <f t="shared" si="26"/>
        <v>0</v>
      </c>
      <c r="I101" s="179">
        <v>0</v>
      </c>
      <c r="J101" s="80">
        <f t="shared" si="27"/>
        <v>0</v>
      </c>
      <c r="K101" s="179">
        <v>0</v>
      </c>
      <c r="L101" s="80">
        <f t="shared" si="28"/>
        <v>0</v>
      </c>
      <c r="M101" s="179">
        <v>0</v>
      </c>
      <c r="N101" s="80">
        <f t="shared" si="29"/>
        <v>0</v>
      </c>
      <c r="O101" s="179">
        <v>0</v>
      </c>
      <c r="P101" s="80">
        <f t="shared" si="30"/>
        <v>0</v>
      </c>
      <c r="Q101" s="179">
        <v>0</v>
      </c>
      <c r="R101" s="80">
        <f t="shared" si="31"/>
        <v>0</v>
      </c>
      <c r="S101" s="179">
        <v>0</v>
      </c>
      <c r="T101" s="80">
        <f t="shared" si="32"/>
        <v>0</v>
      </c>
      <c r="U101" s="179">
        <v>0</v>
      </c>
      <c r="V101" s="80">
        <f t="shared" si="33"/>
        <v>0</v>
      </c>
      <c r="X101" s="200"/>
    </row>
    <row r="102" spans="1:24" ht="12.75" customHeight="1">
      <c r="A102" s="117" t="s">
        <v>433</v>
      </c>
      <c r="B102" s="35"/>
      <c r="C102" s="179">
        <v>5250</v>
      </c>
      <c r="D102" s="80">
        <f t="shared" si="24"/>
        <v>0.01</v>
      </c>
      <c r="E102" s="179">
        <v>5749.9999999999991</v>
      </c>
      <c r="F102" s="80">
        <f t="shared" si="25"/>
        <v>9.9999999999999985E-3</v>
      </c>
      <c r="G102" s="179">
        <v>5865</v>
      </c>
      <c r="H102" s="80">
        <f t="shared" si="26"/>
        <v>0.01</v>
      </c>
      <c r="I102" s="179">
        <v>5982.3000000000011</v>
      </c>
      <c r="J102" s="80">
        <f t="shared" si="27"/>
        <v>1.0000000000000002E-2</v>
      </c>
      <c r="K102" s="179">
        <v>6101.9459999999999</v>
      </c>
      <c r="L102" s="80">
        <f t="shared" si="28"/>
        <v>0.01</v>
      </c>
      <c r="M102" s="179">
        <v>6223.984919999999</v>
      </c>
      <c r="N102" s="80">
        <f t="shared" si="29"/>
        <v>9.9999999999999985E-3</v>
      </c>
      <c r="O102" s="179">
        <v>6348.4646184000012</v>
      </c>
      <c r="P102" s="80">
        <f t="shared" si="30"/>
        <v>1.0000000000000002E-2</v>
      </c>
      <c r="Q102" s="179">
        <v>6475.4339107680007</v>
      </c>
      <c r="R102" s="80">
        <f t="shared" si="31"/>
        <v>0.01</v>
      </c>
      <c r="S102" s="179">
        <v>6604.942588983361</v>
      </c>
      <c r="T102" s="80">
        <f t="shared" si="32"/>
        <v>0.01</v>
      </c>
      <c r="U102" s="179">
        <v>6737.0414407630287</v>
      </c>
      <c r="V102" s="80">
        <f t="shared" si="33"/>
        <v>0.01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4"/>
        <v>0</v>
      </c>
      <c r="E103" s="179">
        <v>0</v>
      </c>
      <c r="F103" s="80">
        <f t="shared" si="25"/>
        <v>0</v>
      </c>
      <c r="G103" s="179">
        <v>0</v>
      </c>
      <c r="H103" s="80">
        <f t="shared" si="26"/>
        <v>0</v>
      </c>
      <c r="I103" s="179">
        <v>0</v>
      </c>
      <c r="J103" s="80">
        <f t="shared" si="27"/>
        <v>0</v>
      </c>
      <c r="K103" s="179">
        <v>0</v>
      </c>
      <c r="L103" s="80">
        <f t="shared" si="28"/>
        <v>0</v>
      </c>
      <c r="M103" s="179">
        <v>0</v>
      </c>
      <c r="N103" s="80">
        <f t="shared" si="29"/>
        <v>0</v>
      </c>
      <c r="O103" s="179">
        <v>0</v>
      </c>
      <c r="P103" s="80">
        <f t="shared" si="30"/>
        <v>0</v>
      </c>
      <c r="Q103" s="179">
        <v>0</v>
      </c>
      <c r="R103" s="80">
        <f t="shared" si="31"/>
        <v>0</v>
      </c>
      <c r="S103" s="179">
        <v>0</v>
      </c>
      <c r="T103" s="80">
        <f t="shared" si="32"/>
        <v>0</v>
      </c>
      <c r="U103" s="179">
        <v>0</v>
      </c>
      <c r="V103" s="80">
        <f t="shared" si="33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4"/>
        <v>0</v>
      </c>
      <c r="E104" s="179">
        <v>0</v>
      </c>
      <c r="F104" s="80">
        <f t="shared" si="25"/>
        <v>0</v>
      </c>
      <c r="G104" s="179">
        <v>0</v>
      </c>
      <c r="H104" s="80">
        <f t="shared" si="26"/>
        <v>0</v>
      </c>
      <c r="I104" s="179">
        <v>0</v>
      </c>
      <c r="J104" s="80">
        <f t="shared" si="27"/>
        <v>0</v>
      </c>
      <c r="K104" s="179">
        <v>0</v>
      </c>
      <c r="L104" s="80">
        <f t="shared" si="28"/>
        <v>0</v>
      </c>
      <c r="M104" s="179">
        <v>0</v>
      </c>
      <c r="N104" s="80">
        <f t="shared" si="29"/>
        <v>0</v>
      </c>
      <c r="O104" s="179">
        <v>0</v>
      </c>
      <c r="P104" s="80">
        <f t="shared" si="30"/>
        <v>0</v>
      </c>
      <c r="Q104" s="179">
        <v>0</v>
      </c>
      <c r="R104" s="80">
        <f t="shared" si="31"/>
        <v>0</v>
      </c>
      <c r="S104" s="179">
        <v>0</v>
      </c>
      <c r="T104" s="80">
        <f t="shared" si="32"/>
        <v>0</v>
      </c>
      <c r="U104" s="179">
        <v>0</v>
      </c>
      <c r="V104" s="80">
        <f t="shared" si="33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93196.664963314848</v>
      </c>
      <c r="D105" s="83">
        <f t="shared" ref="D105" si="34">IFERROR(C105/C$28,0)</f>
        <v>0.17751745707298067</v>
      </c>
      <c r="E105" s="82">
        <f>SUM(E52:E104)</f>
        <v>98759.504826551463</v>
      </c>
      <c r="F105" s="83">
        <f t="shared" ref="F105" si="35">IFERROR(E105/E$28,0)</f>
        <v>0.17175566056791558</v>
      </c>
      <c r="G105" s="82">
        <f>SUM(G52:G104)</f>
        <v>101522.70629964906</v>
      </c>
      <c r="H105" s="83">
        <f t="shared" ref="H105" si="36">IFERROR(G105/G$28,0)</f>
        <v>0.17309924347766251</v>
      </c>
      <c r="I105" s="82">
        <f>SUM(I52:I104)</f>
        <v>103602.89410109652</v>
      </c>
      <c r="J105" s="83">
        <f t="shared" ref="J105" si="37">IFERROR(I105/I$28,0)</f>
        <v>0.1731823781841374</v>
      </c>
      <c r="K105" s="82">
        <f>SUM(K52:K104)</f>
        <v>105654.3600464043</v>
      </c>
      <c r="L105" s="83">
        <f t="shared" ref="L105" si="38">IFERROR(K105/K$28,0)</f>
        <v>0.17314863167652467</v>
      </c>
      <c r="M105" s="82">
        <f>SUM(M52:M104)</f>
        <v>107798.49118564941</v>
      </c>
      <c r="N105" s="83">
        <f t="shared" ref="N105" si="39">IFERROR(M105/M$28,0)</f>
        <v>0.17319850959029864</v>
      </c>
      <c r="O105" s="82">
        <f>SUM(O52:O104)</f>
        <v>109986.66734970437</v>
      </c>
      <c r="P105" s="83">
        <f t="shared" ref="P105" si="40">IFERROR(O105/O$28,0)</f>
        <v>0.17324924050285445</v>
      </c>
      <c r="Q105" s="82">
        <f>SUM(Q52:Q104)</f>
        <v>112219.60449315517</v>
      </c>
      <c r="R105" s="83">
        <f t="shared" ref="R105" si="41">IFERROR(Q105/Q$28,0)</f>
        <v>0.17330051706117355</v>
      </c>
      <c r="S105" s="82">
        <f>SUM(S52:S104)</f>
        <v>114498.037934083</v>
      </c>
      <c r="T105" s="83">
        <f t="shared" ref="T105" si="42">IFERROR(S105/S$28,0)</f>
        <v>0.17335205626928341</v>
      </c>
      <c r="U105" s="82">
        <f>SUM(U52:U104)</f>
        <v>117045.43809356977</v>
      </c>
      <c r="V105" s="83">
        <f t="shared" si="33"/>
        <v>0.17373418157320011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71176.157036685167</v>
      </c>
      <c r="D107" s="83">
        <f>IFERROR(C107/C$28,0)</f>
        <v>0.1355736324508289</v>
      </c>
      <c r="E107" s="82">
        <f>E28-E33-E46-E105</f>
        <v>78171.073237448509</v>
      </c>
      <c r="F107" s="83">
        <f>IFERROR(E107/E$28,0)</f>
        <v>0.13594969258686698</v>
      </c>
      <c r="G107" s="82">
        <f>G28-G33-G46-G105</f>
        <v>75864.816996590933</v>
      </c>
      <c r="H107" s="83">
        <f>IFERROR(G107/G$28,0)</f>
        <v>0.12935177663527866</v>
      </c>
      <c r="I107" s="82">
        <f>I28-I33-I46-I105</f>
        <v>74780.759940623102</v>
      </c>
      <c r="J107" s="83">
        <f>IFERROR(I107/I$28,0)</f>
        <v>0.12500335981248534</v>
      </c>
      <c r="K107" s="82">
        <f>K28-K33-K46-K105</f>
        <v>75199.770596358372</v>
      </c>
      <c r="L107" s="83">
        <f>IFERROR(K107/K$28,0)</f>
        <v>0.12323899719263064</v>
      </c>
      <c r="M107" s="82">
        <f>M28-M33-M46-M105</f>
        <v>75548.095678182319</v>
      </c>
      <c r="N107" s="83">
        <f>IFERROR(M107/M$28,0)</f>
        <v>0.12138219589096036</v>
      </c>
      <c r="O107" s="82">
        <f>O28-O33-O46-O105</f>
        <v>75874.10919982323</v>
      </c>
      <c r="P107" s="83">
        <f>IFERROR(O107/O$28,0)</f>
        <v>0.11951568412292063</v>
      </c>
      <c r="Q107" s="82">
        <f>Q28-Q33-Q46-Q105</f>
        <v>76176.826984492684</v>
      </c>
      <c r="R107" s="83">
        <f>IFERROR(Q107/Q$28,0)</f>
        <v>0.11763972582257108</v>
      </c>
      <c r="S107" s="82">
        <f>S28-S33-S46-S105</f>
        <v>76455.222555175715</v>
      </c>
      <c r="T107" s="83">
        <f>IFERROR(S107/S$28,0)</f>
        <v>0.11575456035408746</v>
      </c>
      <c r="U107" s="82">
        <f>U28-U33-U46-U105</f>
        <v>76485.510497083509</v>
      </c>
      <c r="V107" s="83">
        <f>IFERROR(U107/U$28,0)</f>
        <v>0.11352982042577558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3">IFERROR(C111/C$28,0)</f>
        <v>0</v>
      </c>
      <c r="E111" s="79">
        <f>E59</f>
        <v>0</v>
      </c>
      <c r="F111" s="80">
        <f t="shared" ref="F111:F116" si="44">IFERROR(E111/E$28,0)</f>
        <v>0</v>
      </c>
      <c r="G111" s="79">
        <f>G59</f>
        <v>0</v>
      </c>
      <c r="H111" s="80">
        <f t="shared" ref="H111:H116" si="45">IFERROR(G111/G$28,0)</f>
        <v>0</v>
      </c>
      <c r="I111" s="79">
        <f>I59</f>
        <v>0</v>
      </c>
      <c r="J111" s="80">
        <f t="shared" ref="J111:J116" si="46">IFERROR(I111/I$28,0)</f>
        <v>0</v>
      </c>
      <c r="K111" s="79">
        <f>K59</f>
        <v>0</v>
      </c>
      <c r="L111" s="80">
        <f t="shared" ref="L111:L116" si="47">IFERROR(K111/K$28,0)</f>
        <v>0</v>
      </c>
      <c r="M111" s="79">
        <f>M59</f>
        <v>0</v>
      </c>
      <c r="N111" s="80">
        <f t="shared" ref="N111:N116" si="48">IFERROR(M111/M$28,0)</f>
        <v>0</v>
      </c>
      <c r="O111" s="79">
        <f>O59</f>
        <v>0</v>
      </c>
      <c r="P111" s="80">
        <f t="shared" ref="P111:P116" si="49">IFERROR(O111/O$28,0)</f>
        <v>0</v>
      </c>
      <c r="Q111" s="79">
        <f>Q59</f>
        <v>0</v>
      </c>
      <c r="R111" s="80">
        <f t="shared" ref="R111:R116" si="50">IFERROR(Q111/Q$28,0)</f>
        <v>0</v>
      </c>
      <c r="S111" s="79">
        <f>S59</f>
        <v>0</v>
      </c>
      <c r="T111" s="80">
        <f t="shared" ref="T111:T116" si="51">IFERROR(S111/S$28,0)</f>
        <v>0</v>
      </c>
      <c r="U111" s="79">
        <f>U59</f>
        <v>0</v>
      </c>
      <c r="V111" s="80">
        <f t="shared" ref="V111:V116" si="52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3"/>
        <v>0</v>
      </c>
      <c r="E112" s="79">
        <f>E62</f>
        <v>0</v>
      </c>
      <c r="F112" s="80">
        <f t="shared" si="44"/>
        <v>0</v>
      </c>
      <c r="G112" s="79">
        <f>G62</f>
        <v>0</v>
      </c>
      <c r="H112" s="80">
        <f t="shared" si="45"/>
        <v>0</v>
      </c>
      <c r="I112" s="79">
        <f>I62</f>
        <v>0</v>
      </c>
      <c r="J112" s="80">
        <f t="shared" si="46"/>
        <v>0</v>
      </c>
      <c r="K112" s="79">
        <f>K62</f>
        <v>0</v>
      </c>
      <c r="L112" s="80">
        <f t="shared" si="47"/>
        <v>0</v>
      </c>
      <c r="M112" s="79">
        <f>M62</f>
        <v>0</v>
      </c>
      <c r="N112" s="80">
        <f t="shared" si="48"/>
        <v>0</v>
      </c>
      <c r="O112" s="79">
        <f>O62</f>
        <v>0</v>
      </c>
      <c r="P112" s="80">
        <f t="shared" si="49"/>
        <v>0</v>
      </c>
      <c r="Q112" s="79">
        <f>Q62</f>
        <v>0</v>
      </c>
      <c r="R112" s="80">
        <f t="shared" si="50"/>
        <v>0</v>
      </c>
      <c r="S112" s="79">
        <f>S62</f>
        <v>0</v>
      </c>
      <c r="T112" s="80">
        <f t="shared" si="51"/>
        <v>0</v>
      </c>
      <c r="U112" s="79">
        <f>U62</f>
        <v>0</v>
      </c>
      <c r="V112" s="80">
        <f t="shared" si="52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3"/>
        <v>0</v>
      </c>
      <c r="E113" s="111">
        <v>0</v>
      </c>
      <c r="F113" s="80">
        <f t="shared" si="44"/>
        <v>0</v>
      </c>
      <c r="G113" s="111">
        <v>0</v>
      </c>
      <c r="H113" s="80">
        <f t="shared" si="45"/>
        <v>0</v>
      </c>
      <c r="I113" s="111">
        <v>0</v>
      </c>
      <c r="J113" s="80">
        <f t="shared" si="46"/>
        <v>0</v>
      </c>
      <c r="K113" s="111">
        <v>0</v>
      </c>
      <c r="L113" s="80">
        <f t="shared" si="47"/>
        <v>0</v>
      </c>
      <c r="M113" s="111">
        <v>0</v>
      </c>
      <c r="N113" s="80">
        <f t="shared" si="48"/>
        <v>0</v>
      </c>
      <c r="O113" s="111">
        <v>0</v>
      </c>
      <c r="P113" s="80">
        <f t="shared" si="49"/>
        <v>0</v>
      </c>
      <c r="Q113" s="111">
        <v>0</v>
      </c>
      <c r="R113" s="80">
        <f t="shared" si="50"/>
        <v>0</v>
      </c>
      <c r="S113" s="111">
        <v>0</v>
      </c>
      <c r="T113" s="80">
        <f t="shared" si="51"/>
        <v>0</v>
      </c>
      <c r="U113" s="111">
        <v>0</v>
      </c>
      <c r="V113" s="80">
        <f t="shared" si="52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3"/>
        <v>0</v>
      </c>
      <c r="E114" s="111">
        <v>0</v>
      </c>
      <c r="F114" s="80">
        <f t="shared" si="44"/>
        <v>0</v>
      </c>
      <c r="G114" s="111">
        <v>0</v>
      </c>
      <c r="H114" s="80">
        <f t="shared" si="45"/>
        <v>0</v>
      </c>
      <c r="I114" s="111">
        <v>0</v>
      </c>
      <c r="J114" s="80">
        <f t="shared" si="46"/>
        <v>0</v>
      </c>
      <c r="K114" s="111">
        <v>0</v>
      </c>
      <c r="L114" s="80">
        <f t="shared" si="47"/>
        <v>0</v>
      </c>
      <c r="M114" s="111">
        <v>0</v>
      </c>
      <c r="N114" s="80">
        <f t="shared" si="48"/>
        <v>0</v>
      </c>
      <c r="O114" s="111">
        <v>0</v>
      </c>
      <c r="P114" s="80">
        <f t="shared" si="49"/>
        <v>0</v>
      </c>
      <c r="Q114" s="111">
        <v>0</v>
      </c>
      <c r="R114" s="80">
        <f t="shared" si="50"/>
        <v>0</v>
      </c>
      <c r="S114" s="111">
        <v>0</v>
      </c>
      <c r="T114" s="80">
        <f t="shared" si="51"/>
        <v>0</v>
      </c>
      <c r="U114" s="111">
        <v>0</v>
      </c>
      <c r="V114" s="80">
        <f t="shared" si="52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3"/>
        <v>0</v>
      </c>
      <c r="E115" s="112">
        <v>0</v>
      </c>
      <c r="F115" s="80">
        <f t="shared" si="44"/>
        <v>0</v>
      </c>
      <c r="G115" s="112">
        <v>0</v>
      </c>
      <c r="H115" s="80">
        <f t="shared" si="45"/>
        <v>0</v>
      </c>
      <c r="I115" s="112">
        <v>0</v>
      </c>
      <c r="J115" s="80">
        <f t="shared" si="46"/>
        <v>0</v>
      </c>
      <c r="K115" s="112">
        <v>0</v>
      </c>
      <c r="L115" s="80">
        <f t="shared" si="47"/>
        <v>0</v>
      </c>
      <c r="M115" s="112">
        <v>0</v>
      </c>
      <c r="N115" s="80">
        <f t="shared" si="48"/>
        <v>0</v>
      </c>
      <c r="O115" s="112">
        <v>0</v>
      </c>
      <c r="P115" s="80">
        <f t="shared" si="49"/>
        <v>0</v>
      </c>
      <c r="Q115" s="112">
        <v>0</v>
      </c>
      <c r="R115" s="80">
        <f t="shared" si="50"/>
        <v>0</v>
      </c>
      <c r="S115" s="112">
        <v>0</v>
      </c>
      <c r="T115" s="80">
        <f t="shared" si="51"/>
        <v>0</v>
      </c>
      <c r="U115" s="112">
        <v>0</v>
      </c>
      <c r="V115" s="80">
        <f t="shared" si="52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3"/>
        <v>0</v>
      </c>
      <c r="E116" s="85">
        <f>SUM(E111:E115)</f>
        <v>0</v>
      </c>
      <c r="F116" s="83">
        <f t="shared" si="44"/>
        <v>0</v>
      </c>
      <c r="G116" s="85">
        <f>SUM(G111:G115)</f>
        <v>0</v>
      </c>
      <c r="H116" s="83">
        <f t="shared" si="45"/>
        <v>0</v>
      </c>
      <c r="I116" s="85">
        <f>SUM(I111:I115)</f>
        <v>0</v>
      </c>
      <c r="J116" s="83">
        <f t="shared" si="46"/>
        <v>0</v>
      </c>
      <c r="K116" s="85">
        <f>SUM(K111:K115)</f>
        <v>0</v>
      </c>
      <c r="L116" s="83">
        <f t="shared" si="47"/>
        <v>0</v>
      </c>
      <c r="M116" s="85">
        <f>SUM(M111:M115)</f>
        <v>0</v>
      </c>
      <c r="N116" s="83">
        <f t="shared" si="48"/>
        <v>0</v>
      </c>
      <c r="O116" s="85">
        <f>SUM(O111:O115)</f>
        <v>0</v>
      </c>
      <c r="P116" s="83">
        <f t="shared" si="49"/>
        <v>0</v>
      </c>
      <c r="Q116" s="85">
        <f>SUM(Q111:Q115)</f>
        <v>0</v>
      </c>
      <c r="R116" s="83">
        <f t="shared" si="50"/>
        <v>0</v>
      </c>
      <c r="S116" s="85">
        <f>SUM(S111:S115)</f>
        <v>0</v>
      </c>
      <c r="T116" s="83">
        <f t="shared" si="51"/>
        <v>0</v>
      </c>
      <c r="U116" s="85">
        <f>SUM(U111:U115)</f>
        <v>0</v>
      </c>
      <c r="V116" s="83">
        <f t="shared" si="52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7" tint="0.39997558519241921"/>
  </sheetPr>
  <dimension ref="A1:X119"/>
  <sheetViews>
    <sheetView topLeftCell="A33" zoomScale="70" zoomScaleNormal="70" workbookViewId="0" xr3:uid="{8CA7FA36-F026-53D8-85D7-7434F22EA588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42.710937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74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Moe's Southwest Grill (Wolfe Center)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228</v>
      </c>
      <c r="E8" s="109">
        <f>+C8</f>
        <v>228</v>
      </c>
      <c r="G8" s="109">
        <f>+E8</f>
        <v>228</v>
      </c>
      <c r="I8" s="109">
        <f>+G8</f>
        <v>228</v>
      </c>
      <c r="K8" s="109">
        <f>+I8</f>
        <v>228</v>
      </c>
      <c r="M8" s="109">
        <f>+K8</f>
        <v>228</v>
      </c>
      <c r="O8" s="109">
        <f>+M8</f>
        <v>228</v>
      </c>
      <c r="Q8" s="109">
        <f>+O8</f>
        <v>228</v>
      </c>
      <c r="S8" s="109">
        <f>+Q8</f>
        <v>228</v>
      </c>
      <c r="U8" s="109">
        <f>+S8</f>
        <v>228</v>
      </c>
    </row>
    <row r="10" spans="1:22" ht="12.75" customHeight="1">
      <c r="A10" s="2" t="s">
        <v>449</v>
      </c>
      <c r="C10" s="209">
        <f>+C14/C8/C12</f>
        <v>151.2401693889897</v>
      </c>
      <c r="E10" s="109"/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450</v>
      </c>
      <c r="C12" s="110">
        <v>7.25</v>
      </c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451</v>
      </c>
      <c r="C14" s="121">
        <v>250000</v>
      </c>
      <c r="E14" s="121"/>
      <c r="G14" s="121"/>
      <c r="I14" s="121"/>
      <c r="K14" s="121"/>
      <c r="M14" s="121"/>
      <c r="O14" s="121"/>
      <c r="Q14" s="121"/>
      <c r="S14" s="121"/>
      <c r="U14" s="121"/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+C14-C20-C21</f>
        <v>215800</v>
      </c>
      <c r="D19" s="80">
        <f>IFERROR(C19/C$28,0)</f>
        <v>0.86319999999999997</v>
      </c>
      <c r="E19" s="208">
        <f>+E14-E20</f>
        <v>0</v>
      </c>
      <c r="F19" s="80">
        <f>IFERROR(E19/E$28,0)</f>
        <v>0</v>
      </c>
      <c r="G19" s="208">
        <f>+G14-G20</f>
        <v>0</v>
      </c>
      <c r="H19" s="80">
        <f>IFERROR(G19/G$28,0)</f>
        <v>0</v>
      </c>
      <c r="I19" s="208">
        <f>+I14-I20</f>
        <v>0</v>
      </c>
      <c r="J19" s="80">
        <f>IFERROR(I19/I$28,0)</f>
        <v>0</v>
      </c>
      <c r="K19" s="208">
        <f>+K14-K20</f>
        <v>0</v>
      </c>
      <c r="L19" s="80">
        <f>IFERROR(K19/K$28,0)</f>
        <v>0</v>
      </c>
      <c r="M19" s="208">
        <f>+M14-M20</f>
        <v>0</v>
      </c>
      <c r="N19" s="80">
        <f>IFERROR(M19/M$28,0)</f>
        <v>0</v>
      </c>
      <c r="O19" s="208">
        <f>+O14-O20</f>
        <v>0</v>
      </c>
      <c r="P19" s="80">
        <f>IFERROR(O19/O$28,0)</f>
        <v>0</v>
      </c>
      <c r="Q19" s="208">
        <f>+Q14-Q20</f>
        <v>0</v>
      </c>
      <c r="R19" s="80">
        <f>IFERROR(Q19/Q$28,0)</f>
        <v>0</v>
      </c>
      <c r="S19" s="208">
        <f>+S14-S20</f>
        <v>0</v>
      </c>
      <c r="T19" s="80">
        <f>IFERROR(S19/S$28,0)</f>
        <v>0</v>
      </c>
      <c r="U19" s="208">
        <f>+U14-U20</f>
        <v>0</v>
      </c>
      <c r="V19" s="80">
        <f>IFERROR(U19/U$28,0)</f>
        <v>0</v>
      </c>
    </row>
    <row r="20" spans="1:24" ht="12.75" customHeight="1">
      <c r="A20" s="2" t="s">
        <v>357</v>
      </c>
      <c r="B20" s="35"/>
      <c r="C20" s="111">
        <f>+C14*12.38%</f>
        <v>30950</v>
      </c>
      <c r="D20" s="80">
        <f>IFERROR(C20/C$28,0)</f>
        <v>0.12379999999999999</v>
      </c>
      <c r="E20" s="111">
        <f>+E14*53.27%</f>
        <v>0</v>
      </c>
      <c r="F20" s="80">
        <f>IFERROR(E20/E$28,0)</f>
        <v>0</v>
      </c>
      <c r="G20" s="111">
        <f t="shared" ref="G20:U21" si="0">E20*1.02</f>
        <v>0</v>
      </c>
      <c r="H20" s="80">
        <f>IFERROR(G20/G$28,0)</f>
        <v>0</v>
      </c>
      <c r="I20" s="111">
        <f t="shared" si="0"/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191" t="s">
        <v>358</v>
      </c>
      <c r="B21" s="203"/>
      <c r="C21" s="111">
        <f>+C14*0.013</f>
        <v>3250</v>
      </c>
      <c r="D21" s="80">
        <f>IFERROR(C21/C$28,0)</f>
        <v>1.2999999999999999E-2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364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365</v>
      </c>
      <c r="B28" s="53"/>
      <c r="C28" s="82">
        <f>SUM(C19:C27)</f>
        <v>250000</v>
      </c>
      <c r="D28" s="83">
        <f t="shared" si="1"/>
        <v>1</v>
      </c>
      <c r="E28" s="82">
        <f>SUM(E19:E27)</f>
        <v>0</v>
      </c>
      <c r="F28" s="83">
        <f t="shared" si="2"/>
        <v>0</v>
      </c>
      <c r="G28" s="82">
        <f>SUM(G19:G27)</f>
        <v>0</v>
      </c>
      <c r="H28" s="83">
        <f t="shared" si="3"/>
        <v>0</v>
      </c>
      <c r="I28" s="82">
        <f>SUM(I19:I27)</f>
        <v>0</v>
      </c>
      <c r="J28" s="83">
        <f t="shared" si="4"/>
        <v>0</v>
      </c>
      <c r="K28" s="82">
        <f>SUM(K19:K27)</f>
        <v>0</v>
      </c>
      <c r="L28" s="83">
        <f t="shared" si="5"/>
        <v>0</v>
      </c>
      <c r="M28" s="82">
        <f>SUM(M19:M27)</f>
        <v>0</v>
      </c>
      <c r="N28" s="83">
        <f t="shared" si="6"/>
        <v>0</v>
      </c>
      <c r="O28" s="82">
        <f>SUM(O19:O27)</f>
        <v>0</v>
      </c>
      <c r="P28" s="83">
        <f t="shared" si="7"/>
        <v>0</v>
      </c>
      <c r="Q28" s="82">
        <f>SUM(Q19:Q27)</f>
        <v>0</v>
      </c>
      <c r="R28" s="83">
        <f t="shared" si="8"/>
        <v>0</v>
      </c>
      <c r="S28" s="82">
        <f>SUM(S19:S27)</f>
        <v>0</v>
      </c>
      <c r="T28" s="83">
        <f t="shared" si="9"/>
        <v>0</v>
      </c>
      <c r="U28" s="82">
        <f>SUM(U19:U27)</f>
        <v>0</v>
      </c>
      <c r="V28" s="83">
        <f t="shared" si="10"/>
        <v>0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0</v>
      </c>
      <c r="D31" s="80">
        <f>IFERROR(C31/C$28,0)</f>
        <v>0</v>
      </c>
      <c r="E31" s="179">
        <f>$C$30*E14</f>
        <v>0</v>
      </c>
      <c r="F31" s="80">
        <f>IFERROR(E31/E$28,0)</f>
        <v>0</v>
      </c>
      <c r="G31" s="179">
        <f>$C$30*G14</f>
        <v>0</v>
      </c>
      <c r="H31" s="80">
        <f>IFERROR(G31/G$28,0)</f>
        <v>0</v>
      </c>
      <c r="I31" s="179">
        <f>$C$30*I14</f>
        <v>0</v>
      </c>
      <c r="J31" s="80">
        <f>IFERROR(I31/I$28,0)</f>
        <v>0</v>
      </c>
      <c r="K31" s="179">
        <f>$C$30*K14</f>
        <v>0</v>
      </c>
      <c r="L31" s="80">
        <f>IFERROR(K31/K$28,0)</f>
        <v>0</v>
      </c>
      <c r="M31" s="179">
        <f>$C$30*M14</f>
        <v>0</v>
      </c>
      <c r="N31" s="80">
        <f>IFERROR(M31/M$28,0)</f>
        <v>0</v>
      </c>
      <c r="O31" s="179">
        <f>$C$30*O14</f>
        <v>0</v>
      </c>
      <c r="P31" s="80">
        <f>IFERROR(O31/O$28,0)</f>
        <v>0</v>
      </c>
      <c r="Q31" s="179">
        <f>$C$30*Q14</f>
        <v>0</v>
      </c>
      <c r="R31" s="80">
        <f>IFERROR(Q31/Q$28,0)</f>
        <v>0</v>
      </c>
      <c r="S31" s="179">
        <f>$C$30*S14</f>
        <v>0</v>
      </c>
      <c r="T31" s="80">
        <f>IFERROR(S31/S$28,0)</f>
        <v>0</v>
      </c>
      <c r="U31" s="179">
        <f>$C$30*U14</f>
        <v>0</v>
      </c>
      <c r="V31" s="80">
        <f>IFERROR(U31/U$28,0)</f>
        <v>0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0</v>
      </c>
      <c r="D33" s="83">
        <f>IFERROR(C33/C$28,0)</f>
        <v>0</v>
      </c>
      <c r="E33" s="82">
        <f>SUM(E31:E32)</f>
        <v>0</v>
      </c>
      <c r="F33" s="83">
        <f>IFERROR(E33/E$28,0)</f>
        <v>0</v>
      </c>
      <c r="G33" s="82">
        <f>SUM(G31:G32)</f>
        <v>0</v>
      </c>
      <c r="H33" s="83">
        <f>IFERROR(G33/G$28,0)</f>
        <v>0</v>
      </c>
      <c r="I33" s="82">
        <f>SUM(I31:I32)</f>
        <v>0</v>
      </c>
      <c r="J33" s="83">
        <f>IFERROR(I33/I$28,0)</f>
        <v>0</v>
      </c>
      <c r="K33" s="82">
        <f>SUM(K31:K32)</f>
        <v>0</v>
      </c>
      <c r="L33" s="83">
        <f>IFERROR(K33/K$28,0)</f>
        <v>0</v>
      </c>
      <c r="M33" s="82">
        <f>SUM(M31:M32)</f>
        <v>0</v>
      </c>
      <c r="N33" s="83">
        <f>IFERROR(M33/M$28,0)</f>
        <v>0</v>
      </c>
      <c r="O33" s="82">
        <f>SUM(O31:O32)</f>
        <v>0</v>
      </c>
      <c r="P33" s="83">
        <f>IFERROR(O33/O$28,0)</f>
        <v>0</v>
      </c>
      <c r="Q33" s="82">
        <f>SUM(Q31:Q32)</f>
        <v>0</v>
      </c>
      <c r="R33" s="83">
        <f>IFERROR(Q33/Q$28,0)</f>
        <v>0</v>
      </c>
      <c r="S33" s="82">
        <f>SUM(S31:S32)</f>
        <v>0</v>
      </c>
      <c r="T33" s="83">
        <f>IFERROR(S33/S$28,0)</f>
        <v>0</v>
      </c>
      <c r="U33" s="82">
        <f>SUM(U31:U32)</f>
        <v>0</v>
      </c>
      <c r="V33" s="83">
        <f>IFERROR(U33/U$28,0)</f>
        <v>0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>
        <v>69986</v>
      </c>
      <c r="D36" s="80">
        <f t="shared" ref="D36:D46" si="11">IFERROR(C36/C$28,0)</f>
        <v>0.27994400000000003</v>
      </c>
      <c r="E36" s="179">
        <v>0</v>
      </c>
      <c r="F36" s="80">
        <f t="shared" ref="F36:F46" si="12">IFERROR(E36/E$28,0)</f>
        <v>0</v>
      </c>
      <c r="G36" s="179">
        <v>0</v>
      </c>
      <c r="H36" s="80">
        <f t="shared" ref="H36:H46" si="13">IFERROR(G36/G$28,0)</f>
        <v>0</v>
      </c>
      <c r="I36" s="179">
        <v>0</v>
      </c>
      <c r="J36" s="80">
        <f t="shared" ref="J36:J46" si="14">IFERROR(I36/I$28,0)</f>
        <v>0</v>
      </c>
      <c r="K36" s="179">
        <v>0</v>
      </c>
      <c r="L36" s="80">
        <f t="shared" ref="L36:L46" si="15">IFERROR(K36/K$28,0)</f>
        <v>0</v>
      </c>
      <c r="M36" s="179">
        <v>0</v>
      </c>
      <c r="N36" s="80">
        <f t="shared" ref="N36:N46" si="16">IFERROR(M36/M$28,0)</f>
        <v>0</v>
      </c>
      <c r="O36" s="179">
        <v>0</v>
      </c>
      <c r="P36" s="80">
        <f t="shared" ref="P36:P46" si="17">IFERROR(O36/O$28,0)</f>
        <v>0</v>
      </c>
      <c r="Q36" s="179">
        <v>0</v>
      </c>
      <c r="R36" s="80">
        <f t="shared" ref="R36:R46" si="18">IFERROR(Q36/Q$28,0)</f>
        <v>0</v>
      </c>
      <c r="S36" s="179">
        <v>0</v>
      </c>
      <c r="T36" s="80">
        <f t="shared" ref="T36:T46" si="19">IFERROR(S36/S$28,0)</f>
        <v>0</v>
      </c>
      <c r="U36" s="179">
        <v>0</v>
      </c>
      <c r="V36" s="80">
        <f t="shared" ref="V36:V46" si="20">IFERROR(U36/U$28,0)</f>
        <v>0</v>
      </c>
    </row>
    <row r="37" spans="1:22" ht="12.75" customHeight="1">
      <c r="A37" s="2" t="s">
        <v>372</v>
      </c>
      <c r="B37" s="35"/>
      <c r="C37" s="179">
        <v>107454</v>
      </c>
      <c r="D37" s="80">
        <f t="shared" si="11"/>
        <v>0.42981599999999998</v>
      </c>
      <c r="E37" s="179">
        <v>0</v>
      </c>
      <c r="F37" s="80">
        <f t="shared" si="12"/>
        <v>0</v>
      </c>
      <c r="G37" s="179">
        <f>+E37*1.035</f>
        <v>0</v>
      </c>
      <c r="H37" s="80">
        <f t="shared" si="13"/>
        <v>0</v>
      </c>
      <c r="I37" s="179">
        <f>+G37*1.032</f>
        <v>0</v>
      </c>
      <c r="J37" s="80">
        <f t="shared" si="14"/>
        <v>0</v>
      </c>
      <c r="K37" s="179">
        <f>+I37*1.025</f>
        <v>0</v>
      </c>
      <c r="L37" s="80">
        <f t="shared" si="15"/>
        <v>0</v>
      </c>
      <c r="M37" s="179">
        <f>+K37*1.025</f>
        <v>0</v>
      </c>
      <c r="N37" s="80">
        <f t="shared" si="16"/>
        <v>0</v>
      </c>
      <c r="O37" s="179">
        <f>+M37*1.025</f>
        <v>0</v>
      </c>
      <c r="P37" s="80">
        <f t="shared" si="17"/>
        <v>0</v>
      </c>
      <c r="Q37" s="179">
        <f>+O37*1.025</f>
        <v>0</v>
      </c>
      <c r="R37" s="80">
        <f t="shared" si="18"/>
        <v>0</v>
      </c>
      <c r="S37" s="179">
        <f>+Q37*1.025</f>
        <v>0</v>
      </c>
      <c r="T37" s="80">
        <f t="shared" si="19"/>
        <v>0</v>
      </c>
      <c r="U37" s="179">
        <f>+S37*1.025</f>
        <v>0</v>
      </c>
      <c r="V37" s="80">
        <f t="shared" si="20"/>
        <v>0</v>
      </c>
    </row>
    <row r="38" spans="1:22" ht="12.75" customHeight="1">
      <c r="A38" s="2" t="s">
        <v>373</v>
      </c>
      <c r="B38" s="35"/>
      <c r="C38" s="179"/>
      <c r="D38" s="80">
        <f t="shared" si="11"/>
        <v>0</v>
      </c>
      <c r="E38" s="179">
        <v>0</v>
      </c>
      <c r="F38" s="80">
        <f t="shared" si="12"/>
        <v>0</v>
      </c>
      <c r="G38" s="179">
        <f>+E38*1.035</f>
        <v>0</v>
      </c>
      <c r="H38" s="80">
        <f t="shared" si="13"/>
        <v>0</v>
      </c>
      <c r="I38" s="179">
        <f>+G38*1.032</f>
        <v>0</v>
      </c>
      <c r="J38" s="80">
        <f t="shared" si="14"/>
        <v>0</v>
      </c>
      <c r="K38" s="179">
        <f>+I38*1.025</f>
        <v>0</v>
      </c>
      <c r="L38" s="80">
        <f t="shared" si="15"/>
        <v>0</v>
      </c>
      <c r="M38" s="179">
        <f>+K38*1.025</f>
        <v>0</v>
      </c>
      <c r="N38" s="80">
        <f t="shared" si="16"/>
        <v>0</v>
      </c>
      <c r="O38" s="179">
        <f>+M38*1.025</f>
        <v>0</v>
      </c>
      <c r="P38" s="80">
        <f t="shared" si="17"/>
        <v>0</v>
      </c>
      <c r="Q38" s="179">
        <f>+O38*1.025</f>
        <v>0</v>
      </c>
      <c r="R38" s="80">
        <f t="shared" si="18"/>
        <v>0</v>
      </c>
      <c r="S38" s="179">
        <f>+Q38*1.025</f>
        <v>0</v>
      </c>
      <c r="T38" s="80">
        <f t="shared" si="19"/>
        <v>0</v>
      </c>
      <c r="U38" s="179">
        <f>+S38*1.025</f>
        <v>0</v>
      </c>
      <c r="V38" s="80">
        <f t="shared" si="20"/>
        <v>0</v>
      </c>
    </row>
    <row r="39" spans="1:22" ht="12.75" customHeight="1">
      <c r="A39" s="2" t="s">
        <v>374</v>
      </c>
      <c r="B39" s="35"/>
      <c r="C39" s="179"/>
      <c r="D39" s="80">
        <f t="shared" si="11"/>
        <v>0</v>
      </c>
      <c r="E39" s="179">
        <v>0</v>
      </c>
      <c r="F39" s="80">
        <f t="shared" si="12"/>
        <v>0</v>
      </c>
      <c r="G39" s="179">
        <f>+E39*1.035</f>
        <v>0</v>
      </c>
      <c r="H39" s="80">
        <f t="shared" si="13"/>
        <v>0</v>
      </c>
      <c r="I39" s="179">
        <f>+G39*1.032</f>
        <v>0</v>
      </c>
      <c r="J39" s="80">
        <f t="shared" si="14"/>
        <v>0</v>
      </c>
      <c r="K39" s="179">
        <f>+I39*1.025</f>
        <v>0</v>
      </c>
      <c r="L39" s="80">
        <f t="shared" si="15"/>
        <v>0</v>
      </c>
      <c r="M39" s="179">
        <f>+K39*1.025</f>
        <v>0</v>
      </c>
      <c r="N39" s="80">
        <f t="shared" si="16"/>
        <v>0</v>
      </c>
      <c r="O39" s="179">
        <f>+M39*1.025</f>
        <v>0</v>
      </c>
      <c r="P39" s="80">
        <f t="shared" si="17"/>
        <v>0</v>
      </c>
      <c r="Q39" s="179">
        <f>+O39*1.025</f>
        <v>0</v>
      </c>
      <c r="R39" s="80">
        <f t="shared" si="18"/>
        <v>0</v>
      </c>
      <c r="S39" s="179">
        <f>+Q39*1.025</f>
        <v>0</v>
      </c>
      <c r="T39" s="80">
        <f t="shared" si="19"/>
        <v>0</v>
      </c>
      <c r="U39" s="179">
        <f>+S39*1.025</f>
        <v>0</v>
      </c>
      <c r="V39" s="80">
        <f t="shared" si="20"/>
        <v>0</v>
      </c>
    </row>
    <row r="40" spans="1:22" ht="12.75" customHeight="1">
      <c r="A40" s="2" t="s">
        <v>375</v>
      </c>
      <c r="B40" s="35"/>
      <c r="C40" s="179">
        <f>C36*0.124</f>
        <v>8678.2639999999992</v>
      </c>
      <c r="D40" s="80">
        <f t="shared" si="11"/>
        <v>3.4713055999999999E-2</v>
      </c>
      <c r="E40" s="113">
        <v>0</v>
      </c>
      <c r="F40" s="80">
        <f t="shared" si="12"/>
        <v>0</v>
      </c>
      <c r="G40" s="113">
        <f>G36*0.124</f>
        <v>0</v>
      </c>
      <c r="H40" s="80">
        <f t="shared" si="13"/>
        <v>0</v>
      </c>
      <c r="I40" s="113">
        <f>I36*0.124</f>
        <v>0</v>
      </c>
      <c r="J40" s="80">
        <f t="shared" si="14"/>
        <v>0</v>
      </c>
      <c r="K40" s="113">
        <f>K36*0.124</f>
        <v>0</v>
      </c>
      <c r="L40" s="80">
        <f t="shared" si="15"/>
        <v>0</v>
      </c>
      <c r="M40" s="113">
        <f>M36*0.124</f>
        <v>0</v>
      </c>
      <c r="N40" s="80">
        <f t="shared" si="16"/>
        <v>0</v>
      </c>
      <c r="O40" s="113">
        <f>O36*0.124</f>
        <v>0</v>
      </c>
      <c r="P40" s="80">
        <f t="shared" si="17"/>
        <v>0</v>
      </c>
      <c r="Q40" s="113">
        <f>Q36*0.124</f>
        <v>0</v>
      </c>
      <c r="R40" s="80">
        <f t="shared" si="18"/>
        <v>0</v>
      </c>
      <c r="S40" s="113">
        <f>S36*0.124</f>
        <v>0</v>
      </c>
      <c r="T40" s="80">
        <f t="shared" si="19"/>
        <v>0</v>
      </c>
      <c r="U40" s="113">
        <f>U36*0.124</f>
        <v>0</v>
      </c>
      <c r="V40" s="80">
        <f t="shared" si="20"/>
        <v>0</v>
      </c>
    </row>
    <row r="41" spans="1:22" ht="12.75" customHeight="1">
      <c r="A41" s="2" t="s">
        <v>376</v>
      </c>
      <c r="B41" s="35"/>
      <c r="C41" s="179">
        <f>C37*0.124</f>
        <v>13324.296</v>
      </c>
      <c r="D41" s="80">
        <f t="shared" si="11"/>
        <v>5.3297184000000004E-2</v>
      </c>
      <c r="E41" s="113">
        <v>0</v>
      </c>
      <c r="F41" s="80">
        <f t="shared" si="12"/>
        <v>0</v>
      </c>
      <c r="G41" s="113">
        <f>G37*0.124</f>
        <v>0</v>
      </c>
      <c r="H41" s="80">
        <f t="shared" si="13"/>
        <v>0</v>
      </c>
      <c r="I41" s="113">
        <f>I37*0.124</f>
        <v>0</v>
      </c>
      <c r="J41" s="80">
        <f t="shared" si="14"/>
        <v>0</v>
      </c>
      <c r="K41" s="113">
        <f>K37*0.124</f>
        <v>0</v>
      </c>
      <c r="L41" s="80">
        <f t="shared" si="15"/>
        <v>0</v>
      </c>
      <c r="M41" s="113">
        <f>M37*0.124</f>
        <v>0</v>
      </c>
      <c r="N41" s="80">
        <f t="shared" si="16"/>
        <v>0</v>
      </c>
      <c r="O41" s="113">
        <f>O37*0.124</f>
        <v>0</v>
      </c>
      <c r="P41" s="80">
        <f t="shared" si="17"/>
        <v>0</v>
      </c>
      <c r="Q41" s="113">
        <f>Q37*0.124</f>
        <v>0</v>
      </c>
      <c r="R41" s="80">
        <f t="shared" si="18"/>
        <v>0</v>
      </c>
      <c r="S41" s="113">
        <f>S37*0.124</f>
        <v>0</v>
      </c>
      <c r="T41" s="80">
        <f t="shared" si="19"/>
        <v>0</v>
      </c>
      <c r="U41" s="113">
        <f>U37*0.124</f>
        <v>0</v>
      </c>
      <c r="V41" s="80">
        <f t="shared" si="20"/>
        <v>0</v>
      </c>
    </row>
    <row r="42" spans="1:22" ht="12.75" customHeight="1">
      <c r="A42" s="2" t="s">
        <v>377</v>
      </c>
      <c r="B42" s="35"/>
      <c r="C42" s="179"/>
      <c r="D42" s="80">
        <f t="shared" si="11"/>
        <v>0</v>
      </c>
      <c r="E42" s="179">
        <v>0</v>
      </c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79"/>
      <c r="D43" s="80">
        <f t="shared" si="11"/>
        <v>0</v>
      </c>
      <c r="E43" s="179">
        <v>0</v>
      </c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79"/>
      <c r="D44" s="80">
        <f t="shared" si="11"/>
        <v>0</v>
      </c>
      <c r="E44" s="179">
        <v>0</v>
      </c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82">
        <f>SUM(C36:C39)*0.094</f>
        <v>16679.36</v>
      </c>
      <c r="D45" s="80">
        <f t="shared" si="11"/>
        <v>6.6717440000000003E-2</v>
      </c>
      <c r="E45" s="114">
        <v>0</v>
      </c>
      <c r="F45" s="80">
        <f t="shared" si="12"/>
        <v>0</v>
      </c>
      <c r="G45" s="114">
        <f>SUM(G36:G39)*0.094</f>
        <v>0</v>
      </c>
      <c r="H45" s="80">
        <f t="shared" si="13"/>
        <v>0</v>
      </c>
      <c r="I45" s="114">
        <f>SUM(I36:I39)*0.094</f>
        <v>0</v>
      </c>
      <c r="J45" s="80">
        <f t="shared" si="14"/>
        <v>0</v>
      </c>
      <c r="K45" s="114">
        <f>SUM(K36:K39)*0.094</f>
        <v>0</v>
      </c>
      <c r="L45" s="80">
        <f t="shared" si="15"/>
        <v>0</v>
      </c>
      <c r="M45" s="114">
        <f>SUM(M36:M39)*0.094</f>
        <v>0</v>
      </c>
      <c r="N45" s="80">
        <f t="shared" si="16"/>
        <v>0</v>
      </c>
      <c r="O45" s="114">
        <f>SUM(O36:O39)*0.094</f>
        <v>0</v>
      </c>
      <c r="P45" s="80">
        <f t="shared" si="17"/>
        <v>0</v>
      </c>
      <c r="Q45" s="114">
        <f>SUM(Q36:Q39)*0.094</f>
        <v>0</v>
      </c>
      <c r="R45" s="80">
        <f t="shared" si="18"/>
        <v>0</v>
      </c>
      <c r="S45" s="114">
        <f>SUM(S36:S39)*0.094</f>
        <v>0</v>
      </c>
      <c r="T45" s="80">
        <f t="shared" si="19"/>
        <v>0</v>
      </c>
      <c r="U45" s="114">
        <f>SUM(U36:U39)*0.094</f>
        <v>0</v>
      </c>
      <c r="V45" s="80">
        <f t="shared" si="20"/>
        <v>0</v>
      </c>
    </row>
    <row r="46" spans="1:22" ht="12.75" customHeight="1">
      <c r="A46" s="1" t="s">
        <v>381</v>
      </c>
      <c r="B46" s="53"/>
      <c r="C46" s="82">
        <f>SUM(C36:C45)</f>
        <v>216121.91999999998</v>
      </c>
      <c r="D46" s="83">
        <f t="shared" si="11"/>
        <v>0.86448767999999998</v>
      </c>
      <c r="E46" s="82">
        <f>SUM(E36:E45)</f>
        <v>0</v>
      </c>
      <c r="F46" s="83">
        <f t="shared" si="12"/>
        <v>0</v>
      </c>
      <c r="G46" s="82">
        <f>SUM(G36:G45)</f>
        <v>0</v>
      </c>
      <c r="H46" s="83">
        <f t="shared" si="13"/>
        <v>0</v>
      </c>
      <c r="I46" s="82">
        <f>SUM(I36:I45)</f>
        <v>0</v>
      </c>
      <c r="J46" s="83">
        <f t="shared" si="14"/>
        <v>0</v>
      </c>
      <c r="K46" s="82">
        <f>SUM(K36:K45)</f>
        <v>0</v>
      </c>
      <c r="L46" s="83">
        <f t="shared" si="15"/>
        <v>0</v>
      </c>
      <c r="M46" s="82">
        <f>SUM(M36:M45)</f>
        <v>0</v>
      </c>
      <c r="N46" s="83">
        <f t="shared" si="16"/>
        <v>0</v>
      </c>
      <c r="O46" s="82">
        <f>SUM(O36:O45)</f>
        <v>0</v>
      </c>
      <c r="P46" s="83">
        <f t="shared" si="17"/>
        <v>0</v>
      </c>
      <c r="Q46" s="82">
        <f>SUM(Q36:Q45)</f>
        <v>0</v>
      </c>
      <c r="R46" s="83">
        <f t="shared" si="18"/>
        <v>0</v>
      </c>
      <c r="S46" s="82">
        <f>SUM(S36:S45)</f>
        <v>0</v>
      </c>
      <c r="T46" s="83">
        <f t="shared" si="19"/>
        <v>0</v>
      </c>
      <c r="U46" s="82">
        <f>SUM(U36:U45)</f>
        <v>0</v>
      </c>
      <c r="V46" s="83">
        <f t="shared" si="20"/>
        <v>0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1">IFERROR(C52/C$28,0)</f>
        <v>0</v>
      </c>
      <c r="E52" s="179">
        <v>0</v>
      </c>
      <c r="F52" s="80">
        <f t="shared" ref="F52:F104" si="22">IFERROR(E52/E$28,0)</f>
        <v>0</v>
      </c>
      <c r="G52" s="179">
        <v>0</v>
      </c>
      <c r="H52" s="80">
        <f t="shared" ref="H52:H104" si="23">IFERROR(G52/G$28,0)</f>
        <v>0</v>
      </c>
      <c r="I52" s="179">
        <v>0</v>
      </c>
      <c r="J52" s="80">
        <f t="shared" ref="J52:J104" si="24">IFERROR(I52/I$28,0)</f>
        <v>0</v>
      </c>
      <c r="K52" s="179">
        <v>0</v>
      </c>
      <c r="L52" s="80">
        <f t="shared" ref="L52:L104" si="25">IFERROR(K52/K$28,0)</f>
        <v>0</v>
      </c>
      <c r="M52" s="179">
        <v>0</v>
      </c>
      <c r="N52" s="80">
        <f t="shared" ref="N52:N104" si="26">IFERROR(M52/M$28,0)</f>
        <v>0</v>
      </c>
      <c r="O52" s="179">
        <v>0</v>
      </c>
      <c r="P52" s="80">
        <f t="shared" ref="P52:P104" si="27">IFERROR(O52/O$28,0)</f>
        <v>0</v>
      </c>
      <c r="Q52" s="179">
        <v>0</v>
      </c>
      <c r="R52" s="80">
        <f t="shared" ref="R52:R104" si="28">IFERROR(Q52/Q$28,0)</f>
        <v>0</v>
      </c>
      <c r="S52" s="179">
        <v>0</v>
      </c>
      <c r="T52" s="80">
        <f t="shared" ref="T52:T104" si="29">IFERROR(S52/S$28,0)</f>
        <v>0</v>
      </c>
      <c r="U52" s="179">
        <v>0</v>
      </c>
      <c r="V52" s="80">
        <f t="shared" ref="V52:V105" si="30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1"/>
        <v>0</v>
      </c>
      <c r="E53" s="179">
        <v>0</v>
      </c>
      <c r="F53" s="80">
        <f t="shared" si="22"/>
        <v>0</v>
      </c>
      <c r="G53" s="179">
        <v>0</v>
      </c>
      <c r="H53" s="80">
        <f t="shared" si="23"/>
        <v>0</v>
      </c>
      <c r="I53" s="179">
        <v>0</v>
      </c>
      <c r="J53" s="80">
        <f t="shared" si="24"/>
        <v>0</v>
      </c>
      <c r="K53" s="179">
        <v>0</v>
      </c>
      <c r="L53" s="80">
        <f t="shared" si="25"/>
        <v>0</v>
      </c>
      <c r="M53" s="179">
        <v>0</v>
      </c>
      <c r="N53" s="80">
        <f t="shared" si="26"/>
        <v>0</v>
      </c>
      <c r="O53" s="179">
        <v>0</v>
      </c>
      <c r="P53" s="80">
        <f t="shared" si="27"/>
        <v>0</v>
      </c>
      <c r="Q53" s="179">
        <v>0</v>
      </c>
      <c r="R53" s="80">
        <f t="shared" si="28"/>
        <v>0</v>
      </c>
      <c r="S53" s="179">
        <v>0</v>
      </c>
      <c r="T53" s="80">
        <f t="shared" si="29"/>
        <v>0</v>
      </c>
      <c r="U53" s="179">
        <v>0</v>
      </c>
      <c r="V53" s="80">
        <f t="shared" si="30"/>
        <v>0</v>
      </c>
      <c r="X53" s="200"/>
    </row>
    <row r="54" spans="1:24" ht="12.75" customHeight="1">
      <c r="A54" s="2" t="s">
        <v>385</v>
      </c>
      <c r="B54" s="35"/>
      <c r="C54" s="179">
        <v>175</v>
      </c>
      <c r="D54" s="80">
        <f t="shared" si="21"/>
        <v>6.9999999999999999E-4</v>
      </c>
      <c r="E54" s="179">
        <v>0</v>
      </c>
      <c r="F54" s="80">
        <f t="shared" si="22"/>
        <v>0</v>
      </c>
      <c r="G54" s="179">
        <v>0</v>
      </c>
      <c r="H54" s="80">
        <f t="shared" si="23"/>
        <v>0</v>
      </c>
      <c r="I54" s="179">
        <v>0</v>
      </c>
      <c r="J54" s="80">
        <f t="shared" si="24"/>
        <v>0</v>
      </c>
      <c r="K54" s="179">
        <v>0</v>
      </c>
      <c r="L54" s="80">
        <f t="shared" si="25"/>
        <v>0</v>
      </c>
      <c r="M54" s="179">
        <v>0</v>
      </c>
      <c r="N54" s="80">
        <f t="shared" si="26"/>
        <v>0</v>
      </c>
      <c r="O54" s="179">
        <v>0</v>
      </c>
      <c r="P54" s="80">
        <f t="shared" si="27"/>
        <v>0</v>
      </c>
      <c r="Q54" s="179">
        <v>0</v>
      </c>
      <c r="R54" s="80">
        <f t="shared" si="28"/>
        <v>0</v>
      </c>
      <c r="S54" s="179">
        <v>0</v>
      </c>
      <c r="T54" s="80">
        <f t="shared" si="29"/>
        <v>0</v>
      </c>
      <c r="U54" s="179">
        <v>0</v>
      </c>
      <c r="V54" s="80">
        <f t="shared" si="30"/>
        <v>0</v>
      </c>
      <c r="X54" s="200"/>
    </row>
    <row r="55" spans="1:24" ht="12.75" customHeight="1">
      <c r="A55" s="2" t="s">
        <v>386</v>
      </c>
      <c r="B55" s="35"/>
      <c r="C55" s="179">
        <v>17500</v>
      </c>
      <c r="D55" s="80">
        <f t="shared" si="21"/>
        <v>7.0000000000000007E-2</v>
      </c>
      <c r="E55" s="179"/>
      <c r="F55" s="80">
        <f t="shared" si="22"/>
        <v>0</v>
      </c>
      <c r="G55" s="179"/>
      <c r="H55" s="80">
        <f t="shared" si="23"/>
        <v>0</v>
      </c>
      <c r="I55" s="179"/>
      <c r="J55" s="80">
        <f t="shared" si="24"/>
        <v>0</v>
      </c>
      <c r="K55" s="179"/>
      <c r="L55" s="80">
        <f t="shared" si="25"/>
        <v>0</v>
      </c>
      <c r="M55" s="179"/>
      <c r="N55" s="80">
        <f t="shared" si="26"/>
        <v>0</v>
      </c>
      <c r="O55" s="179"/>
      <c r="P55" s="80">
        <f t="shared" si="27"/>
        <v>0</v>
      </c>
      <c r="Q55" s="179"/>
      <c r="R55" s="80">
        <f t="shared" si="28"/>
        <v>0</v>
      </c>
      <c r="S55" s="179"/>
      <c r="T55" s="80">
        <f t="shared" si="29"/>
        <v>0</v>
      </c>
      <c r="U55" s="179"/>
      <c r="V55" s="80">
        <f t="shared" si="30"/>
        <v>0</v>
      </c>
      <c r="X55" s="200"/>
    </row>
    <row r="56" spans="1:24" ht="12.75" customHeight="1">
      <c r="A56" s="2" t="s">
        <v>387</v>
      </c>
      <c r="B56" s="35"/>
      <c r="C56" s="179">
        <v>127.50000000000001</v>
      </c>
      <c r="D56" s="80">
        <f t="shared" si="21"/>
        <v>5.1000000000000004E-4</v>
      </c>
      <c r="E56" s="179">
        <v>0</v>
      </c>
      <c r="F56" s="80">
        <f t="shared" si="22"/>
        <v>0</v>
      </c>
      <c r="G56" s="179">
        <v>0</v>
      </c>
      <c r="H56" s="80">
        <f t="shared" si="23"/>
        <v>0</v>
      </c>
      <c r="I56" s="179">
        <v>0</v>
      </c>
      <c r="J56" s="80">
        <f t="shared" si="24"/>
        <v>0</v>
      </c>
      <c r="K56" s="179">
        <v>0</v>
      </c>
      <c r="L56" s="80">
        <f t="shared" si="25"/>
        <v>0</v>
      </c>
      <c r="M56" s="179">
        <v>0</v>
      </c>
      <c r="N56" s="80">
        <f t="shared" si="26"/>
        <v>0</v>
      </c>
      <c r="O56" s="179">
        <v>0</v>
      </c>
      <c r="P56" s="80">
        <f t="shared" si="27"/>
        <v>0</v>
      </c>
      <c r="Q56" s="179">
        <v>0</v>
      </c>
      <c r="R56" s="80">
        <f t="shared" si="28"/>
        <v>0</v>
      </c>
      <c r="S56" s="179">
        <v>0</v>
      </c>
      <c r="T56" s="80">
        <f t="shared" si="29"/>
        <v>0</v>
      </c>
      <c r="U56" s="179">
        <v>0</v>
      </c>
      <c r="V56" s="80">
        <f t="shared" si="30"/>
        <v>0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1"/>
        <v>0</v>
      </c>
      <c r="E57" s="179">
        <v>0</v>
      </c>
      <c r="F57" s="80">
        <f t="shared" si="22"/>
        <v>0</v>
      </c>
      <c r="G57" s="179">
        <v>0</v>
      </c>
      <c r="H57" s="80">
        <f t="shared" si="23"/>
        <v>0</v>
      </c>
      <c r="I57" s="179">
        <v>0</v>
      </c>
      <c r="J57" s="80">
        <f t="shared" si="24"/>
        <v>0</v>
      </c>
      <c r="K57" s="179">
        <v>0</v>
      </c>
      <c r="L57" s="80">
        <f t="shared" si="25"/>
        <v>0</v>
      </c>
      <c r="M57" s="179">
        <v>0</v>
      </c>
      <c r="N57" s="80">
        <f t="shared" si="26"/>
        <v>0</v>
      </c>
      <c r="O57" s="179">
        <v>0</v>
      </c>
      <c r="P57" s="80">
        <f t="shared" si="27"/>
        <v>0</v>
      </c>
      <c r="Q57" s="179">
        <v>0</v>
      </c>
      <c r="R57" s="80">
        <f t="shared" si="28"/>
        <v>0</v>
      </c>
      <c r="S57" s="179">
        <v>0</v>
      </c>
      <c r="T57" s="80">
        <f t="shared" si="29"/>
        <v>0</v>
      </c>
      <c r="U57" s="179">
        <v>0</v>
      </c>
      <c r="V57" s="80">
        <f t="shared" si="30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1"/>
        <v>0</v>
      </c>
      <c r="E58" s="179">
        <v>0</v>
      </c>
      <c r="F58" s="80">
        <f t="shared" si="22"/>
        <v>0</v>
      </c>
      <c r="G58" s="179">
        <v>0</v>
      </c>
      <c r="H58" s="80">
        <f t="shared" si="23"/>
        <v>0</v>
      </c>
      <c r="I58" s="179">
        <v>0</v>
      </c>
      <c r="J58" s="80">
        <f t="shared" si="24"/>
        <v>0</v>
      </c>
      <c r="K58" s="179">
        <v>0</v>
      </c>
      <c r="L58" s="80">
        <f t="shared" si="25"/>
        <v>0</v>
      </c>
      <c r="M58" s="179">
        <v>0</v>
      </c>
      <c r="N58" s="80">
        <f t="shared" si="26"/>
        <v>0</v>
      </c>
      <c r="O58" s="179">
        <v>0</v>
      </c>
      <c r="P58" s="80">
        <f t="shared" si="27"/>
        <v>0</v>
      </c>
      <c r="Q58" s="179">
        <v>0</v>
      </c>
      <c r="R58" s="80">
        <f t="shared" si="28"/>
        <v>0</v>
      </c>
      <c r="S58" s="179">
        <v>0</v>
      </c>
      <c r="T58" s="80">
        <f t="shared" si="29"/>
        <v>0</v>
      </c>
      <c r="U58" s="179">
        <v>0</v>
      </c>
      <c r="V58" s="80">
        <f t="shared" si="30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1"/>
        <v>0</v>
      </c>
      <c r="E59" s="179">
        <v>0</v>
      </c>
      <c r="F59" s="80">
        <f t="shared" si="22"/>
        <v>0</v>
      </c>
      <c r="G59" s="179">
        <v>0</v>
      </c>
      <c r="H59" s="80">
        <f t="shared" si="23"/>
        <v>0</v>
      </c>
      <c r="I59" s="179">
        <v>0</v>
      </c>
      <c r="J59" s="80">
        <f t="shared" si="24"/>
        <v>0</v>
      </c>
      <c r="K59" s="179">
        <v>0</v>
      </c>
      <c r="L59" s="80">
        <f t="shared" si="25"/>
        <v>0</v>
      </c>
      <c r="M59" s="179">
        <v>0</v>
      </c>
      <c r="N59" s="80">
        <f t="shared" si="26"/>
        <v>0</v>
      </c>
      <c r="O59" s="179">
        <v>0</v>
      </c>
      <c r="P59" s="80">
        <f t="shared" si="27"/>
        <v>0</v>
      </c>
      <c r="Q59" s="179">
        <v>0</v>
      </c>
      <c r="R59" s="80">
        <f t="shared" si="28"/>
        <v>0</v>
      </c>
      <c r="S59" s="179">
        <v>0</v>
      </c>
      <c r="T59" s="80">
        <f t="shared" si="29"/>
        <v>0</v>
      </c>
      <c r="U59" s="179">
        <v>0</v>
      </c>
      <c r="V59" s="80">
        <f t="shared" si="30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1"/>
        <v>0</v>
      </c>
      <c r="E60" s="179">
        <v>0</v>
      </c>
      <c r="F60" s="80">
        <f t="shared" si="22"/>
        <v>0</v>
      </c>
      <c r="G60" s="179">
        <v>0</v>
      </c>
      <c r="H60" s="80">
        <f t="shared" si="23"/>
        <v>0</v>
      </c>
      <c r="I60" s="179">
        <v>0</v>
      </c>
      <c r="J60" s="80">
        <f t="shared" si="24"/>
        <v>0</v>
      </c>
      <c r="K60" s="179">
        <v>0</v>
      </c>
      <c r="L60" s="80">
        <f t="shared" si="25"/>
        <v>0</v>
      </c>
      <c r="M60" s="179">
        <v>0</v>
      </c>
      <c r="N60" s="80">
        <f t="shared" si="26"/>
        <v>0</v>
      </c>
      <c r="O60" s="179">
        <v>0</v>
      </c>
      <c r="P60" s="80">
        <f t="shared" si="27"/>
        <v>0</v>
      </c>
      <c r="Q60" s="179">
        <v>0</v>
      </c>
      <c r="R60" s="80">
        <f t="shared" si="28"/>
        <v>0</v>
      </c>
      <c r="S60" s="179">
        <v>0</v>
      </c>
      <c r="T60" s="80">
        <f t="shared" si="29"/>
        <v>0</v>
      </c>
      <c r="U60" s="179">
        <v>0</v>
      </c>
      <c r="V60" s="80">
        <f t="shared" si="30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1"/>
        <v>0</v>
      </c>
      <c r="E61" s="179">
        <v>0</v>
      </c>
      <c r="F61" s="80">
        <f t="shared" si="22"/>
        <v>0</v>
      </c>
      <c r="G61" s="179">
        <v>0</v>
      </c>
      <c r="H61" s="80">
        <f t="shared" si="23"/>
        <v>0</v>
      </c>
      <c r="I61" s="179">
        <v>0</v>
      </c>
      <c r="J61" s="80">
        <f t="shared" si="24"/>
        <v>0</v>
      </c>
      <c r="K61" s="179">
        <v>0</v>
      </c>
      <c r="L61" s="80">
        <f t="shared" si="25"/>
        <v>0</v>
      </c>
      <c r="M61" s="179">
        <v>0</v>
      </c>
      <c r="N61" s="80">
        <f t="shared" si="26"/>
        <v>0</v>
      </c>
      <c r="O61" s="179">
        <v>0</v>
      </c>
      <c r="P61" s="80">
        <f t="shared" si="27"/>
        <v>0</v>
      </c>
      <c r="Q61" s="179">
        <v>0</v>
      </c>
      <c r="R61" s="80">
        <f t="shared" si="28"/>
        <v>0</v>
      </c>
      <c r="S61" s="179">
        <v>0</v>
      </c>
      <c r="T61" s="80">
        <f t="shared" si="29"/>
        <v>0</v>
      </c>
      <c r="U61" s="179">
        <v>0</v>
      </c>
      <c r="V61" s="80">
        <f t="shared" si="30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1"/>
        <v>0</v>
      </c>
      <c r="E62" s="179">
        <v>0</v>
      </c>
      <c r="F62" s="80">
        <f t="shared" si="22"/>
        <v>0</v>
      </c>
      <c r="G62" s="179">
        <v>0</v>
      </c>
      <c r="H62" s="80">
        <f t="shared" si="23"/>
        <v>0</v>
      </c>
      <c r="I62" s="179">
        <v>0</v>
      </c>
      <c r="J62" s="80">
        <f t="shared" si="24"/>
        <v>0</v>
      </c>
      <c r="K62" s="179">
        <v>0</v>
      </c>
      <c r="L62" s="80">
        <f t="shared" si="25"/>
        <v>0</v>
      </c>
      <c r="M62" s="179">
        <v>0</v>
      </c>
      <c r="N62" s="80">
        <f t="shared" si="26"/>
        <v>0</v>
      </c>
      <c r="O62" s="179">
        <v>0</v>
      </c>
      <c r="P62" s="80">
        <f t="shared" si="27"/>
        <v>0</v>
      </c>
      <c r="Q62" s="179">
        <v>0</v>
      </c>
      <c r="R62" s="80">
        <f t="shared" si="28"/>
        <v>0</v>
      </c>
      <c r="S62" s="179">
        <v>0</v>
      </c>
      <c r="T62" s="80">
        <f t="shared" si="29"/>
        <v>0</v>
      </c>
      <c r="U62" s="179">
        <v>0</v>
      </c>
      <c r="V62" s="80">
        <f t="shared" si="30"/>
        <v>0</v>
      </c>
      <c r="X62" s="200"/>
    </row>
    <row r="63" spans="1:24" ht="12.75" customHeight="1">
      <c r="A63" s="2" t="s">
        <v>394</v>
      </c>
      <c r="B63" s="35"/>
      <c r="C63" s="179">
        <v>3430.6088872927871</v>
      </c>
      <c r="D63" s="80">
        <f t="shared" si="21"/>
        <v>1.3722435549171149E-2</v>
      </c>
      <c r="E63" s="179">
        <v>0</v>
      </c>
      <c r="F63" s="80">
        <f t="shared" si="22"/>
        <v>0</v>
      </c>
      <c r="G63" s="179">
        <v>0</v>
      </c>
      <c r="H63" s="80">
        <f t="shared" si="23"/>
        <v>0</v>
      </c>
      <c r="I63" s="179">
        <v>0</v>
      </c>
      <c r="J63" s="80">
        <f t="shared" si="24"/>
        <v>0</v>
      </c>
      <c r="K63" s="179">
        <v>0</v>
      </c>
      <c r="L63" s="80">
        <f t="shared" si="25"/>
        <v>0</v>
      </c>
      <c r="M63" s="179">
        <v>0</v>
      </c>
      <c r="N63" s="80">
        <f t="shared" si="26"/>
        <v>0</v>
      </c>
      <c r="O63" s="179">
        <v>0</v>
      </c>
      <c r="P63" s="80">
        <f t="shared" si="27"/>
        <v>0</v>
      </c>
      <c r="Q63" s="179">
        <v>0</v>
      </c>
      <c r="R63" s="80">
        <f t="shared" si="28"/>
        <v>0</v>
      </c>
      <c r="S63" s="179">
        <v>0</v>
      </c>
      <c r="T63" s="80">
        <f t="shared" si="29"/>
        <v>0</v>
      </c>
      <c r="U63" s="179">
        <v>0</v>
      </c>
      <c r="V63" s="80">
        <f t="shared" si="30"/>
        <v>0</v>
      </c>
      <c r="X63" s="200"/>
    </row>
    <row r="64" spans="1:24" ht="12.75" customHeight="1">
      <c r="A64" s="2" t="s">
        <v>395</v>
      </c>
      <c r="B64" s="35"/>
      <c r="C64" s="179">
        <v>1199.9999999999998</v>
      </c>
      <c r="D64" s="80">
        <f t="shared" si="21"/>
        <v>4.7999999999999987E-3</v>
      </c>
      <c r="E64" s="179">
        <v>0</v>
      </c>
      <c r="F64" s="80">
        <f t="shared" si="22"/>
        <v>0</v>
      </c>
      <c r="G64" s="179">
        <v>0</v>
      </c>
      <c r="H64" s="80">
        <f t="shared" si="23"/>
        <v>0</v>
      </c>
      <c r="I64" s="179">
        <v>0</v>
      </c>
      <c r="J64" s="80">
        <f t="shared" si="24"/>
        <v>0</v>
      </c>
      <c r="K64" s="179">
        <v>0</v>
      </c>
      <c r="L64" s="80">
        <f t="shared" si="25"/>
        <v>0</v>
      </c>
      <c r="M64" s="179">
        <v>0</v>
      </c>
      <c r="N64" s="80">
        <f t="shared" si="26"/>
        <v>0</v>
      </c>
      <c r="O64" s="179">
        <v>0</v>
      </c>
      <c r="P64" s="80">
        <f t="shared" si="27"/>
        <v>0</v>
      </c>
      <c r="Q64" s="179">
        <v>0</v>
      </c>
      <c r="R64" s="80">
        <f t="shared" si="28"/>
        <v>0</v>
      </c>
      <c r="S64" s="179">
        <v>0</v>
      </c>
      <c r="T64" s="80">
        <f t="shared" si="29"/>
        <v>0</v>
      </c>
      <c r="U64" s="179">
        <v>0</v>
      </c>
      <c r="V64" s="80">
        <f t="shared" si="30"/>
        <v>0</v>
      </c>
      <c r="X64" s="200"/>
    </row>
    <row r="65" spans="1:24" ht="12.75" customHeight="1">
      <c r="A65" s="2" t="s">
        <v>396</v>
      </c>
      <c r="B65" s="35"/>
      <c r="C65" s="179">
        <v>124.99999999999999</v>
      </c>
      <c r="D65" s="80">
        <f t="shared" si="21"/>
        <v>4.999999999999999E-4</v>
      </c>
      <c r="E65" s="179">
        <v>0</v>
      </c>
      <c r="F65" s="80">
        <f t="shared" si="22"/>
        <v>0</v>
      </c>
      <c r="G65" s="179">
        <v>0</v>
      </c>
      <c r="H65" s="80">
        <f t="shared" si="23"/>
        <v>0</v>
      </c>
      <c r="I65" s="179">
        <v>0</v>
      </c>
      <c r="J65" s="80">
        <f t="shared" si="24"/>
        <v>0</v>
      </c>
      <c r="K65" s="179">
        <v>0</v>
      </c>
      <c r="L65" s="80">
        <f t="shared" si="25"/>
        <v>0</v>
      </c>
      <c r="M65" s="179">
        <v>0</v>
      </c>
      <c r="N65" s="80">
        <f t="shared" si="26"/>
        <v>0</v>
      </c>
      <c r="O65" s="179">
        <v>0</v>
      </c>
      <c r="P65" s="80">
        <f t="shared" si="27"/>
        <v>0</v>
      </c>
      <c r="Q65" s="179">
        <v>0</v>
      </c>
      <c r="R65" s="80">
        <f t="shared" si="28"/>
        <v>0</v>
      </c>
      <c r="S65" s="179">
        <v>0</v>
      </c>
      <c r="T65" s="80">
        <f t="shared" si="29"/>
        <v>0</v>
      </c>
      <c r="U65" s="179">
        <v>0</v>
      </c>
      <c r="V65" s="80">
        <f t="shared" si="30"/>
        <v>0</v>
      </c>
      <c r="X65" s="200"/>
    </row>
    <row r="66" spans="1:24" ht="12.75" customHeight="1">
      <c r="A66" s="2" t="s">
        <v>397</v>
      </c>
      <c r="B66" s="35"/>
      <c r="C66" s="179">
        <v>700</v>
      </c>
      <c r="D66" s="80">
        <f t="shared" si="21"/>
        <v>2.8E-3</v>
      </c>
      <c r="E66" s="179">
        <v>0</v>
      </c>
      <c r="F66" s="80">
        <f t="shared" si="22"/>
        <v>0</v>
      </c>
      <c r="G66" s="179">
        <v>0</v>
      </c>
      <c r="H66" s="80">
        <f t="shared" si="23"/>
        <v>0</v>
      </c>
      <c r="I66" s="179">
        <v>0</v>
      </c>
      <c r="J66" s="80">
        <f t="shared" si="24"/>
        <v>0</v>
      </c>
      <c r="K66" s="179">
        <v>0</v>
      </c>
      <c r="L66" s="80">
        <f t="shared" si="25"/>
        <v>0</v>
      </c>
      <c r="M66" s="179">
        <v>0</v>
      </c>
      <c r="N66" s="80">
        <f t="shared" si="26"/>
        <v>0</v>
      </c>
      <c r="O66" s="179">
        <v>0</v>
      </c>
      <c r="P66" s="80">
        <f t="shared" si="27"/>
        <v>0</v>
      </c>
      <c r="Q66" s="179">
        <v>0</v>
      </c>
      <c r="R66" s="80">
        <f t="shared" si="28"/>
        <v>0</v>
      </c>
      <c r="S66" s="179">
        <v>0</v>
      </c>
      <c r="T66" s="80">
        <f t="shared" si="29"/>
        <v>0</v>
      </c>
      <c r="U66" s="179">
        <v>0</v>
      </c>
      <c r="V66" s="80">
        <f t="shared" si="30"/>
        <v>0</v>
      </c>
      <c r="X66" s="200"/>
    </row>
    <row r="67" spans="1:24" ht="12.75" customHeight="1">
      <c r="A67" s="2" t="s">
        <v>398</v>
      </c>
      <c r="B67" s="35"/>
      <c r="C67" s="179">
        <v>3749.9999999999995</v>
      </c>
      <c r="D67" s="80">
        <f t="shared" si="21"/>
        <v>1.4999999999999998E-2</v>
      </c>
      <c r="E67" s="179">
        <v>0</v>
      </c>
      <c r="F67" s="80">
        <f t="shared" si="22"/>
        <v>0</v>
      </c>
      <c r="G67" s="179">
        <v>0</v>
      </c>
      <c r="H67" s="80">
        <f t="shared" si="23"/>
        <v>0</v>
      </c>
      <c r="I67" s="179">
        <v>0</v>
      </c>
      <c r="J67" s="80">
        <f t="shared" si="24"/>
        <v>0</v>
      </c>
      <c r="K67" s="179">
        <v>0</v>
      </c>
      <c r="L67" s="80">
        <f t="shared" si="25"/>
        <v>0</v>
      </c>
      <c r="M67" s="179">
        <v>0</v>
      </c>
      <c r="N67" s="80">
        <f t="shared" si="26"/>
        <v>0</v>
      </c>
      <c r="O67" s="179">
        <v>0</v>
      </c>
      <c r="P67" s="80">
        <f t="shared" si="27"/>
        <v>0</v>
      </c>
      <c r="Q67" s="179">
        <v>0</v>
      </c>
      <c r="R67" s="80">
        <f t="shared" si="28"/>
        <v>0</v>
      </c>
      <c r="S67" s="179">
        <v>0</v>
      </c>
      <c r="T67" s="80">
        <f t="shared" si="29"/>
        <v>0</v>
      </c>
      <c r="U67" s="179">
        <v>0</v>
      </c>
      <c r="V67" s="80">
        <f t="shared" si="30"/>
        <v>0</v>
      </c>
      <c r="X67" s="200"/>
    </row>
    <row r="68" spans="1:24" ht="12.75" customHeight="1">
      <c r="A68" s="2" t="s">
        <v>399</v>
      </c>
      <c r="B68" s="35"/>
      <c r="C68" s="179">
        <v>424.99999999999994</v>
      </c>
      <c r="D68" s="80">
        <f t="shared" si="21"/>
        <v>1.6999999999999997E-3</v>
      </c>
      <c r="E68" s="179">
        <v>0</v>
      </c>
      <c r="F68" s="80">
        <f t="shared" si="22"/>
        <v>0</v>
      </c>
      <c r="G68" s="179">
        <v>0</v>
      </c>
      <c r="H68" s="80">
        <f t="shared" si="23"/>
        <v>0</v>
      </c>
      <c r="I68" s="179">
        <v>0</v>
      </c>
      <c r="J68" s="80">
        <f t="shared" si="24"/>
        <v>0</v>
      </c>
      <c r="K68" s="179">
        <v>0</v>
      </c>
      <c r="L68" s="80">
        <f t="shared" si="25"/>
        <v>0</v>
      </c>
      <c r="M68" s="179">
        <v>0</v>
      </c>
      <c r="N68" s="80">
        <f t="shared" si="26"/>
        <v>0</v>
      </c>
      <c r="O68" s="179">
        <v>0</v>
      </c>
      <c r="P68" s="80">
        <f t="shared" si="27"/>
        <v>0</v>
      </c>
      <c r="Q68" s="179">
        <v>0</v>
      </c>
      <c r="R68" s="80">
        <f t="shared" si="28"/>
        <v>0</v>
      </c>
      <c r="S68" s="179">
        <v>0</v>
      </c>
      <c r="T68" s="80">
        <f t="shared" si="29"/>
        <v>0</v>
      </c>
      <c r="U68" s="179">
        <v>0</v>
      </c>
      <c r="V68" s="80">
        <f t="shared" si="30"/>
        <v>0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1"/>
        <v>0</v>
      </c>
      <c r="E69" s="179">
        <v>0</v>
      </c>
      <c r="F69" s="80">
        <f t="shared" si="22"/>
        <v>0</v>
      </c>
      <c r="G69" s="179">
        <v>0</v>
      </c>
      <c r="H69" s="80">
        <f t="shared" si="23"/>
        <v>0</v>
      </c>
      <c r="I69" s="179">
        <v>0</v>
      </c>
      <c r="J69" s="80">
        <f t="shared" si="24"/>
        <v>0</v>
      </c>
      <c r="K69" s="179">
        <v>0</v>
      </c>
      <c r="L69" s="80">
        <f t="shared" si="25"/>
        <v>0</v>
      </c>
      <c r="M69" s="179">
        <v>0</v>
      </c>
      <c r="N69" s="80">
        <f t="shared" si="26"/>
        <v>0</v>
      </c>
      <c r="O69" s="179">
        <v>0</v>
      </c>
      <c r="P69" s="80">
        <f t="shared" si="27"/>
        <v>0</v>
      </c>
      <c r="Q69" s="179">
        <v>0</v>
      </c>
      <c r="R69" s="80">
        <f t="shared" si="28"/>
        <v>0</v>
      </c>
      <c r="S69" s="179">
        <v>0</v>
      </c>
      <c r="T69" s="80">
        <f t="shared" si="29"/>
        <v>0</v>
      </c>
      <c r="U69" s="179">
        <v>0</v>
      </c>
      <c r="V69" s="80">
        <f t="shared" si="30"/>
        <v>0</v>
      </c>
      <c r="X69" s="200"/>
    </row>
    <row r="70" spans="1:24" ht="12.75" customHeight="1">
      <c r="A70" s="2" t="s">
        <v>401</v>
      </c>
      <c r="B70" s="35"/>
      <c r="C70" s="179">
        <v>25.000000000000004</v>
      </c>
      <c r="D70" s="80">
        <f t="shared" si="21"/>
        <v>1.0000000000000002E-4</v>
      </c>
      <c r="E70" s="179">
        <v>0</v>
      </c>
      <c r="F70" s="80">
        <f t="shared" si="22"/>
        <v>0</v>
      </c>
      <c r="G70" s="179">
        <v>0</v>
      </c>
      <c r="H70" s="80">
        <f t="shared" si="23"/>
        <v>0</v>
      </c>
      <c r="I70" s="179">
        <v>0</v>
      </c>
      <c r="J70" s="80">
        <f t="shared" si="24"/>
        <v>0</v>
      </c>
      <c r="K70" s="179">
        <v>0</v>
      </c>
      <c r="L70" s="80">
        <f t="shared" si="25"/>
        <v>0</v>
      </c>
      <c r="M70" s="179">
        <v>0</v>
      </c>
      <c r="N70" s="80">
        <f t="shared" si="26"/>
        <v>0</v>
      </c>
      <c r="O70" s="179">
        <v>0</v>
      </c>
      <c r="P70" s="80">
        <f t="shared" si="27"/>
        <v>0</v>
      </c>
      <c r="Q70" s="179">
        <v>0</v>
      </c>
      <c r="R70" s="80">
        <f t="shared" si="28"/>
        <v>0</v>
      </c>
      <c r="S70" s="179">
        <v>0</v>
      </c>
      <c r="T70" s="80">
        <f t="shared" si="29"/>
        <v>0</v>
      </c>
      <c r="U70" s="179">
        <v>0</v>
      </c>
      <c r="V70" s="80">
        <f t="shared" si="30"/>
        <v>0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1"/>
        <v>0</v>
      </c>
      <c r="E71" s="179">
        <v>0</v>
      </c>
      <c r="F71" s="80">
        <f t="shared" si="22"/>
        <v>0</v>
      </c>
      <c r="G71" s="179">
        <v>0</v>
      </c>
      <c r="H71" s="80">
        <f t="shared" si="23"/>
        <v>0</v>
      </c>
      <c r="I71" s="179">
        <v>0</v>
      </c>
      <c r="J71" s="80">
        <f t="shared" si="24"/>
        <v>0</v>
      </c>
      <c r="K71" s="179">
        <v>0</v>
      </c>
      <c r="L71" s="80">
        <f t="shared" si="25"/>
        <v>0</v>
      </c>
      <c r="M71" s="179">
        <v>0</v>
      </c>
      <c r="N71" s="80">
        <f t="shared" si="26"/>
        <v>0</v>
      </c>
      <c r="O71" s="179">
        <v>0</v>
      </c>
      <c r="P71" s="80">
        <f t="shared" si="27"/>
        <v>0</v>
      </c>
      <c r="Q71" s="179">
        <v>0</v>
      </c>
      <c r="R71" s="80">
        <f t="shared" si="28"/>
        <v>0</v>
      </c>
      <c r="S71" s="179">
        <v>0</v>
      </c>
      <c r="T71" s="80">
        <f t="shared" si="29"/>
        <v>0</v>
      </c>
      <c r="U71" s="179">
        <v>0</v>
      </c>
      <c r="V71" s="80">
        <f t="shared" si="30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1"/>
        <v>0</v>
      </c>
      <c r="E72" s="179">
        <v>0</v>
      </c>
      <c r="F72" s="80">
        <f t="shared" si="22"/>
        <v>0</v>
      </c>
      <c r="G72" s="179">
        <v>0</v>
      </c>
      <c r="H72" s="80">
        <f t="shared" si="23"/>
        <v>0</v>
      </c>
      <c r="I72" s="179">
        <v>0</v>
      </c>
      <c r="J72" s="80">
        <f t="shared" si="24"/>
        <v>0</v>
      </c>
      <c r="K72" s="179">
        <v>0</v>
      </c>
      <c r="L72" s="80">
        <f t="shared" si="25"/>
        <v>0</v>
      </c>
      <c r="M72" s="179">
        <v>0</v>
      </c>
      <c r="N72" s="80">
        <f t="shared" si="26"/>
        <v>0</v>
      </c>
      <c r="O72" s="179">
        <v>0</v>
      </c>
      <c r="P72" s="80">
        <f t="shared" si="27"/>
        <v>0</v>
      </c>
      <c r="Q72" s="179">
        <v>0</v>
      </c>
      <c r="R72" s="80">
        <f t="shared" si="28"/>
        <v>0</v>
      </c>
      <c r="S72" s="179">
        <v>0</v>
      </c>
      <c r="T72" s="80">
        <f t="shared" si="29"/>
        <v>0</v>
      </c>
      <c r="U72" s="179">
        <v>0</v>
      </c>
      <c r="V72" s="80">
        <f t="shared" si="30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1"/>
        <v>0</v>
      </c>
      <c r="E73" s="179">
        <v>0</v>
      </c>
      <c r="F73" s="80">
        <f t="shared" si="22"/>
        <v>0</v>
      </c>
      <c r="G73" s="179">
        <v>0</v>
      </c>
      <c r="H73" s="80">
        <f t="shared" si="23"/>
        <v>0</v>
      </c>
      <c r="I73" s="179">
        <v>0</v>
      </c>
      <c r="J73" s="80">
        <f t="shared" si="24"/>
        <v>0</v>
      </c>
      <c r="K73" s="179">
        <v>0</v>
      </c>
      <c r="L73" s="80">
        <f t="shared" si="25"/>
        <v>0</v>
      </c>
      <c r="M73" s="179">
        <v>0</v>
      </c>
      <c r="N73" s="80">
        <f t="shared" si="26"/>
        <v>0</v>
      </c>
      <c r="O73" s="179">
        <v>0</v>
      </c>
      <c r="P73" s="80">
        <f t="shared" si="27"/>
        <v>0</v>
      </c>
      <c r="Q73" s="179">
        <v>0</v>
      </c>
      <c r="R73" s="80">
        <f t="shared" si="28"/>
        <v>0</v>
      </c>
      <c r="S73" s="179">
        <v>0</v>
      </c>
      <c r="T73" s="80">
        <f t="shared" si="29"/>
        <v>0</v>
      </c>
      <c r="U73" s="179">
        <v>0</v>
      </c>
      <c r="V73" s="80">
        <f t="shared" si="30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1"/>
        <v>0</v>
      </c>
      <c r="E74" s="179">
        <v>0</v>
      </c>
      <c r="F74" s="80">
        <f t="shared" si="22"/>
        <v>0</v>
      </c>
      <c r="G74" s="179">
        <v>0</v>
      </c>
      <c r="H74" s="80">
        <f t="shared" si="23"/>
        <v>0</v>
      </c>
      <c r="I74" s="179">
        <v>0</v>
      </c>
      <c r="J74" s="80">
        <f t="shared" si="24"/>
        <v>0</v>
      </c>
      <c r="K74" s="179">
        <v>0</v>
      </c>
      <c r="L74" s="80">
        <f t="shared" si="25"/>
        <v>0</v>
      </c>
      <c r="M74" s="179">
        <v>0</v>
      </c>
      <c r="N74" s="80">
        <f t="shared" si="26"/>
        <v>0</v>
      </c>
      <c r="O74" s="179">
        <v>0</v>
      </c>
      <c r="P74" s="80">
        <f t="shared" si="27"/>
        <v>0</v>
      </c>
      <c r="Q74" s="179">
        <v>0</v>
      </c>
      <c r="R74" s="80">
        <f t="shared" si="28"/>
        <v>0</v>
      </c>
      <c r="S74" s="179">
        <v>0</v>
      </c>
      <c r="T74" s="80">
        <f t="shared" si="29"/>
        <v>0</v>
      </c>
      <c r="U74" s="179">
        <v>0</v>
      </c>
      <c r="V74" s="80">
        <f t="shared" si="30"/>
        <v>0</v>
      </c>
      <c r="X74" s="200"/>
    </row>
    <row r="75" spans="1:24" ht="12.75" customHeight="1">
      <c r="A75" s="2" t="s">
        <v>406</v>
      </c>
      <c r="B75" s="35"/>
      <c r="C75" s="179">
        <v>1250</v>
      </c>
      <c r="D75" s="80">
        <f t="shared" si="21"/>
        <v>5.0000000000000001E-3</v>
      </c>
      <c r="E75" s="179">
        <v>0</v>
      </c>
      <c r="F75" s="80">
        <f t="shared" si="22"/>
        <v>0</v>
      </c>
      <c r="G75" s="179">
        <v>0</v>
      </c>
      <c r="H75" s="80">
        <f t="shared" si="23"/>
        <v>0</v>
      </c>
      <c r="I75" s="179">
        <v>0</v>
      </c>
      <c r="J75" s="80">
        <f t="shared" si="24"/>
        <v>0</v>
      </c>
      <c r="K75" s="179">
        <v>0</v>
      </c>
      <c r="L75" s="80">
        <f t="shared" si="25"/>
        <v>0</v>
      </c>
      <c r="M75" s="179">
        <v>0</v>
      </c>
      <c r="N75" s="80">
        <f t="shared" si="26"/>
        <v>0</v>
      </c>
      <c r="O75" s="179">
        <v>0</v>
      </c>
      <c r="P75" s="80">
        <f t="shared" si="27"/>
        <v>0</v>
      </c>
      <c r="Q75" s="179">
        <v>0</v>
      </c>
      <c r="R75" s="80">
        <f t="shared" si="28"/>
        <v>0</v>
      </c>
      <c r="S75" s="179">
        <v>0</v>
      </c>
      <c r="T75" s="80">
        <f t="shared" si="29"/>
        <v>0</v>
      </c>
      <c r="U75" s="179">
        <v>0</v>
      </c>
      <c r="V75" s="80">
        <f t="shared" si="30"/>
        <v>0</v>
      </c>
      <c r="X75" s="200"/>
    </row>
    <row r="76" spans="1:24" ht="12.75" customHeight="1">
      <c r="A76" s="2" t="s">
        <v>407</v>
      </c>
      <c r="B76" s="35"/>
      <c r="C76" s="179">
        <v>100.00000000000001</v>
      </c>
      <c r="D76" s="80">
        <f t="shared" si="21"/>
        <v>4.0000000000000007E-4</v>
      </c>
      <c r="E76" s="179">
        <v>0</v>
      </c>
      <c r="F76" s="80">
        <f t="shared" si="22"/>
        <v>0</v>
      </c>
      <c r="G76" s="179">
        <v>0</v>
      </c>
      <c r="H76" s="80">
        <f t="shared" si="23"/>
        <v>0</v>
      </c>
      <c r="I76" s="179">
        <v>0</v>
      </c>
      <c r="J76" s="80">
        <f t="shared" si="24"/>
        <v>0</v>
      </c>
      <c r="K76" s="179">
        <v>0</v>
      </c>
      <c r="L76" s="80">
        <f t="shared" si="25"/>
        <v>0</v>
      </c>
      <c r="M76" s="179">
        <v>0</v>
      </c>
      <c r="N76" s="80">
        <f t="shared" si="26"/>
        <v>0</v>
      </c>
      <c r="O76" s="179">
        <v>0</v>
      </c>
      <c r="P76" s="80">
        <f t="shared" si="27"/>
        <v>0</v>
      </c>
      <c r="Q76" s="179">
        <v>0</v>
      </c>
      <c r="R76" s="80">
        <f t="shared" si="28"/>
        <v>0</v>
      </c>
      <c r="S76" s="179">
        <v>0</v>
      </c>
      <c r="T76" s="80">
        <f t="shared" si="29"/>
        <v>0</v>
      </c>
      <c r="U76" s="179">
        <v>0</v>
      </c>
      <c r="V76" s="80">
        <f t="shared" si="30"/>
        <v>0</v>
      </c>
      <c r="X76" s="200"/>
    </row>
    <row r="77" spans="1:24" ht="12.75" customHeight="1">
      <c r="A77" s="2" t="s">
        <v>408</v>
      </c>
      <c r="B77" s="35"/>
      <c r="C77" s="179">
        <v>324.99999999999994</v>
      </c>
      <c r="D77" s="80">
        <f t="shared" si="21"/>
        <v>1.2999999999999997E-3</v>
      </c>
      <c r="E77" s="179">
        <v>0</v>
      </c>
      <c r="F77" s="80">
        <f t="shared" si="22"/>
        <v>0</v>
      </c>
      <c r="G77" s="179">
        <v>0</v>
      </c>
      <c r="H77" s="80">
        <f t="shared" si="23"/>
        <v>0</v>
      </c>
      <c r="I77" s="179">
        <v>0</v>
      </c>
      <c r="J77" s="80">
        <f t="shared" si="24"/>
        <v>0</v>
      </c>
      <c r="K77" s="179">
        <v>0</v>
      </c>
      <c r="L77" s="80">
        <f t="shared" si="25"/>
        <v>0</v>
      </c>
      <c r="M77" s="179">
        <v>0</v>
      </c>
      <c r="N77" s="80">
        <f t="shared" si="26"/>
        <v>0</v>
      </c>
      <c r="O77" s="179">
        <v>0</v>
      </c>
      <c r="P77" s="80">
        <f t="shared" si="27"/>
        <v>0</v>
      </c>
      <c r="Q77" s="179">
        <v>0</v>
      </c>
      <c r="R77" s="80">
        <f t="shared" si="28"/>
        <v>0</v>
      </c>
      <c r="S77" s="179">
        <v>0</v>
      </c>
      <c r="T77" s="80">
        <f t="shared" si="29"/>
        <v>0</v>
      </c>
      <c r="U77" s="179">
        <v>0</v>
      </c>
      <c r="V77" s="80">
        <f t="shared" si="30"/>
        <v>0</v>
      </c>
      <c r="X77" s="200"/>
    </row>
    <row r="78" spans="1:24" ht="12.75" customHeight="1">
      <c r="A78" s="2" t="s">
        <v>409</v>
      </c>
      <c r="B78" s="35"/>
      <c r="C78" s="179">
        <v>5499.9999999999991</v>
      </c>
      <c r="D78" s="80">
        <f t="shared" si="21"/>
        <v>2.1999999999999995E-2</v>
      </c>
      <c r="E78" s="179">
        <v>0</v>
      </c>
      <c r="F78" s="80">
        <f t="shared" si="22"/>
        <v>0</v>
      </c>
      <c r="G78" s="179">
        <v>0</v>
      </c>
      <c r="H78" s="80">
        <f t="shared" si="23"/>
        <v>0</v>
      </c>
      <c r="I78" s="179">
        <v>0</v>
      </c>
      <c r="J78" s="80">
        <f t="shared" si="24"/>
        <v>0</v>
      </c>
      <c r="K78" s="179">
        <v>0</v>
      </c>
      <c r="L78" s="80">
        <f t="shared" si="25"/>
        <v>0</v>
      </c>
      <c r="M78" s="179">
        <v>0</v>
      </c>
      <c r="N78" s="80">
        <f t="shared" si="26"/>
        <v>0</v>
      </c>
      <c r="O78" s="179">
        <v>0</v>
      </c>
      <c r="P78" s="80">
        <f t="shared" si="27"/>
        <v>0</v>
      </c>
      <c r="Q78" s="179">
        <v>0</v>
      </c>
      <c r="R78" s="80">
        <f t="shared" si="28"/>
        <v>0</v>
      </c>
      <c r="S78" s="179">
        <v>0</v>
      </c>
      <c r="T78" s="80">
        <f t="shared" si="29"/>
        <v>0</v>
      </c>
      <c r="U78" s="179">
        <v>0</v>
      </c>
      <c r="V78" s="80">
        <f t="shared" si="30"/>
        <v>0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1"/>
        <v>0</v>
      </c>
      <c r="E79" s="179">
        <v>0</v>
      </c>
      <c r="F79" s="80">
        <f t="shared" si="22"/>
        <v>0</v>
      </c>
      <c r="G79" s="179">
        <v>0</v>
      </c>
      <c r="H79" s="80">
        <f t="shared" si="23"/>
        <v>0</v>
      </c>
      <c r="I79" s="179">
        <v>0</v>
      </c>
      <c r="J79" s="80">
        <f t="shared" si="24"/>
        <v>0</v>
      </c>
      <c r="K79" s="179">
        <v>0</v>
      </c>
      <c r="L79" s="80">
        <f t="shared" si="25"/>
        <v>0</v>
      </c>
      <c r="M79" s="179">
        <v>0</v>
      </c>
      <c r="N79" s="80">
        <f t="shared" si="26"/>
        <v>0</v>
      </c>
      <c r="O79" s="179">
        <v>0</v>
      </c>
      <c r="P79" s="80">
        <f t="shared" si="27"/>
        <v>0</v>
      </c>
      <c r="Q79" s="179">
        <v>0</v>
      </c>
      <c r="R79" s="80">
        <f t="shared" si="28"/>
        <v>0</v>
      </c>
      <c r="S79" s="179">
        <v>0</v>
      </c>
      <c r="T79" s="80">
        <f t="shared" si="29"/>
        <v>0</v>
      </c>
      <c r="U79" s="179">
        <v>0</v>
      </c>
      <c r="V79" s="80">
        <f t="shared" si="30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1"/>
        <v>0</v>
      </c>
      <c r="E80" s="179">
        <v>0</v>
      </c>
      <c r="F80" s="80">
        <f t="shared" si="22"/>
        <v>0</v>
      </c>
      <c r="G80" s="179">
        <v>0</v>
      </c>
      <c r="H80" s="80">
        <f t="shared" si="23"/>
        <v>0</v>
      </c>
      <c r="I80" s="179">
        <v>0</v>
      </c>
      <c r="J80" s="80">
        <f t="shared" si="24"/>
        <v>0</v>
      </c>
      <c r="K80" s="179">
        <v>0</v>
      </c>
      <c r="L80" s="80">
        <f t="shared" si="25"/>
        <v>0</v>
      </c>
      <c r="M80" s="179">
        <v>0</v>
      </c>
      <c r="N80" s="80">
        <f t="shared" si="26"/>
        <v>0</v>
      </c>
      <c r="O80" s="179">
        <v>0</v>
      </c>
      <c r="P80" s="80">
        <f t="shared" si="27"/>
        <v>0</v>
      </c>
      <c r="Q80" s="179">
        <v>0</v>
      </c>
      <c r="R80" s="80">
        <f t="shared" si="28"/>
        <v>0</v>
      </c>
      <c r="S80" s="179">
        <v>0</v>
      </c>
      <c r="T80" s="80">
        <f t="shared" si="29"/>
        <v>0</v>
      </c>
      <c r="U80" s="179">
        <v>0</v>
      </c>
      <c r="V80" s="80">
        <f t="shared" si="30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1"/>
        <v>0</v>
      </c>
      <c r="E81" s="179">
        <v>0</v>
      </c>
      <c r="F81" s="80">
        <f t="shared" si="22"/>
        <v>0</v>
      </c>
      <c r="G81" s="179">
        <v>0</v>
      </c>
      <c r="H81" s="80">
        <f t="shared" si="23"/>
        <v>0</v>
      </c>
      <c r="I81" s="179">
        <v>0</v>
      </c>
      <c r="J81" s="80">
        <f t="shared" si="24"/>
        <v>0</v>
      </c>
      <c r="K81" s="179">
        <v>0</v>
      </c>
      <c r="L81" s="80">
        <f t="shared" si="25"/>
        <v>0</v>
      </c>
      <c r="M81" s="179">
        <v>0</v>
      </c>
      <c r="N81" s="80">
        <f t="shared" si="26"/>
        <v>0</v>
      </c>
      <c r="O81" s="179">
        <v>0</v>
      </c>
      <c r="P81" s="80">
        <f t="shared" si="27"/>
        <v>0</v>
      </c>
      <c r="Q81" s="179">
        <v>0</v>
      </c>
      <c r="R81" s="80">
        <f t="shared" si="28"/>
        <v>0</v>
      </c>
      <c r="S81" s="179">
        <v>0</v>
      </c>
      <c r="T81" s="80">
        <f t="shared" si="29"/>
        <v>0</v>
      </c>
      <c r="U81" s="179">
        <v>0</v>
      </c>
      <c r="V81" s="80">
        <f t="shared" si="30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1"/>
        <v>0</v>
      </c>
      <c r="E82" s="179">
        <v>0</v>
      </c>
      <c r="F82" s="80">
        <f t="shared" si="22"/>
        <v>0</v>
      </c>
      <c r="G82" s="179">
        <v>0</v>
      </c>
      <c r="H82" s="80">
        <f t="shared" si="23"/>
        <v>0</v>
      </c>
      <c r="I82" s="179">
        <v>0</v>
      </c>
      <c r="J82" s="80">
        <f t="shared" si="24"/>
        <v>0</v>
      </c>
      <c r="K82" s="179">
        <v>0</v>
      </c>
      <c r="L82" s="80">
        <f t="shared" si="25"/>
        <v>0</v>
      </c>
      <c r="M82" s="179">
        <v>0</v>
      </c>
      <c r="N82" s="80">
        <f t="shared" si="26"/>
        <v>0</v>
      </c>
      <c r="O82" s="179">
        <v>0</v>
      </c>
      <c r="P82" s="80">
        <f t="shared" si="27"/>
        <v>0</v>
      </c>
      <c r="Q82" s="179">
        <v>0</v>
      </c>
      <c r="R82" s="80">
        <f t="shared" si="28"/>
        <v>0</v>
      </c>
      <c r="S82" s="179">
        <v>0</v>
      </c>
      <c r="T82" s="80">
        <f t="shared" si="29"/>
        <v>0</v>
      </c>
      <c r="U82" s="179">
        <v>0</v>
      </c>
      <c r="V82" s="80">
        <f t="shared" si="30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1"/>
        <v>0</v>
      </c>
      <c r="E83" s="179">
        <v>0</v>
      </c>
      <c r="F83" s="80">
        <f t="shared" si="22"/>
        <v>0</v>
      </c>
      <c r="G83" s="179">
        <v>0</v>
      </c>
      <c r="H83" s="80">
        <f t="shared" si="23"/>
        <v>0</v>
      </c>
      <c r="I83" s="179">
        <v>0</v>
      </c>
      <c r="J83" s="80">
        <f t="shared" si="24"/>
        <v>0</v>
      </c>
      <c r="K83" s="179">
        <v>0</v>
      </c>
      <c r="L83" s="80">
        <f t="shared" si="25"/>
        <v>0</v>
      </c>
      <c r="M83" s="179">
        <v>0</v>
      </c>
      <c r="N83" s="80">
        <f t="shared" si="26"/>
        <v>0</v>
      </c>
      <c r="O83" s="179">
        <v>0</v>
      </c>
      <c r="P83" s="80">
        <f t="shared" si="27"/>
        <v>0</v>
      </c>
      <c r="Q83" s="179">
        <v>0</v>
      </c>
      <c r="R83" s="80">
        <f t="shared" si="28"/>
        <v>0</v>
      </c>
      <c r="S83" s="179">
        <v>0</v>
      </c>
      <c r="T83" s="80">
        <f t="shared" si="29"/>
        <v>0</v>
      </c>
      <c r="U83" s="179">
        <v>0</v>
      </c>
      <c r="V83" s="80">
        <f t="shared" si="30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1"/>
        <v>0</v>
      </c>
      <c r="E84" s="179">
        <v>0</v>
      </c>
      <c r="F84" s="80">
        <f t="shared" si="22"/>
        <v>0</v>
      </c>
      <c r="G84" s="179">
        <v>0</v>
      </c>
      <c r="H84" s="80">
        <f t="shared" si="23"/>
        <v>0</v>
      </c>
      <c r="I84" s="179">
        <v>0</v>
      </c>
      <c r="J84" s="80">
        <f t="shared" si="24"/>
        <v>0</v>
      </c>
      <c r="K84" s="179">
        <v>0</v>
      </c>
      <c r="L84" s="80">
        <f t="shared" si="25"/>
        <v>0</v>
      </c>
      <c r="M84" s="179">
        <v>0</v>
      </c>
      <c r="N84" s="80">
        <f t="shared" si="26"/>
        <v>0</v>
      </c>
      <c r="O84" s="179">
        <v>0</v>
      </c>
      <c r="P84" s="80">
        <f t="shared" si="27"/>
        <v>0</v>
      </c>
      <c r="Q84" s="179">
        <v>0</v>
      </c>
      <c r="R84" s="80">
        <f t="shared" si="28"/>
        <v>0</v>
      </c>
      <c r="S84" s="179">
        <v>0</v>
      </c>
      <c r="T84" s="80">
        <f t="shared" si="29"/>
        <v>0</v>
      </c>
      <c r="U84" s="179">
        <v>0</v>
      </c>
      <c r="V84" s="80">
        <f t="shared" si="30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1"/>
        <v>0</v>
      </c>
      <c r="E85" s="179">
        <v>0</v>
      </c>
      <c r="F85" s="80">
        <f t="shared" si="22"/>
        <v>0</v>
      </c>
      <c r="G85" s="179">
        <v>0</v>
      </c>
      <c r="H85" s="80">
        <f t="shared" si="23"/>
        <v>0</v>
      </c>
      <c r="I85" s="179">
        <v>0</v>
      </c>
      <c r="J85" s="80">
        <f t="shared" si="24"/>
        <v>0</v>
      </c>
      <c r="K85" s="179">
        <v>0</v>
      </c>
      <c r="L85" s="80">
        <f t="shared" si="25"/>
        <v>0</v>
      </c>
      <c r="M85" s="179">
        <v>0</v>
      </c>
      <c r="N85" s="80">
        <f t="shared" si="26"/>
        <v>0</v>
      </c>
      <c r="O85" s="179">
        <v>0</v>
      </c>
      <c r="P85" s="80">
        <f t="shared" si="27"/>
        <v>0</v>
      </c>
      <c r="Q85" s="179">
        <v>0</v>
      </c>
      <c r="R85" s="80">
        <f t="shared" si="28"/>
        <v>0</v>
      </c>
      <c r="S85" s="179">
        <v>0</v>
      </c>
      <c r="T85" s="80">
        <f t="shared" si="29"/>
        <v>0</v>
      </c>
      <c r="U85" s="179">
        <v>0</v>
      </c>
      <c r="V85" s="80">
        <f t="shared" si="30"/>
        <v>0</v>
      </c>
      <c r="X85" s="200"/>
    </row>
    <row r="86" spans="1:24" ht="12.75" customHeight="1">
      <c r="A86" s="2" t="s">
        <v>417</v>
      </c>
      <c r="B86" s="35"/>
      <c r="C86" s="179">
        <v>999.99999999999989</v>
      </c>
      <c r="D86" s="80">
        <f t="shared" si="21"/>
        <v>3.9999999999999992E-3</v>
      </c>
      <c r="E86" s="179">
        <v>0</v>
      </c>
      <c r="F86" s="80">
        <f t="shared" si="22"/>
        <v>0</v>
      </c>
      <c r="G86" s="179">
        <v>0</v>
      </c>
      <c r="H86" s="80">
        <f t="shared" si="23"/>
        <v>0</v>
      </c>
      <c r="I86" s="179">
        <v>0</v>
      </c>
      <c r="J86" s="80">
        <f t="shared" si="24"/>
        <v>0</v>
      </c>
      <c r="K86" s="179">
        <v>0</v>
      </c>
      <c r="L86" s="80">
        <f t="shared" si="25"/>
        <v>0</v>
      </c>
      <c r="M86" s="179">
        <v>0</v>
      </c>
      <c r="N86" s="80">
        <f t="shared" si="26"/>
        <v>0</v>
      </c>
      <c r="O86" s="179">
        <v>0</v>
      </c>
      <c r="P86" s="80">
        <f t="shared" si="27"/>
        <v>0</v>
      </c>
      <c r="Q86" s="179">
        <v>0</v>
      </c>
      <c r="R86" s="80">
        <f t="shared" si="28"/>
        <v>0</v>
      </c>
      <c r="S86" s="179">
        <v>0</v>
      </c>
      <c r="T86" s="80">
        <f t="shared" si="29"/>
        <v>0</v>
      </c>
      <c r="U86" s="179">
        <v>0</v>
      </c>
      <c r="V86" s="80">
        <f t="shared" si="30"/>
        <v>0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1"/>
        <v>0</v>
      </c>
      <c r="E87" s="179">
        <v>0</v>
      </c>
      <c r="F87" s="80">
        <f t="shared" si="22"/>
        <v>0</v>
      </c>
      <c r="G87" s="179">
        <v>0</v>
      </c>
      <c r="H87" s="80">
        <f t="shared" si="23"/>
        <v>0</v>
      </c>
      <c r="I87" s="179">
        <v>0</v>
      </c>
      <c r="J87" s="80">
        <f t="shared" si="24"/>
        <v>0</v>
      </c>
      <c r="K87" s="179">
        <v>0</v>
      </c>
      <c r="L87" s="80">
        <f t="shared" si="25"/>
        <v>0</v>
      </c>
      <c r="M87" s="179">
        <v>0</v>
      </c>
      <c r="N87" s="80">
        <f t="shared" si="26"/>
        <v>0</v>
      </c>
      <c r="O87" s="179">
        <v>0</v>
      </c>
      <c r="P87" s="80">
        <f t="shared" si="27"/>
        <v>0</v>
      </c>
      <c r="Q87" s="179">
        <v>0</v>
      </c>
      <c r="R87" s="80">
        <f t="shared" si="28"/>
        <v>0</v>
      </c>
      <c r="S87" s="179">
        <v>0</v>
      </c>
      <c r="T87" s="80">
        <f t="shared" si="29"/>
        <v>0</v>
      </c>
      <c r="U87" s="179">
        <v>0</v>
      </c>
      <c r="V87" s="80">
        <f t="shared" si="30"/>
        <v>0</v>
      </c>
      <c r="X87" s="200"/>
    </row>
    <row r="88" spans="1:24" ht="12.75" customHeight="1">
      <c r="A88" s="2" t="s">
        <v>419</v>
      </c>
      <c r="B88" s="35"/>
      <c r="C88" s="179">
        <v>1275</v>
      </c>
      <c r="D88" s="80">
        <f t="shared" si="21"/>
        <v>5.1000000000000004E-3</v>
      </c>
      <c r="E88" s="179">
        <v>0</v>
      </c>
      <c r="F88" s="80">
        <f t="shared" si="22"/>
        <v>0</v>
      </c>
      <c r="G88" s="179">
        <v>0</v>
      </c>
      <c r="H88" s="80">
        <f t="shared" si="23"/>
        <v>0</v>
      </c>
      <c r="I88" s="179">
        <v>0</v>
      </c>
      <c r="J88" s="80">
        <f t="shared" si="24"/>
        <v>0</v>
      </c>
      <c r="K88" s="179">
        <v>0</v>
      </c>
      <c r="L88" s="80">
        <f t="shared" si="25"/>
        <v>0</v>
      </c>
      <c r="M88" s="179">
        <v>0</v>
      </c>
      <c r="N88" s="80">
        <f t="shared" si="26"/>
        <v>0</v>
      </c>
      <c r="O88" s="179">
        <v>0</v>
      </c>
      <c r="P88" s="80">
        <f t="shared" si="27"/>
        <v>0</v>
      </c>
      <c r="Q88" s="179">
        <v>0</v>
      </c>
      <c r="R88" s="80">
        <f t="shared" si="28"/>
        <v>0</v>
      </c>
      <c r="S88" s="179">
        <v>0</v>
      </c>
      <c r="T88" s="80">
        <f t="shared" si="29"/>
        <v>0</v>
      </c>
      <c r="U88" s="179">
        <v>0</v>
      </c>
      <c r="V88" s="80">
        <f t="shared" si="30"/>
        <v>0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1"/>
        <v>0</v>
      </c>
      <c r="E89" s="179">
        <v>0</v>
      </c>
      <c r="F89" s="80">
        <f t="shared" si="22"/>
        <v>0</v>
      </c>
      <c r="G89" s="179">
        <v>0</v>
      </c>
      <c r="H89" s="80">
        <f t="shared" si="23"/>
        <v>0</v>
      </c>
      <c r="I89" s="179">
        <v>0</v>
      </c>
      <c r="J89" s="80">
        <f t="shared" si="24"/>
        <v>0</v>
      </c>
      <c r="K89" s="179">
        <v>0</v>
      </c>
      <c r="L89" s="80">
        <f t="shared" si="25"/>
        <v>0</v>
      </c>
      <c r="M89" s="179">
        <v>0</v>
      </c>
      <c r="N89" s="80">
        <f t="shared" si="26"/>
        <v>0</v>
      </c>
      <c r="O89" s="179">
        <v>0</v>
      </c>
      <c r="P89" s="80">
        <f t="shared" si="27"/>
        <v>0</v>
      </c>
      <c r="Q89" s="179">
        <v>0</v>
      </c>
      <c r="R89" s="80">
        <f t="shared" si="28"/>
        <v>0</v>
      </c>
      <c r="S89" s="179">
        <v>0</v>
      </c>
      <c r="T89" s="80">
        <f t="shared" si="29"/>
        <v>0</v>
      </c>
      <c r="U89" s="179">
        <v>0</v>
      </c>
      <c r="V89" s="80">
        <f t="shared" si="30"/>
        <v>0</v>
      </c>
      <c r="X89" s="200"/>
    </row>
    <row r="90" spans="1:24" ht="12.75" customHeight="1">
      <c r="A90" s="2" t="s">
        <v>421</v>
      </c>
      <c r="B90" s="35"/>
      <c r="C90" s="179">
        <v>50.000000000000007</v>
      </c>
      <c r="D90" s="80">
        <f t="shared" si="21"/>
        <v>2.0000000000000004E-4</v>
      </c>
      <c r="E90" s="179">
        <v>0</v>
      </c>
      <c r="F90" s="80">
        <f t="shared" si="22"/>
        <v>0</v>
      </c>
      <c r="G90" s="179">
        <v>0</v>
      </c>
      <c r="H90" s="80">
        <f t="shared" si="23"/>
        <v>0</v>
      </c>
      <c r="I90" s="179">
        <v>0</v>
      </c>
      <c r="J90" s="80">
        <f t="shared" si="24"/>
        <v>0</v>
      </c>
      <c r="K90" s="179">
        <v>0</v>
      </c>
      <c r="L90" s="80">
        <f t="shared" si="25"/>
        <v>0</v>
      </c>
      <c r="M90" s="179">
        <v>0</v>
      </c>
      <c r="N90" s="80">
        <f t="shared" si="26"/>
        <v>0</v>
      </c>
      <c r="O90" s="179">
        <v>0</v>
      </c>
      <c r="P90" s="80">
        <f t="shared" si="27"/>
        <v>0</v>
      </c>
      <c r="Q90" s="179">
        <v>0</v>
      </c>
      <c r="R90" s="80">
        <f t="shared" si="28"/>
        <v>0</v>
      </c>
      <c r="S90" s="179">
        <v>0</v>
      </c>
      <c r="T90" s="80">
        <f t="shared" si="29"/>
        <v>0</v>
      </c>
      <c r="U90" s="179">
        <v>0</v>
      </c>
      <c r="V90" s="80">
        <f t="shared" si="30"/>
        <v>0</v>
      </c>
      <c r="X90" s="200"/>
    </row>
    <row r="91" spans="1:24" ht="12.75" customHeight="1">
      <c r="A91" s="2" t="s">
        <v>422</v>
      </c>
      <c r="C91" s="179">
        <v>0</v>
      </c>
      <c r="D91" s="80">
        <f t="shared" si="21"/>
        <v>0</v>
      </c>
      <c r="E91" s="179">
        <v>0</v>
      </c>
      <c r="F91" s="80">
        <f t="shared" si="22"/>
        <v>0</v>
      </c>
      <c r="G91" s="179">
        <v>0</v>
      </c>
      <c r="H91" s="80">
        <f t="shared" si="23"/>
        <v>0</v>
      </c>
      <c r="I91" s="179">
        <v>0</v>
      </c>
      <c r="J91" s="80">
        <f t="shared" si="24"/>
        <v>0</v>
      </c>
      <c r="K91" s="179">
        <v>0</v>
      </c>
      <c r="L91" s="80">
        <f t="shared" si="25"/>
        <v>0</v>
      </c>
      <c r="M91" s="179">
        <v>0</v>
      </c>
      <c r="N91" s="80">
        <f t="shared" si="26"/>
        <v>0</v>
      </c>
      <c r="O91" s="179">
        <v>0</v>
      </c>
      <c r="P91" s="80">
        <f t="shared" si="27"/>
        <v>0</v>
      </c>
      <c r="Q91" s="179">
        <v>0</v>
      </c>
      <c r="R91" s="80">
        <f t="shared" si="28"/>
        <v>0</v>
      </c>
      <c r="S91" s="179">
        <v>0</v>
      </c>
      <c r="T91" s="80">
        <f t="shared" si="29"/>
        <v>0</v>
      </c>
      <c r="U91" s="179">
        <v>0</v>
      </c>
      <c r="V91" s="80">
        <f t="shared" si="30"/>
        <v>0</v>
      </c>
      <c r="X91" s="200"/>
    </row>
    <row r="92" spans="1:24" ht="12.75" customHeight="1">
      <c r="A92" s="2" t="s">
        <v>423</v>
      </c>
      <c r="B92" s="35"/>
      <c r="C92" s="179">
        <v>1299.9999999999998</v>
      </c>
      <c r="D92" s="80">
        <f t="shared" si="21"/>
        <v>5.1999999999999989E-3</v>
      </c>
      <c r="E92" s="179">
        <v>0</v>
      </c>
      <c r="F92" s="80">
        <f t="shared" si="22"/>
        <v>0</v>
      </c>
      <c r="G92" s="179">
        <v>0</v>
      </c>
      <c r="H92" s="80">
        <f t="shared" si="23"/>
        <v>0</v>
      </c>
      <c r="I92" s="179">
        <v>0</v>
      </c>
      <c r="J92" s="80">
        <f t="shared" si="24"/>
        <v>0</v>
      </c>
      <c r="K92" s="179">
        <v>0</v>
      </c>
      <c r="L92" s="80">
        <f t="shared" si="25"/>
        <v>0</v>
      </c>
      <c r="M92" s="179">
        <v>0</v>
      </c>
      <c r="N92" s="80">
        <f t="shared" si="26"/>
        <v>0</v>
      </c>
      <c r="O92" s="179">
        <v>0</v>
      </c>
      <c r="P92" s="80">
        <f t="shared" si="27"/>
        <v>0</v>
      </c>
      <c r="Q92" s="179">
        <v>0</v>
      </c>
      <c r="R92" s="80">
        <f t="shared" si="28"/>
        <v>0</v>
      </c>
      <c r="S92" s="179">
        <v>0</v>
      </c>
      <c r="T92" s="80">
        <f t="shared" si="29"/>
        <v>0</v>
      </c>
      <c r="U92" s="179">
        <v>0</v>
      </c>
      <c r="V92" s="80">
        <f t="shared" si="30"/>
        <v>0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1"/>
        <v>0</v>
      </c>
      <c r="E93" s="179">
        <v>0</v>
      </c>
      <c r="F93" s="80">
        <f t="shared" si="22"/>
        <v>0</v>
      </c>
      <c r="G93" s="179">
        <v>0</v>
      </c>
      <c r="H93" s="80">
        <f t="shared" si="23"/>
        <v>0</v>
      </c>
      <c r="I93" s="179">
        <v>0</v>
      </c>
      <c r="J93" s="80">
        <f t="shared" si="24"/>
        <v>0</v>
      </c>
      <c r="K93" s="179">
        <v>0</v>
      </c>
      <c r="L93" s="80">
        <f t="shared" si="25"/>
        <v>0</v>
      </c>
      <c r="M93" s="179">
        <v>0</v>
      </c>
      <c r="N93" s="80">
        <f t="shared" si="26"/>
        <v>0</v>
      </c>
      <c r="O93" s="179">
        <v>0</v>
      </c>
      <c r="P93" s="80">
        <f t="shared" si="27"/>
        <v>0</v>
      </c>
      <c r="Q93" s="179">
        <v>0</v>
      </c>
      <c r="R93" s="80">
        <f t="shared" si="28"/>
        <v>0</v>
      </c>
      <c r="S93" s="179">
        <v>0</v>
      </c>
      <c r="T93" s="80">
        <f t="shared" si="29"/>
        <v>0</v>
      </c>
      <c r="U93" s="179">
        <v>0</v>
      </c>
      <c r="V93" s="80">
        <f t="shared" si="30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1"/>
        <v>0</v>
      </c>
      <c r="E94" s="179">
        <v>0</v>
      </c>
      <c r="F94" s="80">
        <f t="shared" si="22"/>
        <v>0</v>
      </c>
      <c r="G94" s="179">
        <v>0</v>
      </c>
      <c r="H94" s="80">
        <f t="shared" si="23"/>
        <v>0</v>
      </c>
      <c r="I94" s="179">
        <v>0</v>
      </c>
      <c r="J94" s="80">
        <f t="shared" si="24"/>
        <v>0</v>
      </c>
      <c r="K94" s="179">
        <v>0</v>
      </c>
      <c r="L94" s="80">
        <f t="shared" si="25"/>
        <v>0</v>
      </c>
      <c r="M94" s="179">
        <v>0</v>
      </c>
      <c r="N94" s="80">
        <f t="shared" si="26"/>
        <v>0</v>
      </c>
      <c r="O94" s="179">
        <v>0</v>
      </c>
      <c r="P94" s="80">
        <f t="shared" si="27"/>
        <v>0</v>
      </c>
      <c r="Q94" s="179">
        <v>0</v>
      </c>
      <c r="R94" s="80">
        <f t="shared" si="28"/>
        <v>0</v>
      </c>
      <c r="S94" s="179">
        <v>0</v>
      </c>
      <c r="T94" s="80">
        <f t="shared" si="29"/>
        <v>0</v>
      </c>
      <c r="U94" s="179">
        <v>0</v>
      </c>
      <c r="V94" s="80">
        <f t="shared" si="30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1"/>
        <v>0</v>
      </c>
      <c r="E95" s="179">
        <v>0</v>
      </c>
      <c r="F95" s="80">
        <f t="shared" si="22"/>
        <v>0</v>
      </c>
      <c r="G95" s="179">
        <v>0</v>
      </c>
      <c r="H95" s="80">
        <f t="shared" si="23"/>
        <v>0</v>
      </c>
      <c r="I95" s="179">
        <v>0</v>
      </c>
      <c r="J95" s="80">
        <f t="shared" si="24"/>
        <v>0</v>
      </c>
      <c r="K95" s="179">
        <v>0</v>
      </c>
      <c r="L95" s="80">
        <f t="shared" si="25"/>
        <v>0</v>
      </c>
      <c r="M95" s="179">
        <v>0</v>
      </c>
      <c r="N95" s="80">
        <f t="shared" si="26"/>
        <v>0</v>
      </c>
      <c r="O95" s="179">
        <v>0</v>
      </c>
      <c r="P95" s="80">
        <f t="shared" si="27"/>
        <v>0</v>
      </c>
      <c r="Q95" s="179">
        <v>0</v>
      </c>
      <c r="R95" s="80">
        <f t="shared" si="28"/>
        <v>0</v>
      </c>
      <c r="S95" s="179">
        <v>0</v>
      </c>
      <c r="T95" s="80">
        <f t="shared" si="29"/>
        <v>0</v>
      </c>
      <c r="U95" s="179">
        <v>0</v>
      </c>
      <c r="V95" s="80">
        <f t="shared" si="30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1"/>
        <v>0</v>
      </c>
      <c r="E96" s="179">
        <v>0</v>
      </c>
      <c r="F96" s="80">
        <f t="shared" si="22"/>
        <v>0</v>
      </c>
      <c r="G96" s="179">
        <v>0</v>
      </c>
      <c r="H96" s="80">
        <f t="shared" si="23"/>
        <v>0</v>
      </c>
      <c r="I96" s="179">
        <v>0</v>
      </c>
      <c r="J96" s="80">
        <f t="shared" si="24"/>
        <v>0</v>
      </c>
      <c r="K96" s="179">
        <v>0</v>
      </c>
      <c r="L96" s="80">
        <f t="shared" si="25"/>
        <v>0</v>
      </c>
      <c r="M96" s="179">
        <v>0</v>
      </c>
      <c r="N96" s="80">
        <f t="shared" si="26"/>
        <v>0</v>
      </c>
      <c r="O96" s="179">
        <v>0</v>
      </c>
      <c r="P96" s="80">
        <f t="shared" si="27"/>
        <v>0</v>
      </c>
      <c r="Q96" s="179">
        <v>0</v>
      </c>
      <c r="R96" s="80">
        <f t="shared" si="28"/>
        <v>0</v>
      </c>
      <c r="S96" s="179">
        <v>0</v>
      </c>
      <c r="T96" s="80">
        <f t="shared" si="29"/>
        <v>0</v>
      </c>
      <c r="U96" s="179">
        <v>0</v>
      </c>
      <c r="V96" s="80">
        <f t="shared" si="30"/>
        <v>0</v>
      </c>
      <c r="X96" s="200"/>
    </row>
    <row r="97" spans="1:24" ht="12.75" customHeight="1">
      <c r="A97" s="2" t="s">
        <v>428</v>
      </c>
      <c r="B97" s="35"/>
      <c r="C97" s="179">
        <v>7860.5919999999996</v>
      </c>
      <c r="D97" s="80">
        <f t="shared" si="21"/>
        <v>3.1442367999999998E-2</v>
      </c>
      <c r="E97" s="179">
        <v>0</v>
      </c>
      <c r="F97" s="80">
        <f t="shared" si="22"/>
        <v>0</v>
      </c>
      <c r="G97" s="179">
        <v>0</v>
      </c>
      <c r="H97" s="80">
        <f t="shared" si="23"/>
        <v>0</v>
      </c>
      <c r="I97" s="179">
        <v>0</v>
      </c>
      <c r="J97" s="80">
        <f t="shared" si="24"/>
        <v>0</v>
      </c>
      <c r="K97" s="179">
        <v>0</v>
      </c>
      <c r="L97" s="80">
        <f t="shared" si="25"/>
        <v>0</v>
      </c>
      <c r="M97" s="179">
        <v>0</v>
      </c>
      <c r="N97" s="80">
        <f t="shared" si="26"/>
        <v>0</v>
      </c>
      <c r="O97" s="179">
        <v>0</v>
      </c>
      <c r="P97" s="80">
        <f t="shared" si="27"/>
        <v>0</v>
      </c>
      <c r="Q97" s="179">
        <v>0</v>
      </c>
      <c r="R97" s="80">
        <f t="shared" si="28"/>
        <v>0</v>
      </c>
      <c r="S97" s="179">
        <v>0</v>
      </c>
      <c r="T97" s="80">
        <f t="shared" si="29"/>
        <v>0</v>
      </c>
      <c r="U97" s="179">
        <v>0</v>
      </c>
      <c r="V97" s="80">
        <f t="shared" si="30"/>
        <v>0</v>
      </c>
      <c r="X97" s="200"/>
    </row>
    <row r="98" spans="1:24" ht="12.75" customHeight="1">
      <c r="A98" s="117" t="s">
        <v>431</v>
      </c>
      <c r="B98" s="35"/>
      <c r="C98" s="179">
        <v>299.99999999999994</v>
      </c>
      <c r="D98" s="80">
        <f t="shared" si="21"/>
        <v>1.1999999999999997E-3</v>
      </c>
      <c r="E98" s="179">
        <v>0</v>
      </c>
      <c r="F98" s="80">
        <f t="shared" si="22"/>
        <v>0</v>
      </c>
      <c r="G98" s="179">
        <v>0</v>
      </c>
      <c r="H98" s="80">
        <f t="shared" si="23"/>
        <v>0</v>
      </c>
      <c r="I98" s="179">
        <v>0</v>
      </c>
      <c r="J98" s="80">
        <f t="shared" si="24"/>
        <v>0</v>
      </c>
      <c r="K98" s="179">
        <v>0</v>
      </c>
      <c r="L98" s="80">
        <f t="shared" si="25"/>
        <v>0</v>
      </c>
      <c r="M98" s="179">
        <v>0</v>
      </c>
      <c r="N98" s="80">
        <f t="shared" si="26"/>
        <v>0</v>
      </c>
      <c r="O98" s="179">
        <v>0</v>
      </c>
      <c r="P98" s="80">
        <f t="shared" si="27"/>
        <v>0</v>
      </c>
      <c r="Q98" s="179">
        <v>0</v>
      </c>
      <c r="R98" s="80">
        <f t="shared" si="28"/>
        <v>0</v>
      </c>
      <c r="S98" s="179">
        <v>0</v>
      </c>
      <c r="T98" s="80">
        <f t="shared" si="29"/>
        <v>0</v>
      </c>
      <c r="U98" s="179">
        <v>0</v>
      </c>
      <c r="V98" s="80">
        <f t="shared" si="30"/>
        <v>0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1"/>
        <v>0</v>
      </c>
      <c r="E99" s="179">
        <v>0</v>
      </c>
      <c r="F99" s="80">
        <f t="shared" si="22"/>
        <v>0</v>
      </c>
      <c r="G99" s="179">
        <v>0</v>
      </c>
      <c r="H99" s="80">
        <f t="shared" si="23"/>
        <v>0</v>
      </c>
      <c r="I99" s="179">
        <v>0</v>
      </c>
      <c r="J99" s="80">
        <f t="shared" si="24"/>
        <v>0</v>
      </c>
      <c r="K99" s="179">
        <v>0</v>
      </c>
      <c r="L99" s="80">
        <f t="shared" si="25"/>
        <v>0</v>
      </c>
      <c r="M99" s="179">
        <v>0</v>
      </c>
      <c r="N99" s="80">
        <f t="shared" si="26"/>
        <v>0</v>
      </c>
      <c r="O99" s="179">
        <v>0</v>
      </c>
      <c r="P99" s="80">
        <f t="shared" si="27"/>
        <v>0</v>
      </c>
      <c r="Q99" s="179">
        <v>0</v>
      </c>
      <c r="R99" s="80">
        <f t="shared" si="28"/>
        <v>0</v>
      </c>
      <c r="S99" s="179">
        <v>0</v>
      </c>
      <c r="T99" s="80">
        <f t="shared" si="29"/>
        <v>0</v>
      </c>
      <c r="U99" s="179">
        <v>0</v>
      </c>
      <c r="V99" s="80">
        <f t="shared" si="30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1"/>
        <v>0</v>
      </c>
      <c r="E100" s="179">
        <v>0</v>
      </c>
      <c r="F100" s="80">
        <f t="shared" si="22"/>
        <v>0</v>
      </c>
      <c r="G100" s="179">
        <v>0</v>
      </c>
      <c r="H100" s="80">
        <f t="shared" si="23"/>
        <v>0</v>
      </c>
      <c r="I100" s="179">
        <v>0</v>
      </c>
      <c r="J100" s="80">
        <f t="shared" si="24"/>
        <v>0</v>
      </c>
      <c r="K100" s="179">
        <v>0</v>
      </c>
      <c r="L100" s="80">
        <f t="shared" si="25"/>
        <v>0</v>
      </c>
      <c r="M100" s="179">
        <v>0</v>
      </c>
      <c r="N100" s="80">
        <f t="shared" si="26"/>
        <v>0</v>
      </c>
      <c r="O100" s="179">
        <v>0</v>
      </c>
      <c r="P100" s="80">
        <f t="shared" si="27"/>
        <v>0</v>
      </c>
      <c r="Q100" s="179">
        <v>0</v>
      </c>
      <c r="R100" s="80">
        <f t="shared" si="28"/>
        <v>0</v>
      </c>
      <c r="S100" s="179">
        <v>0</v>
      </c>
      <c r="T100" s="80">
        <f t="shared" si="29"/>
        <v>0</v>
      </c>
      <c r="U100" s="179">
        <v>0</v>
      </c>
      <c r="V100" s="80">
        <f t="shared" si="30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1"/>
        <v>0</v>
      </c>
      <c r="E101" s="179"/>
      <c r="F101" s="80">
        <f t="shared" si="22"/>
        <v>0</v>
      </c>
      <c r="G101" s="179"/>
      <c r="H101" s="80">
        <f t="shared" si="23"/>
        <v>0</v>
      </c>
      <c r="I101" s="179">
        <v>0</v>
      </c>
      <c r="J101" s="80">
        <f t="shared" si="24"/>
        <v>0</v>
      </c>
      <c r="K101" s="179">
        <v>0</v>
      </c>
      <c r="L101" s="80">
        <f t="shared" si="25"/>
        <v>0</v>
      </c>
      <c r="M101" s="179">
        <v>0</v>
      </c>
      <c r="N101" s="80">
        <f t="shared" si="26"/>
        <v>0</v>
      </c>
      <c r="O101" s="179">
        <v>0</v>
      </c>
      <c r="P101" s="80">
        <f t="shared" si="27"/>
        <v>0</v>
      </c>
      <c r="Q101" s="179">
        <v>0</v>
      </c>
      <c r="R101" s="80">
        <f t="shared" si="28"/>
        <v>0</v>
      </c>
      <c r="S101" s="179">
        <v>0</v>
      </c>
      <c r="T101" s="80">
        <f t="shared" si="29"/>
        <v>0</v>
      </c>
      <c r="U101" s="179">
        <v>0</v>
      </c>
      <c r="V101" s="80">
        <f t="shared" si="30"/>
        <v>0</v>
      </c>
      <c r="X101" s="200"/>
    </row>
    <row r="102" spans="1:24" ht="12.75" customHeight="1">
      <c r="A102" s="117" t="s">
        <v>433</v>
      </c>
      <c r="B102" s="35"/>
      <c r="C102" s="179">
        <v>2500</v>
      </c>
      <c r="D102" s="80">
        <f t="shared" si="21"/>
        <v>0.01</v>
      </c>
      <c r="E102" s="179">
        <v>0</v>
      </c>
      <c r="F102" s="80">
        <f t="shared" si="22"/>
        <v>0</v>
      </c>
      <c r="G102" s="179">
        <v>0</v>
      </c>
      <c r="H102" s="80">
        <f t="shared" si="23"/>
        <v>0</v>
      </c>
      <c r="I102" s="179">
        <v>0</v>
      </c>
      <c r="J102" s="80">
        <f t="shared" si="24"/>
        <v>0</v>
      </c>
      <c r="K102" s="179">
        <v>0</v>
      </c>
      <c r="L102" s="80">
        <f t="shared" si="25"/>
        <v>0</v>
      </c>
      <c r="M102" s="179">
        <v>0</v>
      </c>
      <c r="N102" s="80">
        <f t="shared" si="26"/>
        <v>0</v>
      </c>
      <c r="O102" s="179">
        <v>0</v>
      </c>
      <c r="P102" s="80">
        <f t="shared" si="27"/>
        <v>0</v>
      </c>
      <c r="Q102" s="179">
        <v>0</v>
      </c>
      <c r="R102" s="80">
        <f t="shared" si="28"/>
        <v>0</v>
      </c>
      <c r="S102" s="179">
        <v>0</v>
      </c>
      <c r="T102" s="80">
        <f t="shared" si="29"/>
        <v>0</v>
      </c>
      <c r="U102" s="179">
        <v>0</v>
      </c>
      <c r="V102" s="80">
        <f t="shared" si="30"/>
        <v>0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1"/>
        <v>0</v>
      </c>
      <c r="E103" s="179">
        <v>0</v>
      </c>
      <c r="F103" s="80">
        <f t="shared" si="22"/>
        <v>0</v>
      </c>
      <c r="G103" s="179">
        <v>0</v>
      </c>
      <c r="H103" s="80">
        <f t="shared" si="23"/>
        <v>0</v>
      </c>
      <c r="I103" s="179">
        <v>0</v>
      </c>
      <c r="J103" s="80">
        <f t="shared" si="24"/>
        <v>0</v>
      </c>
      <c r="K103" s="179">
        <v>0</v>
      </c>
      <c r="L103" s="80">
        <f t="shared" si="25"/>
        <v>0</v>
      </c>
      <c r="M103" s="179">
        <v>0</v>
      </c>
      <c r="N103" s="80">
        <f t="shared" si="26"/>
        <v>0</v>
      </c>
      <c r="O103" s="179">
        <v>0</v>
      </c>
      <c r="P103" s="80">
        <f t="shared" si="27"/>
        <v>0</v>
      </c>
      <c r="Q103" s="179">
        <v>0</v>
      </c>
      <c r="R103" s="80">
        <f t="shared" si="28"/>
        <v>0</v>
      </c>
      <c r="S103" s="179">
        <v>0</v>
      </c>
      <c r="T103" s="80">
        <f t="shared" si="29"/>
        <v>0</v>
      </c>
      <c r="U103" s="179">
        <v>0</v>
      </c>
      <c r="V103" s="80">
        <f t="shared" si="30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1"/>
        <v>0</v>
      </c>
      <c r="E104" s="179">
        <v>0</v>
      </c>
      <c r="F104" s="80">
        <f t="shared" si="22"/>
        <v>0</v>
      </c>
      <c r="G104" s="179">
        <v>0</v>
      </c>
      <c r="H104" s="80">
        <f t="shared" si="23"/>
        <v>0</v>
      </c>
      <c r="I104" s="179">
        <v>0</v>
      </c>
      <c r="J104" s="80">
        <f t="shared" si="24"/>
        <v>0</v>
      </c>
      <c r="K104" s="179">
        <v>0</v>
      </c>
      <c r="L104" s="80">
        <f t="shared" si="25"/>
        <v>0</v>
      </c>
      <c r="M104" s="179">
        <v>0</v>
      </c>
      <c r="N104" s="80">
        <f t="shared" si="26"/>
        <v>0</v>
      </c>
      <c r="O104" s="179">
        <v>0</v>
      </c>
      <c r="P104" s="80">
        <f t="shared" si="27"/>
        <v>0</v>
      </c>
      <c r="Q104" s="179">
        <v>0</v>
      </c>
      <c r="R104" s="80">
        <f t="shared" si="28"/>
        <v>0</v>
      </c>
      <c r="S104" s="179">
        <v>0</v>
      </c>
      <c r="T104" s="80">
        <f t="shared" si="29"/>
        <v>0</v>
      </c>
      <c r="U104" s="179">
        <v>0</v>
      </c>
      <c r="V104" s="80">
        <f t="shared" si="30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48918.700887292784</v>
      </c>
      <c r="D105" s="83">
        <f t="shared" ref="D105" si="31">IFERROR(C105/C$28,0)</f>
        <v>0.19567480354917113</v>
      </c>
      <c r="E105" s="82">
        <f>SUM(E52:E104)</f>
        <v>0</v>
      </c>
      <c r="F105" s="83">
        <f t="shared" ref="F105" si="32">IFERROR(E105/E$28,0)</f>
        <v>0</v>
      </c>
      <c r="G105" s="82">
        <f>SUM(G52:G104)</f>
        <v>0</v>
      </c>
      <c r="H105" s="83">
        <f t="shared" ref="H105" si="33">IFERROR(G105/G$28,0)</f>
        <v>0</v>
      </c>
      <c r="I105" s="82">
        <f>SUM(I52:I104)</f>
        <v>0</v>
      </c>
      <c r="J105" s="83">
        <f t="shared" ref="J105" si="34">IFERROR(I105/I$28,0)</f>
        <v>0</v>
      </c>
      <c r="K105" s="82">
        <f>SUM(K52:K104)</f>
        <v>0</v>
      </c>
      <c r="L105" s="83">
        <f t="shared" ref="L105" si="35">IFERROR(K105/K$28,0)</f>
        <v>0</v>
      </c>
      <c r="M105" s="82">
        <f>SUM(M52:M104)</f>
        <v>0</v>
      </c>
      <c r="N105" s="83">
        <f t="shared" ref="N105" si="36">IFERROR(M105/M$28,0)</f>
        <v>0</v>
      </c>
      <c r="O105" s="82">
        <f>SUM(O52:O104)</f>
        <v>0</v>
      </c>
      <c r="P105" s="83">
        <f t="shared" ref="P105" si="37">IFERROR(O105/O$28,0)</f>
        <v>0</v>
      </c>
      <c r="Q105" s="82">
        <f>SUM(Q52:Q104)</f>
        <v>0</v>
      </c>
      <c r="R105" s="83">
        <f t="shared" ref="R105" si="38">IFERROR(Q105/Q$28,0)</f>
        <v>0</v>
      </c>
      <c r="S105" s="82">
        <f>SUM(S52:S104)</f>
        <v>0</v>
      </c>
      <c r="T105" s="83">
        <f t="shared" ref="T105" si="39">IFERROR(S105/S$28,0)</f>
        <v>0</v>
      </c>
      <c r="U105" s="82">
        <f>SUM(U52:U104)</f>
        <v>0</v>
      </c>
      <c r="V105" s="83">
        <f t="shared" si="30"/>
        <v>0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-15040.620887292767</v>
      </c>
      <c r="D107" s="83">
        <f>IFERROR(C107/C$28,0)</f>
        <v>-6.0162483549171072E-2</v>
      </c>
      <c r="E107" s="82">
        <f>E28-E33-E46-E105</f>
        <v>0</v>
      </c>
      <c r="F107" s="83">
        <f>IFERROR(E107/E$28,0)</f>
        <v>0</v>
      </c>
      <c r="G107" s="82">
        <f>G28-G33-G46-G105</f>
        <v>0</v>
      </c>
      <c r="H107" s="83">
        <f>IFERROR(G107/G$28,0)</f>
        <v>0</v>
      </c>
      <c r="I107" s="82">
        <f>I28-I33-I46-I105</f>
        <v>0</v>
      </c>
      <c r="J107" s="83">
        <f>IFERROR(I107/I$28,0)</f>
        <v>0</v>
      </c>
      <c r="K107" s="82">
        <f>K28-K33-K46-K105</f>
        <v>0</v>
      </c>
      <c r="L107" s="83">
        <f>IFERROR(K107/K$28,0)</f>
        <v>0</v>
      </c>
      <c r="M107" s="82">
        <f>M28-M33-M46-M105</f>
        <v>0</v>
      </c>
      <c r="N107" s="83">
        <f>IFERROR(M107/M$28,0)</f>
        <v>0</v>
      </c>
      <c r="O107" s="82">
        <f>O28-O33-O46-O105</f>
        <v>0</v>
      </c>
      <c r="P107" s="83">
        <f>IFERROR(O107/O$28,0)</f>
        <v>0</v>
      </c>
      <c r="Q107" s="82">
        <f>Q28-Q33-Q46-Q105</f>
        <v>0</v>
      </c>
      <c r="R107" s="83">
        <f>IFERROR(Q107/Q$28,0)</f>
        <v>0</v>
      </c>
      <c r="S107" s="82">
        <f>S28-S33-S46-S105</f>
        <v>0</v>
      </c>
      <c r="T107" s="83">
        <f>IFERROR(S107/S$28,0)</f>
        <v>0</v>
      </c>
      <c r="U107" s="82">
        <f>U28-U33-U46-U105</f>
        <v>0</v>
      </c>
      <c r="V107" s="83">
        <f>IFERROR(U107/U$28,0)</f>
        <v>0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493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7" tint="0.39997558519241921"/>
  </sheetPr>
  <dimension ref="A1:X120"/>
  <sheetViews>
    <sheetView topLeftCell="A30" zoomScale="70" zoomScaleNormal="70" workbookViewId="0" xr3:uid="{87752282-9950-53E0-ACC6-858909551C9B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39.1406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75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Grille Works (Wolfe Center)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228</v>
      </c>
      <c r="E8" s="109">
        <f>+C8</f>
        <v>228</v>
      </c>
      <c r="G8" s="109">
        <f>+E8</f>
        <v>228</v>
      </c>
      <c r="I8" s="109">
        <f>+G8</f>
        <v>228</v>
      </c>
      <c r="K8" s="109">
        <f>+I8</f>
        <v>228</v>
      </c>
      <c r="M8" s="109">
        <f>+K8</f>
        <v>228</v>
      </c>
      <c r="O8" s="109">
        <f>+M8</f>
        <v>228</v>
      </c>
      <c r="Q8" s="109">
        <f>+O8</f>
        <v>228</v>
      </c>
      <c r="S8" s="109">
        <f>+Q8</f>
        <v>228</v>
      </c>
      <c r="U8" s="109">
        <f>+S8</f>
        <v>228</v>
      </c>
    </row>
    <row r="10" spans="1:22" ht="12.75" customHeight="1">
      <c r="A10" s="2" t="s">
        <v>449</v>
      </c>
      <c r="C10" s="209">
        <f>+C14/C8/C12</f>
        <v>64.594475880422706</v>
      </c>
      <c r="E10" s="109"/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450</v>
      </c>
      <c r="C12" s="110">
        <v>6.79</v>
      </c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451</v>
      </c>
      <c r="C14" s="206">
        <v>100000</v>
      </c>
      <c r="E14" s="121">
        <v>184000</v>
      </c>
      <c r="G14" s="121">
        <f>+E14*1.02</f>
        <v>187680</v>
      </c>
      <c r="I14" s="121">
        <f>+G14*1.02</f>
        <v>191433.60000000001</v>
      </c>
      <c r="K14" s="121">
        <f>+I14*1.02</f>
        <v>195262.272</v>
      </c>
      <c r="M14" s="121">
        <f>+K14*1.02</f>
        <v>199167.51744</v>
      </c>
      <c r="O14" s="121">
        <f>+M14*1.02</f>
        <v>203150.86778880001</v>
      </c>
      <c r="Q14" s="121">
        <f>+O14*1.02</f>
        <v>207213.88514457602</v>
      </c>
      <c r="S14" s="121">
        <f>+Q14*1.02</f>
        <v>211358.16284746755</v>
      </c>
      <c r="U14" s="121">
        <f>+S14*1.02</f>
        <v>215585.32610441692</v>
      </c>
    </row>
    <row r="15" spans="1:22" ht="12.75" customHeight="1">
      <c r="A15" s="39">
        <v>7.0000000000000007E-2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</f>
        <v>87620</v>
      </c>
      <c r="D19" s="80">
        <f>IFERROR(C19/C$28,0)</f>
        <v>0.87619999999999998</v>
      </c>
      <c r="E19" s="208">
        <f>+E14-E20</f>
        <v>85983.199999999983</v>
      </c>
      <c r="F19" s="80">
        <f>IFERROR(E19/E$28,0)</f>
        <v>0.46729999999999988</v>
      </c>
      <c r="G19" s="208">
        <f>+G14-G20</f>
        <v>87702.863999999987</v>
      </c>
      <c r="H19" s="80">
        <f>IFERROR(G19/G$28,0)</f>
        <v>0.46729999999999994</v>
      </c>
      <c r="I19" s="208">
        <f>+I14-I20</f>
        <v>89456.921279999995</v>
      </c>
      <c r="J19" s="80">
        <f>IFERROR(I19/I$28,0)</f>
        <v>0.46729999999999994</v>
      </c>
      <c r="K19" s="208">
        <f>+K14-K20</f>
        <v>91246.059705599982</v>
      </c>
      <c r="L19" s="80">
        <f>IFERROR(K19/K$28,0)</f>
        <v>0.46729999999999994</v>
      </c>
      <c r="M19" s="208">
        <f>+M14-M20</f>
        <v>93070.980899711984</v>
      </c>
      <c r="N19" s="80">
        <f>IFERROR(M19/M$28,0)</f>
        <v>0.46729999999999994</v>
      </c>
      <c r="O19" s="208">
        <f>+O14-O20</f>
        <v>94932.400517706235</v>
      </c>
      <c r="P19" s="80">
        <f>IFERROR(O19/O$28,0)</f>
        <v>0.46729999999999994</v>
      </c>
      <c r="Q19" s="208">
        <f>+Q14-Q20</f>
        <v>96831.048528060375</v>
      </c>
      <c r="R19" s="80">
        <f>IFERROR(Q19/Q$28,0)</f>
        <v>0.46729999999999999</v>
      </c>
      <c r="S19" s="208">
        <f>+S14-S20</f>
        <v>98767.669498621588</v>
      </c>
      <c r="T19" s="80">
        <f>IFERROR(S19/S$28,0)</f>
        <v>0.46729999999999999</v>
      </c>
      <c r="U19" s="208">
        <f>+U14-U20</f>
        <v>100743.02288859403</v>
      </c>
      <c r="V19" s="80">
        <f>IFERROR(U19/U$28,0)</f>
        <v>0.46729999999999999</v>
      </c>
    </row>
    <row r="20" spans="1:24" ht="12.75" customHeight="1">
      <c r="A20" s="2" t="s">
        <v>357</v>
      </c>
      <c r="B20" s="35"/>
      <c r="C20" s="111">
        <f>+C14*12.38%</f>
        <v>12380</v>
      </c>
      <c r="D20" s="80">
        <f>IFERROR(C20/C$28,0)</f>
        <v>0.12379999999999999</v>
      </c>
      <c r="E20" s="111">
        <f>+E14*53.27%</f>
        <v>98016.800000000017</v>
      </c>
      <c r="F20" s="80">
        <f>IFERROR(E20/E$28,0)</f>
        <v>0.53270000000000006</v>
      </c>
      <c r="G20" s="111">
        <f t="shared" ref="G20:U21" si="0">E20*1.02</f>
        <v>99977.136000000013</v>
      </c>
      <c r="H20" s="80">
        <f>IFERROR(G20/G$28,0)</f>
        <v>0.53270000000000006</v>
      </c>
      <c r="I20" s="111">
        <f t="shared" si="0"/>
        <v>101976.67872000001</v>
      </c>
      <c r="J20" s="80">
        <f>IFERROR(I20/I$28,0)</f>
        <v>0.53270000000000006</v>
      </c>
      <c r="K20" s="111">
        <f t="shared" si="0"/>
        <v>104016.21229440001</v>
      </c>
      <c r="L20" s="80">
        <f>IFERROR(K20/K$28,0)</f>
        <v>0.53270000000000006</v>
      </c>
      <c r="M20" s="111">
        <f t="shared" si="0"/>
        <v>106096.53654028801</v>
      </c>
      <c r="N20" s="80">
        <f>IFERROR(M20/M$28,0)</f>
        <v>0.53270000000000006</v>
      </c>
      <c r="O20" s="111">
        <f t="shared" si="0"/>
        <v>108218.46727109377</v>
      </c>
      <c r="P20" s="80">
        <f>IFERROR(O20/O$28,0)</f>
        <v>0.53270000000000006</v>
      </c>
      <c r="Q20" s="111">
        <f t="shared" si="0"/>
        <v>110382.83661651565</v>
      </c>
      <c r="R20" s="80">
        <f>IFERROR(Q20/Q$28,0)</f>
        <v>0.53269999999999995</v>
      </c>
      <c r="S20" s="111">
        <f t="shared" si="0"/>
        <v>112590.49334884596</v>
      </c>
      <c r="T20" s="80">
        <f>IFERROR(S20/S$28,0)</f>
        <v>0.53269999999999995</v>
      </c>
      <c r="U20" s="111">
        <f t="shared" si="0"/>
        <v>114842.30321582289</v>
      </c>
      <c r="V20" s="80">
        <f>IFERROR(U20/U$28,0)</f>
        <v>0.53269999999999995</v>
      </c>
    </row>
    <row r="21" spans="1:24" ht="12.75" customHeight="1">
      <c r="A21" s="2" t="s">
        <v>358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364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365</v>
      </c>
      <c r="B28" s="53"/>
      <c r="C28" s="82">
        <f>SUM(C19:C27)</f>
        <v>100000</v>
      </c>
      <c r="D28" s="83">
        <f t="shared" si="1"/>
        <v>1</v>
      </c>
      <c r="E28" s="82">
        <f>SUM(E19:E27)</f>
        <v>184000</v>
      </c>
      <c r="F28" s="83">
        <f t="shared" si="2"/>
        <v>1</v>
      </c>
      <c r="G28" s="82">
        <f>SUM(G19:G27)</f>
        <v>187680</v>
      </c>
      <c r="H28" s="83">
        <f t="shared" si="3"/>
        <v>1</v>
      </c>
      <c r="I28" s="82">
        <f>SUM(I19:I27)</f>
        <v>191433.60000000001</v>
      </c>
      <c r="J28" s="83">
        <f t="shared" si="4"/>
        <v>1</v>
      </c>
      <c r="K28" s="82">
        <f>SUM(K19:K27)</f>
        <v>195262.272</v>
      </c>
      <c r="L28" s="83">
        <f t="shared" si="5"/>
        <v>1</v>
      </c>
      <c r="M28" s="82">
        <f>SUM(M19:M27)</f>
        <v>199167.51744</v>
      </c>
      <c r="N28" s="83">
        <f t="shared" si="6"/>
        <v>1</v>
      </c>
      <c r="O28" s="82">
        <f>SUM(O19:O27)</f>
        <v>203150.86778880001</v>
      </c>
      <c r="P28" s="83">
        <f t="shared" si="7"/>
        <v>1</v>
      </c>
      <c r="Q28" s="82">
        <f>SUM(Q19:Q27)</f>
        <v>207213.88514457602</v>
      </c>
      <c r="R28" s="83">
        <f t="shared" si="8"/>
        <v>1</v>
      </c>
      <c r="S28" s="82">
        <f>SUM(S19:S27)</f>
        <v>211358.16284746755</v>
      </c>
      <c r="T28" s="83">
        <f t="shared" si="9"/>
        <v>1</v>
      </c>
      <c r="U28" s="82">
        <f>SUM(U19:U27)</f>
        <v>215585.32610441692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0.34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34000</v>
      </c>
      <c r="D31" s="80">
        <f>IFERROR(C31/C$28,0)</f>
        <v>0.34</v>
      </c>
      <c r="E31" s="179">
        <f>$C$30*E14</f>
        <v>62560.000000000007</v>
      </c>
      <c r="F31" s="80">
        <f>IFERROR(E31/E$28,0)</f>
        <v>0.34</v>
      </c>
      <c r="G31" s="179">
        <f>$C$30*G14</f>
        <v>63811.200000000004</v>
      </c>
      <c r="H31" s="80">
        <f>IFERROR(G31/G$28,0)</f>
        <v>0.34</v>
      </c>
      <c r="I31" s="179">
        <f>$C$30*I14</f>
        <v>65087.424000000006</v>
      </c>
      <c r="J31" s="80">
        <f>IFERROR(I31/I$28,0)</f>
        <v>0.34</v>
      </c>
      <c r="K31" s="179">
        <f>$C$30*K14</f>
        <v>66389.172480000008</v>
      </c>
      <c r="L31" s="80">
        <f>IFERROR(K31/K$28,0)</f>
        <v>0.34</v>
      </c>
      <c r="M31" s="179">
        <f>$C$30*M14</f>
        <v>67716.955929600008</v>
      </c>
      <c r="N31" s="80">
        <f>IFERROR(M31/M$28,0)</f>
        <v>0.34</v>
      </c>
      <c r="O31" s="179">
        <f>$C$30*O14</f>
        <v>69071.295048192012</v>
      </c>
      <c r="P31" s="80">
        <f>IFERROR(O31/O$28,0)</f>
        <v>0.34</v>
      </c>
      <c r="Q31" s="179">
        <f>$C$30*Q14</f>
        <v>70452.720949155846</v>
      </c>
      <c r="R31" s="80">
        <f>IFERROR(Q31/Q$28,0)</f>
        <v>0.33999999999999997</v>
      </c>
      <c r="S31" s="179">
        <f>$C$30*S14</f>
        <v>71861.775368138973</v>
      </c>
      <c r="T31" s="80">
        <f>IFERROR(S31/S$28,0)</f>
        <v>0.34</v>
      </c>
      <c r="U31" s="179">
        <f>$C$30*U14</f>
        <v>73299.010875501757</v>
      </c>
      <c r="V31" s="80">
        <f>IFERROR(U31/U$28,0)</f>
        <v>0.34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34000</v>
      </c>
      <c r="D33" s="83">
        <f>IFERROR(C33/C$28,0)</f>
        <v>0.34</v>
      </c>
      <c r="E33" s="82">
        <f>SUM(E31:E32)</f>
        <v>62560.000000000007</v>
      </c>
      <c r="F33" s="83">
        <f>IFERROR(E33/E$28,0)</f>
        <v>0.34</v>
      </c>
      <c r="G33" s="82">
        <f>SUM(G31:G32)</f>
        <v>63811.200000000004</v>
      </c>
      <c r="H33" s="83">
        <f>IFERROR(G33/G$28,0)</f>
        <v>0.34</v>
      </c>
      <c r="I33" s="82">
        <f>SUM(I31:I32)</f>
        <v>65087.424000000006</v>
      </c>
      <c r="J33" s="83">
        <f>IFERROR(I33/I$28,0)</f>
        <v>0.34</v>
      </c>
      <c r="K33" s="82">
        <f>SUM(K31:K32)</f>
        <v>66389.172480000008</v>
      </c>
      <c r="L33" s="83">
        <f>IFERROR(K33/K$28,0)</f>
        <v>0.34</v>
      </c>
      <c r="M33" s="82">
        <f>SUM(M31:M32)</f>
        <v>67716.955929600008</v>
      </c>
      <c r="N33" s="83">
        <f>IFERROR(M33/M$28,0)</f>
        <v>0.34</v>
      </c>
      <c r="O33" s="82">
        <f>SUM(O31:O32)</f>
        <v>69071.295048192012</v>
      </c>
      <c r="P33" s="83">
        <f>IFERROR(O33/O$28,0)</f>
        <v>0.34</v>
      </c>
      <c r="Q33" s="82">
        <f>SUM(Q31:Q32)</f>
        <v>70452.720949155846</v>
      </c>
      <c r="R33" s="83">
        <f>IFERROR(Q33/Q$28,0)</f>
        <v>0.33999999999999997</v>
      </c>
      <c r="S33" s="82">
        <f>SUM(S31:S32)</f>
        <v>71861.775368138973</v>
      </c>
      <c r="T33" s="83">
        <f>IFERROR(S33/S$28,0)</f>
        <v>0.34</v>
      </c>
      <c r="U33" s="82">
        <f>SUM(U31:U32)</f>
        <v>73299.010875501757</v>
      </c>
      <c r="V33" s="83">
        <f>IFERROR(U33/U$28,0)</f>
        <v>0.34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>
        <v>0</v>
      </c>
      <c r="D36" s="80">
        <f t="shared" ref="D36:D46" si="11">IFERROR(C36/C$28,0)</f>
        <v>0</v>
      </c>
      <c r="E36" s="179"/>
      <c r="F36" s="80">
        <f t="shared" ref="F36:F46" si="12">IFERROR(E36/E$28,0)</f>
        <v>0</v>
      </c>
      <c r="G36" s="179"/>
      <c r="H36" s="80">
        <f t="shared" ref="H36:H46" si="13">IFERROR(G36/G$28,0)</f>
        <v>0</v>
      </c>
      <c r="I36" s="179"/>
      <c r="J36" s="80">
        <f t="shared" ref="J36:J46" si="14">IFERROR(I36/I$28,0)</f>
        <v>0</v>
      </c>
      <c r="K36" s="179"/>
      <c r="L36" s="80">
        <f t="shared" ref="L36:L46" si="15">IFERROR(K36/K$28,0)</f>
        <v>0</v>
      </c>
      <c r="M36" s="179"/>
      <c r="N36" s="80">
        <f t="shared" ref="N36:N46" si="16">IFERROR(M36/M$28,0)</f>
        <v>0</v>
      </c>
      <c r="O36" s="179"/>
      <c r="P36" s="80">
        <f t="shared" ref="P36:P46" si="17">IFERROR(O36/O$28,0)</f>
        <v>0</v>
      </c>
      <c r="Q36" s="179"/>
      <c r="R36" s="80">
        <f t="shared" ref="R36:R46" si="18">IFERROR(Q36/Q$28,0)</f>
        <v>0</v>
      </c>
      <c r="S36" s="179"/>
      <c r="T36" s="80">
        <f t="shared" ref="T36:T46" si="19">IFERROR(S36/S$28,0)</f>
        <v>0</v>
      </c>
      <c r="U36" s="179"/>
      <c r="V36" s="80">
        <f t="shared" ref="V36:V46" si="20">IFERROR(U36/U$28,0)</f>
        <v>0</v>
      </c>
    </row>
    <row r="37" spans="1:22" ht="12.75" customHeight="1">
      <c r="A37" s="2" t="s">
        <v>372</v>
      </c>
      <c r="B37" s="35"/>
      <c r="C37" s="179">
        <v>77174</v>
      </c>
      <c r="D37" s="80">
        <f t="shared" si="11"/>
        <v>0.77173999999999998</v>
      </c>
      <c r="E37" s="179">
        <f>+C37*1.025</f>
        <v>79103.349999999991</v>
      </c>
      <c r="F37" s="80">
        <f t="shared" si="12"/>
        <v>0.42990951086956519</v>
      </c>
      <c r="G37" s="179">
        <f>+E37*1.035-20000</f>
        <v>61871.967249999987</v>
      </c>
      <c r="H37" s="80">
        <f t="shared" si="13"/>
        <v>0.32966734468243813</v>
      </c>
      <c r="I37" s="179">
        <f>+G37*1.032</f>
        <v>63851.870201999991</v>
      </c>
      <c r="J37" s="80">
        <f t="shared" si="14"/>
        <v>0.33354578403164331</v>
      </c>
      <c r="K37" s="179">
        <f>+I37*1.025</f>
        <v>65448.166957049987</v>
      </c>
      <c r="L37" s="80">
        <f t="shared" si="15"/>
        <v>0.33518081238473957</v>
      </c>
      <c r="M37" s="179">
        <f>+K37*1.025</f>
        <v>67084.371130976229</v>
      </c>
      <c r="N37" s="80">
        <f t="shared" si="16"/>
        <v>0.33682385558270395</v>
      </c>
      <c r="O37" s="179">
        <f>+M37*1.025</f>
        <v>68761.480409250624</v>
      </c>
      <c r="P37" s="80">
        <f t="shared" si="17"/>
        <v>0.33847495291399166</v>
      </c>
      <c r="Q37" s="179">
        <f>+O37*1.025</f>
        <v>70480.517419481883</v>
      </c>
      <c r="R37" s="80">
        <f t="shared" si="18"/>
        <v>0.34013414385964841</v>
      </c>
      <c r="S37" s="179">
        <f>+Q37*1.025</f>
        <v>72242.530354968927</v>
      </c>
      <c r="T37" s="80">
        <f t="shared" si="19"/>
        <v>0.34180146809425449</v>
      </c>
      <c r="U37" s="179">
        <f>+S37*1.025</f>
        <v>74048.593613843143</v>
      </c>
      <c r="V37" s="80">
        <f t="shared" si="20"/>
        <v>0.34347696548687334</v>
      </c>
    </row>
    <row r="38" spans="1:22" ht="12.75" customHeight="1">
      <c r="A38" s="2" t="s">
        <v>373</v>
      </c>
      <c r="B38" s="35"/>
      <c r="C38" s="179"/>
      <c r="D38" s="80">
        <f t="shared" si="11"/>
        <v>0</v>
      </c>
      <c r="E38" s="179"/>
      <c r="F38" s="80">
        <f t="shared" si="12"/>
        <v>0</v>
      </c>
      <c r="G38" s="179">
        <f>+E38*1.035</f>
        <v>0</v>
      </c>
      <c r="H38" s="80">
        <f t="shared" si="13"/>
        <v>0</v>
      </c>
      <c r="I38" s="179">
        <f>+G38*1.032</f>
        <v>0</v>
      </c>
      <c r="J38" s="80">
        <f t="shared" si="14"/>
        <v>0</v>
      </c>
      <c r="K38" s="179">
        <f>+I38*1.025</f>
        <v>0</v>
      </c>
      <c r="L38" s="80">
        <f t="shared" si="15"/>
        <v>0</v>
      </c>
      <c r="M38" s="179">
        <f>+K38*1.025</f>
        <v>0</v>
      </c>
      <c r="N38" s="80">
        <f t="shared" si="16"/>
        <v>0</v>
      </c>
      <c r="O38" s="179">
        <f>+M38*1.025</f>
        <v>0</v>
      </c>
      <c r="P38" s="80">
        <f t="shared" si="17"/>
        <v>0</v>
      </c>
      <c r="Q38" s="179">
        <f>+O38*1.025</f>
        <v>0</v>
      </c>
      <c r="R38" s="80">
        <f t="shared" si="18"/>
        <v>0</v>
      </c>
      <c r="S38" s="179">
        <f>+Q38*1.025</f>
        <v>0</v>
      </c>
      <c r="T38" s="80">
        <f t="shared" si="19"/>
        <v>0</v>
      </c>
      <c r="U38" s="179">
        <f>+S38*1.025</f>
        <v>0</v>
      </c>
      <c r="V38" s="80">
        <f t="shared" si="20"/>
        <v>0</v>
      </c>
    </row>
    <row r="39" spans="1:22" ht="12.75" customHeight="1">
      <c r="A39" s="2" t="s">
        <v>374</v>
      </c>
      <c r="B39" s="35"/>
      <c r="C39" s="179"/>
      <c r="D39" s="80">
        <f t="shared" si="11"/>
        <v>0</v>
      </c>
      <c r="E39" s="179"/>
      <c r="F39" s="80">
        <f t="shared" si="12"/>
        <v>0</v>
      </c>
      <c r="G39" s="179">
        <f>+E39*1.035</f>
        <v>0</v>
      </c>
      <c r="H39" s="80">
        <f t="shared" si="13"/>
        <v>0</v>
      </c>
      <c r="I39" s="179">
        <f>+G39*1.032</f>
        <v>0</v>
      </c>
      <c r="J39" s="80">
        <f t="shared" si="14"/>
        <v>0</v>
      </c>
      <c r="K39" s="179">
        <f>+I39*1.025</f>
        <v>0</v>
      </c>
      <c r="L39" s="80">
        <f t="shared" si="15"/>
        <v>0</v>
      </c>
      <c r="M39" s="179">
        <f>+K39*1.025</f>
        <v>0</v>
      </c>
      <c r="N39" s="80">
        <f t="shared" si="16"/>
        <v>0</v>
      </c>
      <c r="O39" s="179">
        <f>+M39*1.025</f>
        <v>0</v>
      </c>
      <c r="P39" s="80">
        <f t="shared" si="17"/>
        <v>0</v>
      </c>
      <c r="Q39" s="179">
        <f>+O39*1.025</f>
        <v>0</v>
      </c>
      <c r="R39" s="80">
        <f t="shared" si="18"/>
        <v>0</v>
      </c>
      <c r="S39" s="179">
        <f>+Q39*1.025</f>
        <v>0</v>
      </c>
      <c r="T39" s="80">
        <f t="shared" si="19"/>
        <v>0</v>
      </c>
      <c r="U39" s="179">
        <f>+S39*1.025</f>
        <v>0</v>
      </c>
      <c r="V39" s="80">
        <f t="shared" si="20"/>
        <v>0</v>
      </c>
    </row>
    <row r="40" spans="1:22" ht="12.75" customHeight="1">
      <c r="A40" s="2" t="s">
        <v>375</v>
      </c>
      <c r="B40" s="35"/>
      <c r="C40" s="179">
        <f>C36*0.124</f>
        <v>0</v>
      </c>
      <c r="D40" s="80">
        <f t="shared" si="11"/>
        <v>0</v>
      </c>
      <c r="E40" s="113"/>
      <c r="F40" s="80">
        <f t="shared" si="12"/>
        <v>0</v>
      </c>
      <c r="G40" s="179">
        <f>G36*0.124</f>
        <v>0</v>
      </c>
      <c r="H40" s="80">
        <f t="shared" si="13"/>
        <v>0</v>
      </c>
      <c r="I40" s="179">
        <f>I36*0.124</f>
        <v>0</v>
      </c>
      <c r="J40" s="80">
        <f t="shared" si="14"/>
        <v>0</v>
      </c>
      <c r="K40" s="179">
        <f>K36*0.124</f>
        <v>0</v>
      </c>
      <c r="L40" s="80">
        <f t="shared" si="15"/>
        <v>0</v>
      </c>
      <c r="M40" s="179">
        <f>M36*0.124</f>
        <v>0</v>
      </c>
      <c r="N40" s="80">
        <f t="shared" si="16"/>
        <v>0</v>
      </c>
      <c r="O40" s="179">
        <f>O36*0.124</f>
        <v>0</v>
      </c>
      <c r="P40" s="80">
        <f t="shared" si="17"/>
        <v>0</v>
      </c>
      <c r="Q40" s="179">
        <f>Q36*0.124</f>
        <v>0</v>
      </c>
      <c r="R40" s="80">
        <f t="shared" si="18"/>
        <v>0</v>
      </c>
      <c r="S40" s="179">
        <f>S36*0.124</f>
        <v>0</v>
      </c>
      <c r="T40" s="80">
        <f t="shared" si="19"/>
        <v>0</v>
      </c>
      <c r="U40" s="179">
        <f>U36*0.124</f>
        <v>0</v>
      </c>
      <c r="V40" s="80">
        <f t="shared" si="20"/>
        <v>0</v>
      </c>
    </row>
    <row r="41" spans="1:22" ht="12.75" customHeight="1">
      <c r="A41" s="2" t="s">
        <v>376</v>
      </c>
      <c r="B41" s="35"/>
      <c r="C41" s="179">
        <f>C37*0.124</f>
        <v>9569.5759999999991</v>
      </c>
      <c r="D41" s="80">
        <f t="shared" si="11"/>
        <v>9.5695759999999991E-2</v>
      </c>
      <c r="E41" s="179">
        <f>E37*0.124</f>
        <v>9808.8153999999995</v>
      </c>
      <c r="F41" s="80">
        <f t="shared" si="12"/>
        <v>5.3308779347826081E-2</v>
      </c>
      <c r="G41" s="179">
        <f>G37*0.124</f>
        <v>7672.1239389999982</v>
      </c>
      <c r="H41" s="80">
        <f t="shared" si="13"/>
        <v>4.0878750740622326E-2</v>
      </c>
      <c r="I41" s="179">
        <f>I37*0.124</f>
        <v>7917.6319050479988</v>
      </c>
      <c r="J41" s="80">
        <f t="shared" si="14"/>
        <v>4.1359677219923764E-2</v>
      </c>
      <c r="K41" s="179">
        <f>K37*0.124</f>
        <v>8115.5727026741979</v>
      </c>
      <c r="L41" s="80">
        <f t="shared" si="15"/>
        <v>4.1562420735707706E-2</v>
      </c>
      <c r="M41" s="179">
        <f>M37*0.124</f>
        <v>8318.4620202410515</v>
      </c>
      <c r="N41" s="80">
        <f t="shared" si="16"/>
        <v>4.1766158092255284E-2</v>
      </c>
      <c r="O41" s="179">
        <f>O37*0.124</f>
        <v>8526.423570747078</v>
      </c>
      <c r="P41" s="80">
        <f t="shared" si="17"/>
        <v>4.1970894161334968E-2</v>
      </c>
      <c r="Q41" s="179">
        <f>Q37*0.124</f>
        <v>8739.5841600157528</v>
      </c>
      <c r="R41" s="80">
        <f t="shared" si="18"/>
        <v>4.2176633838596399E-2</v>
      </c>
      <c r="S41" s="179">
        <f>S37*0.124</f>
        <v>8958.073764016146</v>
      </c>
      <c r="T41" s="80">
        <f t="shared" si="19"/>
        <v>4.2383382043687551E-2</v>
      </c>
      <c r="U41" s="179">
        <f>U37*0.124</f>
        <v>9182.0256081165498</v>
      </c>
      <c r="V41" s="80">
        <f t="shared" si="20"/>
        <v>4.2591143720372295E-2</v>
      </c>
    </row>
    <row r="42" spans="1:22" ht="12.75" customHeight="1">
      <c r="A42" s="2" t="s">
        <v>377</v>
      </c>
      <c r="B42" s="35"/>
      <c r="C42" s="179"/>
      <c r="D42" s="80">
        <f t="shared" si="11"/>
        <v>0</v>
      </c>
      <c r="E42" s="179"/>
      <c r="F42" s="80">
        <f t="shared" si="12"/>
        <v>0</v>
      </c>
      <c r="G42" s="179"/>
      <c r="H42" s="80">
        <f t="shared" si="13"/>
        <v>0</v>
      </c>
      <c r="I42" s="179"/>
      <c r="J42" s="80">
        <f t="shared" si="14"/>
        <v>0</v>
      </c>
      <c r="K42" s="179"/>
      <c r="L42" s="80">
        <f t="shared" si="15"/>
        <v>0</v>
      </c>
      <c r="M42" s="179"/>
      <c r="N42" s="80">
        <f t="shared" si="16"/>
        <v>0</v>
      </c>
      <c r="O42" s="179"/>
      <c r="P42" s="80">
        <f t="shared" si="17"/>
        <v>0</v>
      </c>
      <c r="Q42" s="179"/>
      <c r="R42" s="80">
        <f t="shared" si="18"/>
        <v>0</v>
      </c>
      <c r="S42" s="179"/>
      <c r="T42" s="80">
        <f t="shared" si="19"/>
        <v>0</v>
      </c>
      <c r="U42" s="179"/>
      <c r="V42" s="80">
        <f t="shared" si="20"/>
        <v>0</v>
      </c>
    </row>
    <row r="43" spans="1:22" ht="12.75" customHeight="1">
      <c r="A43" s="2" t="s">
        <v>378</v>
      </c>
      <c r="B43" s="35"/>
      <c r="C43" s="179"/>
      <c r="D43" s="80">
        <f t="shared" si="11"/>
        <v>0</v>
      </c>
      <c r="E43" s="179"/>
      <c r="F43" s="80">
        <f t="shared" si="12"/>
        <v>0</v>
      </c>
      <c r="G43" s="179"/>
      <c r="H43" s="80">
        <f t="shared" si="13"/>
        <v>0</v>
      </c>
      <c r="I43" s="179"/>
      <c r="J43" s="80">
        <f t="shared" si="14"/>
        <v>0</v>
      </c>
      <c r="K43" s="179"/>
      <c r="L43" s="80">
        <f t="shared" si="15"/>
        <v>0</v>
      </c>
      <c r="M43" s="179"/>
      <c r="N43" s="80">
        <f t="shared" si="16"/>
        <v>0</v>
      </c>
      <c r="O43" s="179"/>
      <c r="P43" s="80">
        <f t="shared" si="17"/>
        <v>0</v>
      </c>
      <c r="Q43" s="179"/>
      <c r="R43" s="80">
        <f t="shared" si="18"/>
        <v>0</v>
      </c>
      <c r="S43" s="179"/>
      <c r="T43" s="80">
        <f t="shared" si="19"/>
        <v>0</v>
      </c>
      <c r="U43" s="179"/>
      <c r="V43" s="80">
        <f t="shared" si="20"/>
        <v>0</v>
      </c>
    </row>
    <row r="44" spans="1:22" ht="12.75" customHeight="1">
      <c r="A44" s="2" t="s">
        <v>379</v>
      </c>
      <c r="B44" s="35"/>
      <c r="C44" s="179"/>
      <c r="D44" s="80">
        <f t="shared" si="11"/>
        <v>0</v>
      </c>
      <c r="E44" s="179"/>
      <c r="F44" s="80">
        <f t="shared" si="12"/>
        <v>0</v>
      </c>
      <c r="G44" s="179"/>
      <c r="H44" s="80">
        <f t="shared" si="13"/>
        <v>0</v>
      </c>
      <c r="I44" s="179"/>
      <c r="J44" s="80">
        <f t="shared" si="14"/>
        <v>0</v>
      </c>
      <c r="K44" s="179"/>
      <c r="L44" s="80">
        <f t="shared" si="15"/>
        <v>0</v>
      </c>
      <c r="M44" s="179"/>
      <c r="N44" s="80">
        <f t="shared" si="16"/>
        <v>0</v>
      </c>
      <c r="O44" s="179"/>
      <c r="P44" s="80">
        <f t="shared" si="17"/>
        <v>0</v>
      </c>
      <c r="Q44" s="179"/>
      <c r="R44" s="80">
        <f t="shared" si="18"/>
        <v>0</v>
      </c>
      <c r="S44" s="179"/>
      <c r="T44" s="80">
        <f t="shared" si="19"/>
        <v>0</v>
      </c>
      <c r="U44" s="179"/>
      <c r="V44" s="80">
        <f t="shared" si="20"/>
        <v>0</v>
      </c>
    </row>
    <row r="45" spans="1:22" ht="12.75" customHeight="1">
      <c r="A45" s="2" t="s">
        <v>380</v>
      </c>
      <c r="B45" s="35"/>
      <c r="C45" s="182">
        <f>SUM(C36:C39)*0.094</f>
        <v>7254.3559999999998</v>
      </c>
      <c r="D45" s="80">
        <f t="shared" si="11"/>
        <v>7.2543559999999993E-2</v>
      </c>
      <c r="E45" s="182">
        <f>SUM(E36:E39)*0.094</f>
        <v>7435.714899999999</v>
      </c>
      <c r="F45" s="80">
        <f t="shared" si="12"/>
        <v>4.0411494021739124E-2</v>
      </c>
      <c r="G45" s="182">
        <f>SUM(G36:G39)*0.094</f>
        <v>5815.964921499999</v>
      </c>
      <c r="H45" s="80">
        <f t="shared" si="13"/>
        <v>3.0988730400149184E-2</v>
      </c>
      <c r="I45" s="182">
        <f>SUM(I36:I39)*0.094</f>
        <v>6002.0757989879994</v>
      </c>
      <c r="J45" s="80">
        <f t="shared" si="14"/>
        <v>3.1353303698974468E-2</v>
      </c>
      <c r="K45" s="182">
        <f>SUM(K36:K39)*0.094</f>
        <v>6152.1276939626987</v>
      </c>
      <c r="L45" s="80">
        <f t="shared" si="15"/>
        <v>3.150699636416552E-2</v>
      </c>
      <c r="M45" s="182">
        <f>SUM(M36:M39)*0.094</f>
        <v>6305.9308863117658</v>
      </c>
      <c r="N45" s="80">
        <f t="shared" si="16"/>
        <v>3.1661442424774172E-2</v>
      </c>
      <c r="O45" s="182">
        <f>SUM(O36:O39)*0.094</f>
        <v>6463.5791584695589</v>
      </c>
      <c r="P45" s="80">
        <f t="shared" si="17"/>
        <v>3.1816645573915218E-2</v>
      </c>
      <c r="Q45" s="182">
        <f>SUM(Q36:Q39)*0.094</f>
        <v>6625.1686374312967</v>
      </c>
      <c r="R45" s="80">
        <f t="shared" si="18"/>
        <v>3.197260952280695E-2</v>
      </c>
      <c r="S45" s="182">
        <f>SUM(S36:S39)*0.094</f>
        <v>6790.7978533670794</v>
      </c>
      <c r="T45" s="80">
        <f t="shared" si="19"/>
        <v>3.2129338000859924E-2</v>
      </c>
      <c r="U45" s="182">
        <f>SUM(U36:U39)*0.094</f>
        <v>6960.5677997012554</v>
      </c>
      <c r="V45" s="80">
        <f t="shared" si="20"/>
        <v>3.2286834755766096E-2</v>
      </c>
    </row>
    <row r="46" spans="1:22" ht="12.75" customHeight="1">
      <c r="A46" s="1" t="s">
        <v>381</v>
      </c>
      <c r="B46" s="53"/>
      <c r="C46" s="82">
        <f>SUM(C36:C45)</f>
        <v>93997.932000000001</v>
      </c>
      <c r="D46" s="83">
        <f t="shared" si="11"/>
        <v>0.93997931999999995</v>
      </c>
      <c r="E46" s="82">
        <f>SUM(E36:E45)</f>
        <v>96347.88029999999</v>
      </c>
      <c r="F46" s="83">
        <f t="shared" si="12"/>
        <v>0.52362978423913042</v>
      </c>
      <c r="G46" s="82">
        <f>SUM(G36:G45)</f>
        <v>75360.05611049998</v>
      </c>
      <c r="H46" s="83">
        <f t="shared" si="13"/>
        <v>0.4015348258232096</v>
      </c>
      <c r="I46" s="82">
        <f>SUM(I36:I45)</f>
        <v>77771.577906035978</v>
      </c>
      <c r="J46" s="83">
        <f t="shared" si="14"/>
        <v>0.40625876495054147</v>
      </c>
      <c r="K46" s="82">
        <f>SUM(K36:K45)</f>
        <v>79715.867353686888</v>
      </c>
      <c r="L46" s="83">
        <f t="shared" si="15"/>
        <v>0.40825022948461281</v>
      </c>
      <c r="M46" s="82">
        <f>SUM(M36:M45)</f>
        <v>81708.76403752905</v>
      </c>
      <c r="N46" s="83">
        <f t="shared" si="16"/>
        <v>0.4102514560997334</v>
      </c>
      <c r="O46" s="82">
        <f>SUM(O36:O45)</f>
        <v>83751.483138467258</v>
      </c>
      <c r="P46" s="83">
        <f t="shared" si="17"/>
        <v>0.41226249264924181</v>
      </c>
      <c r="Q46" s="82">
        <f>SUM(Q36:Q45)</f>
        <v>85845.27021692894</v>
      </c>
      <c r="R46" s="83">
        <f t="shared" si="18"/>
        <v>0.41428338722105179</v>
      </c>
      <c r="S46" s="82">
        <f>SUM(S36:S45)</f>
        <v>87991.401972352149</v>
      </c>
      <c r="T46" s="83">
        <f t="shared" si="19"/>
        <v>0.41631418813880194</v>
      </c>
      <c r="U46" s="82">
        <f>SUM(U36:U45)</f>
        <v>90191.187021660953</v>
      </c>
      <c r="V46" s="83">
        <f t="shared" si="20"/>
        <v>0.41835494396301176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1">IFERROR(C52/C$28,0)</f>
        <v>0</v>
      </c>
      <c r="E52" s="179">
        <v>0</v>
      </c>
      <c r="F52" s="80">
        <f t="shared" ref="F52:F104" si="22">IFERROR(E52/E$28,0)</f>
        <v>0</v>
      </c>
      <c r="G52" s="179">
        <v>0</v>
      </c>
      <c r="H52" s="80">
        <f t="shared" ref="H52:H104" si="23">IFERROR(G52/G$28,0)</f>
        <v>0</v>
      </c>
      <c r="I52" s="179">
        <v>0</v>
      </c>
      <c r="J52" s="80">
        <f t="shared" ref="J52:J104" si="24">IFERROR(I52/I$28,0)</f>
        <v>0</v>
      </c>
      <c r="K52" s="179">
        <v>0</v>
      </c>
      <c r="L52" s="80">
        <f t="shared" ref="L52:L104" si="25">IFERROR(K52/K$28,0)</f>
        <v>0</v>
      </c>
      <c r="M52" s="179">
        <v>0</v>
      </c>
      <c r="N52" s="80">
        <f t="shared" ref="N52:N104" si="26">IFERROR(M52/M$28,0)</f>
        <v>0</v>
      </c>
      <c r="O52" s="179">
        <v>0</v>
      </c>
      <c r="P52" s="80">
        <f t="shared" ref="P52:P104" si="27">IFERROR(O52/O$28,0)</f>
        <v>0</v>
      </c>
      <c r="Q52" s="179">
        <v>0</v>
      </c>
      <c r="R52" s="80">
        <f t="shared" ref="R52:R104" si="28">IFERROR(Q52/Q$28,0)</f>
        <v>0</v>
      </c>
      <c r="S52" s="179">
        <v>0</v>
      </c>
      <c r="T52" s="80">
        <f t="shared" ref="T52:T104" si="29">IFERROR(S52/S$28,0)</f>
        <v>0</v>
      </c>
      <c r="U52" s="179">
        <v>0</v>
      </c>
      <c r="V52" s="80">
        <f t="shared" ref="V52:V105" si="30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1"/>
        <v>0</v>
      </c>
      <c r="E53" s="179">
        <v>0</v>
      </c>
      <c r="F53" s="80">
        <f t="shared" si="22"/>
        <v>0</v>
      </c>
      <c r="G53" s="179">
        <v>0</v>
      </c>
      <c r="H53" s="80">
        <f t="shared" si="23"/>
        <v>0</v>
      </c>
      <c r="I53" s="179">
        <v>0</v>
      </c>
      <c r="J53" s="80">
        <f t="shared" si="24"/>
        <v>0</v>
      </c>
      <c r="K53" s="179">
        <v>0</v>
      </c>
      <c r="L53" s="80">
        <f t="shared" si="25"/>
        <v>0</v>
      </c>
      <c r="M53" s="179">
        <v>0</v>
      </c>
      <c r="N53" s="80">
        <f t="shared" si="26"/>
        <v>0</v>
      </c>
      <c r="O53" s="179">
        <v>0</v>
      </c>
      <c r="P53" s="80">
        <f t="shared" si="27"/>
        <v>0</v>
      </c>
      <c r="Q53" s="179">
        <v>0</v>
      </c>
      <c r="R53" s="80">
        <f t="shared" si="28"/>
        <v>0</v>
      </c>
      <c r="S53" s="179">
        <v>0</v>
      </c>
      <c r="T53" s="80">
        <f t="shared" si="29"/>
        <v>0</v>
      </c>
      <c r="U53" s="179">
        <v>0</v>
      </c>
      <c r="V53" s="80">
        <f t="shared" si="30"/>
        <v>0</v>
      </c>
      <c r="X53" s="200"/>
    </row>
    <row r="54" spans="1:24" ht="12.75" customHeight="1">
      <c r="A54" s="2" t="s">
        <v>385</v>
      </c>
      <c r="B54" s="35"/>
      <c r="C54" s="179">
        <v>70</v>
      </c>
      <c r="D54" s="80">
        <f t="shared" si="21"/>
        <v>6.9999999999999999E-4</v>
      </c>
      <c r="E54" s="179">
        <v>128.80000000000001</v>
      </c>
      <c r="F54" s="80">
        <f t="shared" si="22"/>
        <v>7.000000000000001E-4</v>
      </c>
      <c r="G54" s="179">
        <v>131.376</v>
      </c>
      <c r="H54" s="80">
        <f t="shared" si="23"/>
        <v>6.9999999999999999E-4</v>
      </c>
      <c r="I54" s="179">
        <v>134.00351999999998</v>
      </c>
      <c r="J54" s="80">
        <f t="shared" si="24"/>
        <v>6.9999999999999988E-4</v>
      </c>
      <c r="K54" s="179">
        <v>136.68359039999999</v>
      </c>
      <c r="L54" s="80">
        <f t="shared" si="25"/>
        <v>6.9999999999999988E-4</v>
      </c>
      <c r="M54" s="179">
        <v>139.41726220799998</v>
      </c>
      <c r="N54" s="80">
        <f t="shared" si="26"/>
        <v>6.9999999999999988E-4</v>
      </c>
      <c r="O54" s="179">
        <v>142.20560745216</v>
      </c>
      <c r="P54" s="80">
        <f t="shared" si="27"/>
        <v>6.9999999999999999E-4</v>
      </c>
      <c r="Q54" s="179">
        <v>145.04971960120321</v>
      </c>
      <c r="R54" s="80">
        <f t="shared" si="28"/>
        <v>6.9999999999999999E-4</v>
      </c>
      <c r="S54" s="179">
        <v>147.95071399322728</v>
      </c>
      <c r="T54" s="80">
        <f t="shared" si="29"/>
        <v>6.9999999999999999E-4</v>
      </c>
      <c r="U54" s="179">
        <v>150.90972827309184</v>
      </c>
      <c r="V54" s="80">
        <f t="shared" si="30"/>
        <v>6.9999999999999999E-4</v>
      </c>
      <c r="X54" s="200"/>
    </row>
    <row r="55" spans="1:24" ht="12.75" customHeight="1">
      <c r="A55" s="2" t="s">
        <v>386</v>
      </c>
      <c r="B55" s="35"/>
      <c r="C55" s="179"/>
      <c r="D55" s="80">
        <f t="shared" si="21"/>
        <v>0</v>
      </c>
      <c r="E55" s="179"/>
      <c r="F55" s="80">
        <f t="shared" si="22"/>
        <v>0</v>
      </c>
      <c r="G55" s="179"/>
      <c r="H55" s="80">
        <f t="shared" si="23"/>
        <v>0</v>
      </c>
      <c r="I55" s="179"/>
      <c r="J55" s="80">
        <f t="shared" si="24"/>
        <v>0</v>
      </c>
      <c r="K55" s="179"/>
      <c r="L55" s="80">
        <f t="shared" si="25"/>
        <v>0</v>
      </c>
      <c r="M55" s="179"/>
      <c r="N55" s="80">
        <f t="shared" si="26"/>
        <v>0</v>
      </c>
      <c r="O55" s="179"/>
      <c r="P55" s="80">
        <f t="shared" si="27"/>
        <v>0</v>
      </c>
      <c r="Q55" s="179"/>
      <c r="R55" s="80">
        <f t="shared" si="28"/>
        <v>0</v>
      </c>
      <c r="S55" s="179"/>
      <c r="T55" s="80">
        <f t="shared" si="29"/>
        <v>0</v>
      </c>
      <c r="U55" s="179"/>
      <c r="V55" s="80">
        <f t="shared" si="30"/>
        <v>0</v>
      </c>
      <c r="X55" s="200"/>
    </row>
    <row r="56" spans="1:24" ht="12.75" customHeight="1">
      <c r="A56" s="2" t="s">
        <v>387</v>
      </c>
      <c r="B56" s="35"/>
      <c r="C56" s="179">
        <v>51.000000000000007</v>
      </c>
      <c r="D56" s="80">
        <f t="shared" si="21"/>
        <v>5.1000000000000004E-4</v>
      </c>
      <c r="E56" s="179">
        <v>93.840000000000018</v>
      </c>
      <c r="F56" s="80">
        <f t="shared" si="22"/>
        <v>5.1000000000000015E-4</v>
      </c>
      <c r="G56" s="179">
        <v>95.716800000000006</v>
      </c>
      <c r="H56" s="80">
        <f t="shared" si="23"/>
        <v>5.1000000000000004E-4</v>
      </c>
      <c r="I56" s="179">
        <v>97.631136000000012</v>
      </c>
      <c r="J56" s="80">
        <f t="shared" si="24"/>
        <v>5.1000000000000004E-4</v>
      </c>
      <c r="K56" s="179">
        <v>99.583758720000006</v>
      </c>
      <c r="L56" s="80">
        <f t="shared" si="25"/>
        <v>5.1000000000000004E-4</v>
      </c>
      <c r="M56" s="179">
        <v>101.57543389439999</v>
      </c>
      <c r="N56" s="80">
        <f t="shared" si="26"/>
        <v>5.0999999999999993E-4</v>
      </c>
      <c r="O56" s="179">
        <v>103.60694257228801</v>
      </c>
      <c r="P56" s="80">
        <f t="shared" si="27"/>
        <v>5.1000000000000004E-4</v>
      </c>
      <c r="Q56" s="179">
        <v>105.67908142373379</v>
      </c>
      <c r="R56" s="80">
        <f t="shared" si="28"/>
        <v>5.1000000000000015E-4</v>
      </c>
      <c r="S56" s="179">
        <v>107.79266305220845</v>
      </c>
      <c r="T56" s="80">
        <f t="shared" si="29"/>
        <v>5.1000000000000004E-4</v>
      </c>
      <c r="U56" s="179">
        <v>109.94851631325263</v>
      </c>
      <c r="V56" s="80">
        <f t="shared" si="30"/>
        <v>5.1000000000000004E-4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1"/>
        <v>0</v>
      </c>
      <c r="E57" s="179">
        <v>0</v>
      </c>
      <c r="F57" s="80">
        <f t="shared" si="22"/>
        <v>0</v>
      </c>
      <c r="G57" s="179">
        <v>0</v>
      </c>
      <c r="H57" s="80">
        <f t="shared" si="23"/>
        <v>0</v>
      </c>
      <c r="I57" s="179">
        <v>0</v>
      </c>
      <c r="J57" s="80">
        <f t="shared" si="24"/>
        <v>0</v>
      </c>
      <c r="K57" s="179">
        <v>0</v>
      </c>
      <c r="L57" s="80">
        <f t="shared" si="25"/>
        <v>0</v>
      </c>
      <c r="M57" s="179">
        <v>0</v>
      </c>
      <c r="N57" s="80">
        <f t="shared" si="26"/>
        <v>0</v>
      </c>
      <c r="O57" s="179">
        <v>0</v>
      </c>
      <c r="P57" s="80">
        <f t="shared" si="27"/>
        <v>0</v>
      </c>
      <c r="Q57" s="179">
        <v>0</v>
      </c>
      <c r="R57" s="80">
        <f t="shared" si="28"/>
        <v>0</v>
      </c>
      <c r="S57" s="179">
        <v>0</v>
      </c>
      <c r="T57" s="80">
        <f t="shared" si="29"/>
        <v>0</v>
      </c>
      <c r="U57" s="179">
        <v>0</v>
      </c>
      <c r="V57" s="80">
        <f t="shared" si="30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1"/>
        <v>0</v>
      </c>
      <c r="E58" s="179">
        <v>0</v>
      </c>
      <c r="F58" s="80">
        <f t="shared" si="22"/>
        <v>0</v>
      </c>
      <c r="G58" s="179">
        <v>0</v>
      </c>
      <c r="H58" s="80">
        <f t="shared" si="23"/>
        <v>0</v>
      </c>
      <c r="I58" s="179">
        <v>0</v>
      </c>
      <c r="J58" s="80">
        <f t="shared" si="24"/>
        <v>0</v>
      </c>
      <c r="K58" s="179">
        <v>0</v>
      </c>
      <c r="L58" s="80">
        <f t="shared" si="25"/>
        <v>0</v>
      </c>
      <c r="M58" s="179">
        <v>0</v>
      </c>
      <c r="N58" s="80">
        <f t="shared" si="26"/>
        <v>0</v>
      </c>
      <c r="O58" s="179">
        <v>0</v>
      </c>
      <c r="P58" s="80">
        <f t="shared" si="27"/>
        <v>0</v>
      </c>
      <c r="Q58" s="179">
        <v>0</v>
      </c>
      <c r="R58" s="80">
        <f t="shared" si="28"/>
        <v>0</v>
      </c>
      <c r="S58" s="179">
        <v>0</v>
      </c>
      <c r="T58" s="80">
        <f t="shared" si="29"/>
        <v>0</v>
      </c>
      <c r="U58" s="179">
        <v>0</v>
      </c>
      <c r="V58" s="80">
        <f t="shared" si="30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1"/>
        <v>0</v>
      </c>
      <c r="E59" s="179">
        <v>0</v>
      </c>
      <c r="F59" s="80">
        <f t="shared" si="22"/>
        <v>0</v>
      </c>
      <c r="G59" s="179">
        <v>0</v>
      </c>
      <c r="H59" s="80">
        <f t="shared" si="23"/>
        <v>0</v>
      </c>
      <c r="I59" s="179">
        <v>0</v>
      </c>
      <c r="J59" s="80">
        <f t="shared" si="24"/>
        <v>0</v>
      </c>
      <c r="K59" s="179">
        <v>0</v>
      </c>
      <c r="L59" s="80">
        <f t="shared" si="25"/>
        <v>0</v>
      </c>
      <c r="M59" s="179">
        <v>0</v>
      </c>
      <c r="N59" s="80">
        <f t="shared" si="26"/>
        <v>0</v>
      </c>
      <c r="O59" s="179">
        <v>0</v>
      </c>
      <c r="P59" s="80">
        <f t="shared" si="27"/>
        <v>0</v>
      </c>
      <c r="Q59" s="179">
        <v>0</v>
      </c>
      <c r="R59" s="80">
        <f t="shared" si="28"/>
        <v>0</v>
      </c>
      <c r="S59" s="179">
        <v>0</v>
      </c>
      <c r="T59" s="80">
        <f t="shared" si="29"/>
        <v>0</v>
      </c>
      <c r="U59" s="179">
        <v>0</v>
      </c>
      <c r="V59" s="80">
        <f t="shared" si="30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1"/>
        <v>0</v>
      </c>
      <c r="E60" s="179">
        <v>0</v>
      </c>
      <c r="F60" s="80">
        <f t="shared" si="22"/>
        <v>0</v>
      </c>
      <c r="G60" s="179">
        <v>0</v>
      </c>
      <c r="H60" s="80">
        <f t="shared" si="23"/>
        <v>0</v>
      </c>
      <c r="I60" s="179">
        <v>0</v>
      </c>
      <c r="J60" s="80">
        <f t="shared" si="24"/>
        <v>0</v>
      </c>
      <c r="K60" s="179">
        <v>0</v>
      </c>
      <c r="L60" s="80">
        <f t="shared" si="25"/>
        <v>0</v>
      </c>
      <c r="M60" s="179">
        <v>0</v>
      </c>
      <c r="N60" s="80">
        <f t="shared" si="26"/>
        <v>0</v>
      </c>
      <c r="O60" s="179">
        <v>0</v>
      </c>
      <c r="P60" s="80">
        <f t="shared" si="27"/>
        <v>0</v>
      </c>
      <c r="Q60" s="179">
        <v>0</v>
      </c>
      <c r="R60" s="80">
        <f t="shared" si="28"/>
        <v>0</v>
      </c>
      <c r="S60" s="179">
        <v>0</v>
      </c>
      <c r="T60" s="80">
        <f t="shared" si="29"/>
        <v>0</v>
      </c>
      <c r="U60" s="179">
        <v>0</v>
      </c>
      <c r="V60" s="80">
        <f t="shared" si="30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1"/>
        <v>0</v>
      </c>
      <c r="E61" s="179">
        <v>0</v>
      </c>
      <c r="F61" s="80">
        <f t="shared" si="22"/>
        <v>0</v>
      </c>
      <c r="G61" s="179">
        <v>0</v>
      </c>
      <c r="H61" s="80">
        <f t="shared" si="23"/>
        <v>0</v>
      </c>
      <c r="I61" s="179">
        <v>0</v>
      </c>
      <c r="J61" s="80">
        <f t="shared" si="24"/>
        <v>0</v>
      </c>
      <c r="K61" s="179">
        <v>0</v>
      </c>
      <c r="L61" s="80">
        <f t="shared" si="25"/>
        <v>0</v>
      </c>
      <c r="M61" s="179">
        <v>0</v>
      </c>
      <c r="N61" s="80">
        <f t="shared" si="26"/>
        <v>0</v>
      </c>
      <c r="O61" s="179">
        <v>0</v>
      </c>
      <c r="P61" s="80">
        <f t="shared" si="27"/>
        <v>0</v>
      </c>
      <c r="Q61" s="179">
        <v>0</v>
      </c>
      <c r="R61" s="80">
        <f t="shared" si="28"/>
        <v>0</v>
      </c>
      <c r="S61" s="179">
        <v>0</v>
      </c>
      <c r="T61" s="80">
        <f t="shared" si="29"/>
        <v>0</v>
      </c>
      <c r="U61" s="179">
        <v>0</v>
      </c>
      <c r="V61" s="80">
        <f t="shared" si="30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1"/>
        <v>0</v>
      </c>
      <c r="E62" s="179">
        <v>0</v>
      </c>
      <c r="F62" s="80">
        <f t="shared" si="22"/>
        <v>0</v>
      </c>
      <c r="G62" s="179">
        <v>0</v>
      </c>
      <c r="H62" s="80">
        <f t="shared" si="23"/>
        <v>0</v>
      </c>
      <c r="I62" s="179">
        <v>0</v>
      </c>
      <c r="J62" s="80">
        <f t="shared" si="24"/>
        <v>0</v>
      </c>
      <c r="K62" s="179">
        <v>0</v>
      </c>
      <c r="L62" s="80">
        <f t="shared" si="25"/>
        <v>0</v>
      </c>
      <c r="M62" s="179">
        <v>0</v>
      </c>
      <c r="N62" s="80">
        <f t="shared" si="26"/>
        <v>0</v>
      </c>
      <c r="O62" s="179">
        <v>0</v>
      </c>
      <c r="P62" s="80">
        <f t="shared" si="27"/>
        <v>0</v>
      </c>
      <c r="Q62" s="179">
        <v>0</v>
      </c>
      <c r="R62" s="80">
        <f t="shared" si="28"/>
        <v>0</v>
      </c>
      <c r="S62" s="179">
        <v>0</v>
      </c>
      <c r="T62" s="80">
        <f t="shared" si="29"/>
        <v>0</v>
      </c>
      <c r="U62" s="179">
        <v>0</v>
      </c>
      <c r="V62" s="80">
        <f t="shared" si="30"/>
        <v>0</v>
      </c>
      <c r="X62" s="200"/>
    </row>
    <row r="63" spans="1:24" ht="12.75" customHeight="1">
      <c r="A63" s="2" t="s">
        <v>394</v>
      </c>
      <c r="B63" s="35"/>
      <c r="C63" s="179">
        <v>1372.2435549171148</v>
      </c>
      <c r="D63" s="80">
        <f t="shared" si="21"/>
        <v>1.3722435549171148E-2</v>
      </c>
      <c r="E63" s="179">
        <v>1427.346963504468</v>
      </c>
      <c r="F63" s="80">
        <f t="shared" si="22"/>
        <v>7.7573204538286308E-3</v>
      </c>
      <c r="G63" s="179">
        <v>1670.829724560979</v>
      </c>
      <c r="H63" s="80">
        <f t="shared" si="23"/>
        <v>8.9025454207213289E-3</v>
      </c>
      <c r="I63" s="179">
        <v>1689.336461301717</v>
      </c>
      <c r="J63" s="80">
        <f t="shared" si="24"/>
        <v>8.8246601500557732E-3</v>
      </c>
      <c r="K63" s="179">
        <v>1703.2791782039674</v>
      </c>
      <c r="L63" s="80">
        <f t="shared" si="25"/>
        <v>8.723032671687685E-3</v>
      </c>
      <c r="M63" s="179">
        <v>1733.6928646398744</v>
      </c>
      <c r="N63" s="80">
        <f t="shared" si="26"/>
        <v>8.7046968648497435E-3</v>
      </c>
      <c r="O63" s="179">
        <v>1764.7471445177255</v>
      </c>
      <c r="P63" s="80">
        <f t="shared" si="27"/>
        <v>8.686879675810168E-3</v>
      </c>
      <c r="Q63" s="179">
        <v>1796.393555791753</v>
      </c>
      <c r="R63" s="80">
        <f t="shared" si="28"/>
        <v>8.6692721124281037E-3</v>
      </c>
      <c r="S63" s="179">
        <v>1828.584069103767</v>
      </c>
      <c r="T63" s="80">
        <f t="shared" si="29"/>
        <v>8.6515895315735451E-3</v>
      </c>
      <c r="U63" s="179">
        <v>1932.5400038453233</v>
      </c>
      <c r="V63" s="80">
        <f t="shared" si="30"/>
        <v>8.9641537240308933E-3</v>
      </c>
      <c r="X63" s="200"/>
    </row>
    <row r="64" spans="1:24" ht="12.75" customHeight="1">
      <c r="A64" s="2" t="s">
        <v>395</v>
      </c>
      <c r="B64" s="35"/>
      <c r="C64" s="179">
        <v>479.99999999999989</v>
      </c>
      <c r="D64" s="80">
        <f t="shared" si="21"/>
        <v>4.7999999999999987E-3</v>
      </c>
      <c r="E64" s="179">
        <v>883.19999999999993</v>
      </c>
      <c r="F64" s="80">
        <f t="shared" si="22"/>
        <v>4.7999999999999996E-3</v>
      </c>
      <c r="G64" s="179">
        <v>900.86399999999992</v>
      </c>
      <c r="H64" s="80">
        <f t="shared" si="23"/>
        <v>4.7999999999999996E-3</v>
      </c>
      <c r="I64" s="179">
        <v>918.88127999999995</v>
      </c>
      <c r="J64" s="80">
        <f t="shared" si="24"/>
        <v>4.7999999999999996E-3</v>
      </c>
      <c r="K64" s="179">
        <v>937.25890559999982</v>
      </c>
      <c r="L64" s="80">
        <f t="shared" si="25"/>
        <v>4.7999999999999996E-3</v>
      </c>
      <c r="M64" s="179">
        <v>956.0040837119999</v>
      </c>
      <c r="N64" s="80">
        <f t="shared" si="26"/>
        <v>4.7999999999999996E-3</v>
      </c>
      <c r="O64" s="179">
        <v>975.12416538623995</v>
      </c>
      <c r="P64" s="80">
        <f t="shared" si="27"/>
        <v>4.7999999999999996E-3</v>
      </c>
      <c r="Q64" s="179">
        <v>994.62664869396474</v>
      </c>
      <c r="R64" s="80">
        <f t="shared" si="28"/>
        <v>4.7999999999999996E-3</v>
      </c>
      <c r="S64" s="179">
        <v>1014.5191816678442</v>
      </c>
      <c r="T64" s="80">
        <f t="shared" si="29"/>
        <v>4.7999999999999996E-3</v>
      </c>
      <c r="U64" s="179">
        <v>1034.809565301201</v>
      </c>
      <c r="V64" s="80">
        <f t="shared" si="30"/>
        <v>4.7999999999999987E-3</v>
      </c>
      <c r="X64" s="200"/>
    </row>
    <row r="65" spans="1:24" ht="12.75" customHeight="1">
      <c r="A65" s="2" t="s">
        <v>396</v>
      </c>
      <c r="B65" s="35"/>
      <c r="C65" s="179">
        <v>49.999999999999993</v>
      </c>
      <c r="D65" s="80">
        <f t="shared" si="21"/>
        <v>4.999999999999999E-4</v>
      </c>
      <c r="E65" s="179">
        <v>92</v>
      </c>
      <c r="F65" s="80">
        <f t="shared" si="22"/>
        <v>5.0000000000000001E-4</v>
      </c>
      <c r="G65" s="179">
        <v>93.84</v>
      </c>
      <c r="H65" s="80">
        <f t="shared" si="23"/>
        <v>5.0000000000000001E-4</v>
      </c>
      <c r="I65" s="179">
        <v>95.716800000000006</v>
      </c>
      <c r="J65" s="80">
        <f t="shared" si="24"/>
        <v>5.0000000000000001E-4</v>
      </c>
      <c r="K65" s="179">
        <v>97.631135999999998</v>
      </c>
      <c r="L65" s="80">
        <f t="shared" si="25"/>
        <v>5.0000000000000001E-4</v>
      </c>
      <c r="M65" s="179">
        <v>99.583758719999992</v>
      </c>
      <c r="N65" s="80">
        <f t="shared" si="26"/>
        <v>5.0000000000000001E-4</v>
      </c>
      <c r="O65" s="179">
        <v>101.57543389440001</v>
      </c>
      <c r="P65" s="80">
        <f t="shared" si="27"/>
        <v>5.0000000000000001E-4</v>
      </c>
      <c r="Q65" s="179">
        <v>103.60694257228802</v>
      </c>
      <c r="R65" s="80">
        <f t="shared" si="28"/>
        <v>5.0000000000000001E-4</v>
      </c>
      <c r="S65" s="179">
        <v>105.67908142373378</v>
      </c>
      <c r="T65" s="80">
        <f t="shared" si="29"/>
        <v>5.0000000000000001E-4</v>
      </c>
      <c r="U65" s="179">
        <v>107.79266305220845</v>
      </c>
      <c r="V65" s="80">
        <f t="shared" si="30"/>
        <v>5.0000000000000001E-4</v>
      </c>
      <c r="X65" s="200"/>
    </row>
    <row r="66" spans="1:24" ht="12.75" customHeight="1">
      <c r="A66" s="2" t="s">
        <v>397</v>
      </c>
      <c r="B66" s="35"/>
      <c r="C66" s="179">
        <v>280</v>
      </c>
      <c r="D66" s="80">
        <f t="shared" si="21"/>
        <v>2.8E-3</v>
      </c>
      <c r="E66" s="179">
        <v>515.20000000000005</v>
      </c>
      <c r="F66" s="80">
        <f t="shared" si="22"/>
        <v>2.8000000000000004E-3</v>
      </c>
      <c r="G66" s="179">
        <v>525.50400000000002</v>
      </c>
      <c r="H66" s="80">
        <f t="shared" si="23"/>
        <v>2.8E-3</v>
      </c>
      <c r="I66" s="179">
        <v>536.01407999999992</v>
      </c>
      <c r="J66" s="80">
        <f t="shared" si="24"/>
        <v>2.7999999999999995E-3</v>
      </c>
      <c r="K66" s="179">
        <v>546.73436159999994</v>
      </c>
      <c r="L66" s="80">
        <f t="shared" si="25"/>
        <v>2.7999999999999995E-3</v>
      </c>
      <c r="M66" s="179">
        <v>557.66904883199993</v>
      </c>
      <c r="N66" s="80">
        <f t="shared" si="26"/>
        <v>2.7999999999999995E-3</v>
      </c>
      <c r="O66" s="179">
        <v>568.82242980863998</v>
      </c>
      <c r="P66" s="80">
        <f t="shared" si="27"/>
        <v>2.8E-3</v>
      </c>
      <c r="Q66" s="179">
        <v>580.19887840481283</v>
      </c>
      <c r="R66" s="80">
        <f t="shared" si="28"/>
        <v>2.8E-3</v>
      </c>
      <c r="S66" s="179">
        <v>591.80285597290913</v>
      </c>
      <c r="T66" s="80">
        <f t="shared" si="29"/>
        <v>2.8E-3</v>
      </c>
      <c r="U66" s="179">
        <v>603.63891309236737</v>
      </c>
      <c r="V66" s="80">
        <f t="shared" si="30"/>
        <v>2.8E-3</v>
      </c>
      <c r="X66" s="200"/>
    </row>
    <row r="67" spans="1:24" ht="12.75" customHeight="1">
      <c r="A67" s="2" t="s">
        <v>398</v>
      </c>
      <c r="B67" s="35"/>
      <c r="C67" s="179">
        <v>1499.9999999999998</v>
      </c>
      <c r="D67" s="80">
        <f t="shared" si="21"/>
        <v>1.4999999999999998E-2</v>
      </c>
      <c r="E67" s="179">
        <v>2760</v>
      </c>
      <c r="F67" s="80">
        <f t="shared" si="22"/>
        <v>1.4999999999999999E-2</v>
      </c>
      <c r="G67" s="179">
        <v>2815.2</v>
      </c>
      <c r="H67" s="80">
        <f t="shared" si="23"/>
        <v>1.4999999999999999E-2</v>
      </c>
      <c r="I67" s="179">
        <v>2871.5039999999999</v>
      </c>
      <c r="J67" s="80">
        <f t="shared" si="24"/>
        <v>1.4999999999999999E-2</v>
      </c>
      <c r="K67" s="179">
        <v>2928.93408</v>
      </c>
      <c r="L67" s="80">
        <f t="shared" si="25"/>
        <v>1.4999999999999999E-2</v>
      </c>
      <c r="M67" s="179">
        <v>2987.5127616</v>
      </c>
      <c r="N67" s="80">
        <f t="shared" si="26"/>
        <v>1.4999999999999999E-2</v>
      </c>
      <c r="O67" s="179">
        <v>3047.2630168320002</v>
      </c>
      <c r="P67" s="80">
        <f t="shared" si="27"/>
        <v>1.4999999999999999E-2</v>
      </c>
      <c r="Q67" s="179">
        <v>3108.2082771686405</v>
      </c>
      <c r="R67" s="80">
        <f t="shared" si="28"/>
        <v>1.5000000000000001E-2</v>
      </c>
      <c r="S67" s="179">
        <v>3170.3724427120133</v>
      </c>
      <c r="T67" s="80">
        <f t="shared" si="29"/>
        <v>1.4999999999999999E-2</v>
      </c>
      <c r="U67" s="179">
        <v>3233.7798915662534</v>
      </c>
      <c r="V67" s="80">
        <f t="shared" si="30"/>
        <v>1.4999999999999998E-2</v>
      </c>
      <c r="X67" s="200"/>
    </row>
    <row r="68" spans="1:24" ht="12.75" customHeight="1">
      <c r="A68" s="2" t="s">
        <v>399</v>
      </c>
      <c r="B68" s="35"/>
      <c r="C68" s="179">
        <v>170</v>
      </c>
      <c r="D68" s="80">
        <f t="shared" si="21"/>
        <v>1.6999999999999999E-3</v>
      </c>
      <c r="E68" s="179">
        <v>312.79999999999995</v>
      </c>
      <c r="F68" s="80">
        <f t="shared" si="22"/>
        <v>1.6999999999999997E-3</v>
      </c>
      <c r="G68" s="179">
        <v>319.05599999999998</v>
      </c>
      <c r="H68" s="80">
        <f t="shared" si="23"/>
        <v>1.6999999999999999E-3</v>
      </c>
      <c r="I68" s="179">
        <v>325.43711999999999</v>
      </c>
      <c r="J68" s="80">
        <f t="shared" si="24"/>
        <v>1.6999999999999999E-3</v>
      </c>
      <c r="K68" s="179">
        <v>331.94586239999995</v>
      </c>
      <c r="L68" s="80">
        <f t="shared" si="25"/>
        <v>1.6999999999999997E-3</v>
      </c>
      <c r="M68" s="179">
        <v>338.58477964799994</v>
      </c>
      <c r="N68" s="80">
        <f t="shared" si="26"/>
        <v>1.6999999999999997E-3</v>
      </c>
      <c r="O68" s="179">
        <v>345.35647524095998</v>
      </c>
      <c r="P68" s="80">
        <f t="shared" si="27"/>
        <v>1.6999999999999999E-3</v>
      </c>
      <c r="Q68" s="179">
        <v>352.26360474577928</v>
      </c>
      <c r="R68" s="80">
        <f t="shared" si="28"/>
        <v>1.7000000000000001E-3</v>
      </c>
      <c r="S68" s="179">
        <v>359.30887684069478</v>
      </c>
      <c r="T68" s="80">
        <f t="shared" si="29"/>
        <v>1.6999999999999997E-3</v>
      </c>
      <c r="U68" s="179">
        <v>366.49505437750872</v>
      </c>
      <c r="V68" s="80">
        <f t="shared" si="30"/>
        <v>1.6999999999999999E-3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1"/>
        <v>0</v>
      </c>
      <c r="E69" s="179">
        <v>0</v>
      </c>
      <c r="F69" s="80">
        <f t="shared" si="22"/>
        <v>0</v>
      </c>
      <c r="G69" s="179">
        <v>0</v>
      </c>
      <c r="H69" s="80">
        <f t="shared" si="23"/>
        <v>0</v>
      </c>
      <c r="I69" s="179">
        <v>0</v>
      </c>
      <c r="J69" s="80">
        <f t="shared" si="24"/>
        <v>0</v>
      </c>
      <c r="K69" s="179">
        <v>0</v>
      </c>
      <c r="L69" s="80">
        <f t="shared" si="25"/>
        <v>0</v>
      </c>
      <c r="M69" s="179">
        <v>0</v>
      </c>
      <c r="N69" s="80">
        <f t="shared" si="26"/>
        <v>0</v>
      </c>
      <c r="O69" s="179">
        <v>0</v>
      </c>
      <c r="P69" s="80">
        <f t="shared" si="27"/>
        <v>0</v>
      </c>
      <c r="Q69" s="179">
        <v>0</v>
      </c>
      <c r="R69" s="80">
        <f t="shared" si="28"/>
        <v>0</v>
      </c>
      <c r="S69" s="179">
        <v>0</v>
      </c>
      <c r="T69" s="80">
        <f t="shared" si="29"/>
        <v>0</v>
      </c>
      <c r="U69" s="179">
        <v>0</v>
      </c>
      <c r="V69" s="80">
        <f t="shared" si="30"/>
        <v>0</v>
      </c>
      <c r="X69" s="200"/>
    </row>
    <row r="70" spans="1:24" ht="12.75" customHeight="1">
      <c r="A70" s="2" t="s">
        <v>401</v>
      </c>
      <c r="B70" s="35"/>
      <c r="C70" s="179">
        <v>10</v>
      </c>
      <c r="D70" s="80">
        <f t="shared" si="21"/>
        <v>1E-4</v>
      </c>
      <c r="E70" s="179">
        <v>18.400000000000002</v>
      </c>
      <c r="F70" s="80">
        <f t="shared" si="22"/>
        <v>1.0000000000000002E-4</v>
      </c>
      <c r="G70" s="179">
        <v>18.768000000000001</v>
      </c>
      <c r="H70" s="80">
        <f t="shared" si="23"/>
        <v>1E-4</v>
      </c>
      <c r="I70" s="179">
        <v>19.143360000000001</v>
      </c>
      <c r="J70" s="80">
        <f t="shared" si="24"/>
        <v>1E-4</v>
      </c>
      <c r="K70" s="179">
        <v>19.526227200000001</v>
      </c>
      <c r="L70" s="80">
        <f t="shared" si="25"/>
        <v>1E-4</v>
      </c>
      <c r="M70" s="179">
        <v>19.916751743999999</v>
      </c>
      <c r="N70" s="80">
        <f t="shared" si="26"/>
        <v>9.9999999999999991E-5</v>
      </c>
      <c r="O70" s="179">
        <v>20.315086778880001</v>
      </c>
      <c r="P70" s="80">
        <f t="shared" si="27"/>
        <v>1E-4</v>
      </c>
      <c r="Q70" s="179">
        <v>20.721388514457605</v>
      </c>
      <c r="R70" s="80">
        <f t="shared" si="28"/>
        <v>1E-4</v>
      </c>
      <c r="S70" s="179">
        <v>21.135816284746756</v>
      </c>
      <c r="T70" s="80">
        <f t="shared" si="29"/>
        <v>1E-4</v>
      </c>
      <c r="U70" s="179">
        <v>21.558532610441695</v>
      </c>
      <c r="V70" s="80">
        <f t="shared" si="30"/>
        <v>1.0000000000000002E-4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1"/>
        <v>0</v>
      </c>
      <c r="E71" s="179">
        <v>0</v>
      </c>
      <c r="F71" s="80">
        <f t="shared" si="22"/>
        <v>0</v>
      </c>
      <c r="G71" s="179">
        <v>0</v>
      </c>
      <c r="H71" s="80">
        <f t="shared" si="23"/>
        <v>0</v>
      </c>
      <c r="I71" s="179">
        <v>0</v>
      </c>
      <c r="J71" s="80">
        <f t="shared" si="24"/>
        <v>0</v>
      </c>
      <c r="K71" s="179">
        <v>0</v>
      </c>
      <c r="L71" s="80">
        <f t="shared" si="25"/>
        <v>0</v>
      </c>
      <c r="M71" s="179">
        <v>0</v>
      </c>
      <c r="N71" s="80">
        <f t="shared" si="26"/>
        <v>0</v>
      </c>
      <c r="O71" s="179">
        <v>0</v>
      </c>
      <c r="P71" s="80">
        <f t="shared" si="27"/>
        <v>0</v>
      </c>
      <c r="Q71" s="179">
        <v>0</v>
      </c>
      <c r="R71" s="80">
        <f t="shared" si="28"/>
        <v>0</v>
      </c>
      <c r="S71" s="179">
        <v>0</v>
      </c>
      <c r="T71" s="80">
        <f t="shared" si="29"/>
        <v>0</v>
      </c>
      <c r="U71" s="179">
        <v>0</v>
      </c>
      <c r="V71" s="80">
        <f t="shared" si="30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1"/>
        <v>0</v>
      </c>
      <c r="E72" s="179">
        <v>0</v>
      </c>
      <c r="F72" s="80">
        <f t="shared" si="22"/>
        <v>0</v>
      </c>
      <c r="G72" s="179">
        <v>0</v>
      </c>
      <c r="H72" s="80">
        <f t="shared" si="23"/>
        <v>0</v>
      </c>
      <c r="I72" s="179">
        <v>0</v>
      </c>
      <c r="J72" s="80">
        <f t="shared" si="24"/>
        <v>0</v>
      </c>
      <c r="K72" s="179">
        <v>0</v>
      </c>
      <c r="L72" s="80">
        <f t="shared" si="25"/>
        <v>0</v>
      </c>
      <c r="M72" s="179">
        <v>0</v>
      </c>
      <c r="N72" s="80">
        <f t="shared" si="26"/>
        <v>0</v>
      </c>
      <c r="O72" s="179">
        <v>0</v>
      </c>
      <c r="P72" s="80">
        <f t="shared" si="27"/>
        <v>0</v>
      </c>
      <c r="Q72" s="179">
        <v>0</v>
      </c>
      <c r="R72" s="80">
        <f t="shared" si="28"/>
        <v>0</v>
      </c>
      <c r="S72" s="179">
        <v>0</v>
      </c>
      <c r="T72" s="80">
        <f t="shared" si="29"/>
        <v>0</v>
      </c>
      <c r="U72" s="179">
        <v>0</v>
      </c>
      <c r="V72" s="80">
        <f t="shared" si="30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1"/>
        <v>0</v>
      </c>
      <c r="E73" s="179">
        <v>0</v>
      </c>
      <c r="F73" s="80">
        <f t="shared" si="22"/>
        <v>0</v>
      </c>
      <c r="G73" s="179">
        <v>0</v>
      </c>
      <c r="H73" s="80">
        <f t="shared" si="23"/>
        <v>0</v>
      </c>
      <c r="I73" s="179">
        <v>0</v>
      </c>
      <c r="J73" s="80">
        <f t="shared" si="24"/>
        <v>0</v>
      </c>
      <c r="K73" s="179">
        <v>0</v>
      </c>
      <c r="L73" s="80">
        <f t="shared" si="25"/>
        <v>0</v>
      </c>
      <c r="M73" s="179">
        <v>0</v>
      </c>
      <c r="N73" s="80">
        <f t="shared" si="26"/>
        <v>0</v>
      </c>
      <c r="O73" s="179">
        <v>0</v>
      </c>
      <c r="P73" s="80">
        <f t="shared" si="27"/>
        <v>0</v>
      </c>
      <c r="Q73" s="179">
        <v>0</v>
      </c>
      <c r="R73" s="80">
        <f t="shared" si="28"/>
        <v>0</v>
      </c>
      <c r="S73" s="179">
        <v>0</v>
      </c>
      <c r="T73" s="80">
        <f t="shared" si="29"/>
        <v>0</v>
      </c>
      <c r="U73" s="179">
        <v>0</v>
      </c>
      <c r="V73" s="80">
        <f t="shared" si="30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1"/>
        <v>0</v>
      </c>
      <c r="E74" s="179">
        <v>0</v>
      </c>
      <c r="F74" s="80">
        <f t="shared" si="22"/>
        <v>0</v>
      </c>
      <c r="G74" s="179">
        <v>0</v>
      </c>
      <c r="H74" s="80">
        <f t="shared" si="23"/>
        <v>0</v>
      </c>
      <c r="I74" s="179">
        <v>0</v>
      </c>
      <c r="J74" s="80">
        <f t="shared" si="24"/>
        <v>0</v>
      </c>
      <c r="K74" s="179">
        <v>0</v>
      </c>
      <c r="L74" s="80">
        <f t="shared" si="25"/>
        <v>0</v>
      </c>
      <c r="M74" s="179">
        <v>0</v>
      </c>
      <c r="N74" s="80">
        <f t="shared" si="26"/>
        <v>0</v>
      </c>
      <c r="O74" s="179">
        <v>0</v>
      </c>
      <c r="P74" s="80">
        <f t="shared" si="27"/>
        <v>0</v>
      </c>
      <c r="Q74" s="179">
        <v>0</v>
      </c>
      <c r="R74" s="80">
        <f t="shared" si="28"/>
        <v>0</v>
      </c>
      <c r="S74" s="179">
        <v>0</v>
      </c>
      <c r="T74" s="80">
        <f t="shared" si="29"/>
        <v>0</v>
      </c>
      <c r="U74" s="179">
        <v>0</v>
      </c>
      <c r="V74" s="80">
        <f t="shared" si="30"/>
        <v>0</v>
      </c>
      <c r="X74" s="200"/>
    </row>
    <row r="75" spans="1:24" ht="12.75" customHeight="1">
      <c r="A75" s="2" t="s">
        <v>406</v>
      </c>
      <c r="B75" s="35"/>
      <c r="C75" s="179">
        <v>500</v>
      </c>
      <c r="D75" s="80">
        <f t="shared" si="21"/>
        <v>5.0000000000000001E-3</v>
      </c>
      <c r="E75" s="179">
        <v>920</v>
      </c>
      <c r="F75" s="80">
        <f t="shared" si="22"/>
        <v>5.0000000000000001E-3</v>
      </c>
      <c r="G75" s="179">
        <v>938.4</v>
      </c>
      <c r="H75" s="80">
        <f t="shared" si="23"/>
        <v>5.0000000000000001E-3</v>
      </c>
      <c r="I75" s="179">
        <v>957.16800000000012</v>
      </c>
      <c r="J75" s="80">
        <f t="shared" si="24"/>
        <v>5.0000000000000001E-3</v>
      </c>
      <c r="K75" s="179">
        <v>976.31136000000004</v>
      </c>
      <c r="L75" s="80">
        <f t="shared" si="25"/>
        <v>5.0000000000000001E-3</v>
      </c>
      <c r="M75" s="179">
        <v>995.83758719999992</v>
      </c>
      <c r="N75" s="80">
        <f t="shared" si="26"/>
        <v>5.0000000000000001E-3</v>
      </c>
      <c r="O75" s="179">
        <v>1015.7543389440001</v>
      </c>
      <c r="P75" s="80">
        <f t="shared" si="27"/>
        <v>5.0000000000000001E-3</v>
      </c>
      <c r="Q75" s="179">
        <v>1036.0694257228802</v>
      </c>
      <c r="R75" s="80">
        <f t="shared" si="28"/>
        <v>5.0000000000000001E-3</v>
      </c>
      <c r="S75" s="179">
        <v>1056.7908142373378</v>
      </c>
      <c r="T75" s="80">
        <f t="shared" si="29"/>
        <v>5.0000000000000001E-3</v>
      </c>
      <c r="U75" s="179">
        <v>1077.9266305220845</v>
      </c>
      <c r="V75" s="80">
        <f t="shared" si="30"/>
        <v>4.9999999999999992E-3</v>
      </c>
      <c r="X75" s="200"/>
    </row>
    <row r="76" spans="1:24" ht="12.75" customHeight="1">
      <c r="A76" s="2" t="s">
        <v>407</v>
      </c>
      <c r="B76" s="35"/>
      <c r="C76" s="179">
        <v>40</v>
      </c>
      <c r="D76" s="80">
        <f t="shared" si="21"/>
        <v>4.0000000000000002E-4</v>
      </c>
      <c r="E76" s="179">
        <v>73.600000000000009</v>
      </c>
      <c r="F76" s="80">
        <f t="shared" si="22"/>
        <v>4.0000000000000007E-4</v>
      </c>
      <c r="G76" s="179">
        <v>75.072000000000003</v>
      </c>
      <c r="H76" s="80">
        <f t="shared" si="23"/>
        <v>4.0000000000000002E-4</v>
      </c>
      <c r="I76" s="179">
        <v>76.573440000000005</v>
      </c>
      <c r="J76" s="80">
        <f t="shared" si="24"/>
        <v>4.0000000000000002E-4</v>
      </c>
      <c r="K76" s="179">
        <v>78.104908800000004</v>
      </c>
      <c r="L76" s="80">
        <f t="shared" si="25"/>
        <v>4.0000000000000002E-4</v>
      </c>
      <c r="M76" s="179">
        <v>79.667006975999996</v>
      </c>
      <c r="N76" s="80">
        <f t="shared" si="26"/>
        <v>3.9999999999999996E-4</v>
      </c>
      <c r="O76" s="179">
        <v>81.260347115520005</v>
      </c>
      <c r="P76" s="80">
        <f t="shared" si="27"/>
        <v>4.0000000000000002E-4</v>
      </c>
      <c r="Q76" s="179">
        <v>82.885554057830419</v>
      </c>
      <c r="R76" s="80">
        <f t="shared" si="28"/>
        <v>4.0000000000000002E-4</v>
      </c>
      <c r="S76" s="179">
        <v>84.543265138987024</v>
      </c>
      <c r="T76" s="80">
        <f t="shared" si="29"/>
        <v>4.0000000000000002E-4</v>
      </c>
      <c r="U76" s="179">
        <v>86.23413044176678</v>
      </c>
      <c r="V76" s="80">
        <f t="shared" si="30"/>
        <v>4.0000000000000007E-4</v>
      </c>
      <c r="X76" s="200"/>
    </row>
    <row r="77" spans="1:24" ht="12.75" customHeight="1">
      <c r="A77" s="2" t="s">
        <v>408</v>
      </c>
      <c r="B77" s="35"/>
      <c r="C77" s="179">
        <v>129.99999999999997</v>
      </c>
      <c r="D77" s="80">
        <f t="shared" si="21"/>
        <v>1.2999999999999997E-3</v>
      </c>
      <c r="E77" s="179">
        <v>239.2</v>
      </c>
      <c r="F77" s="80">
        <f t="shared" si="22"/>
        <v>1.2999999999999999E-3</v>
      </c>
      <c r="G77" s="179">
        <v>243.98399999999995</v>
      </c>
      <c r="H77" s="80">
        <f t="shared" si="23"/>
        <v>1.2999999999999997E-3</v>
      </c>
      <c r="I77" s="179">
        <v>248.86367999999999</v>
      </c>
      <c r="J77" s="80">
        <f t="shared" si="24"/>
        <v>1.2999999999999999E-3</v>
      </c>
      <c r="K77" s="179">
        <v>253.84095359999998</v>
      </c>
      <c r="L77" s="80">
        <f t="shared" si="25"/>
        <v>1.2999999999999999E-3</v>
      </c>
      <c r="M77" s="179">
        <v>258.91777267199996</v>
      </c>
      <c r="N77" s="80">
        <f t="shared" si="26"/>
        <v>1.2999999999999997E-3</v>
      </c>
      <c r="O77" s="179">
        <v>264.09612812543998</v>
      </c>
      <c r="P77" s="80">
        <f t="shared" si="27"/>
        <v>1.2999999999999997E-3</v>
      </c>
      <c r="Q77" s="179">
        <v>269.37805068794881</v>
      </c>
      <c r="R77" s="80">
        <f t="shared" si="28"/>
        <v>1.2999999999999999E-3</v>
      </c>
      <c r="S77" s="179">
        <v>274.76561170170777</v>
      </c>
      <c r="T77" s="80">
        <f t="shared" si="29"/>
        <v>1.2999999999999997E-3</v>
      </c>
      <c r="U77" s="179">
        <v>280.26092393574197</v>
      </c>
      <c r="V77" s="80">
        <f t="shared" si="30"/>
        <v>1.2999999999999999E-3</v>
      </c>
      <c r="X77" s="200"/>
    </row>
    <row r="78" spans="1:24" ht="12.75" customHeight="1">
      <c r="A78" s="2" t="s">
        <v>409</v>
      </c>
      <c r="B78" s="35"/>
      <c r="C78" s="179">
        <v>2199.9999999999995</v>
      </c>
      <c r="D78" s="80">
        <f t="shared" si="21"/>
        <v>2.1999999999999995E-2</v>
      </c>
      <c r="E78" s="179">
        <v>4048</v>
      </c>
      <c r="F78" s="80">
        <f t="shared" si="22"/>
        <v>2.1999999999999999E-2</v>
      </c>
      <c r="G78" s="179">
        <v>4128.9599999999991</v>
      </c>
      <c r="H78" s="80">
        <f t="shared" si="23"/>
        <v>2.1999999999999995E-2</v>
      </c>
      <c r="I78" s="179">
        <v>4211.5391999999993</v>
      </c>
      <c r="J78" s="80">
        <f t="shared" si="24"/>
        <v>2.1999999999999995E-2</v>
      </c>
      <c r="K78" s="179">
        <v>4295.7699839999996</v>
      </c>
      <c r="L78" s="80">
        <f t="shared" si="25"/>
        <v>2.1999999999999999E-2</v>
      </c>
      <c r="M78" s="179">
        <v>4381.6853836800001</v>
      </c>
      <c r="N78" s="80">
        <f t="shared" si="26"/>
        <v>2.2000000000000002E-2</v>
      </c>
      <c r="O78" s="179">
        <v>4469.3190913536</v>
      </c>
      <c r="P78" s="80">
        <f t="shared" si="27"/>
        <v>2.1999999999999999E-2</v>
      </c>
      <c r="Q78" s="179">
        <v>4558.705473180672</v>
      </c>
      <c r="R78" s="80">
        <f t="shared" si="28"/>
        <v>2.1999999999999999E-2</v>
      </c>
      <c r="S78" s="179">
        <v>4649.8795826442856</v>
      </c>
      <c r="T78" s="80">
        <f t="shared" si="29"/>
        <v>2.1999999999999999E-2</v>
      </c>
      <c r="U78" s="179">
        <v>4742.8771742971721</v>
      </c>
      <c r="V78" s="80">
        <f t="shared" si="30"/>
        <v>2.1999999999999999E-2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1"/>
        <v>0</v>
      </c>
      <c r="E79" s="179">
        <v>0</v>
      </c>
      <c r="F79" s="80">
        <f t="shared" si="22"/>
        <v>0</v>
      </c>
      <c r="G79" s="179">
        <v>0</v>
      </c>
      <c r="H79" s="80">
        <f t="shared" si="23"/>
        <v>0</v>
      </c>
      <c r="I79" s="179">
        <v>0</v>
      </c>
      <c r="J79" s="80">
        <f t="shared" si="24"/>
        <v>0</v>
      </c>
      <c r="K79" s="179">
        <v>0</v>
      </c>
      <c r="L79" s="80">
        <f t="shared" si="25"/>
        <v>0</v>
      </c>
      <c r="M79" s="179">
        <v>0</v>
      </c>
      <c r="N79" s="80">
        <f t="shared" si="26"/>
        <v>0</v>
      </c>
      <c r="O79" s="179">
        <v>0</v>
      </c>
      <c r="P79" s="80">
        <f t="shared" si="27"/>
        <v>0</v>
      </c>
      <c r="Q79" s="179">
        <v>0</v>
      </c>
      <c r="R79" s="80">
        <f t="shared" si="28"/>
        <v>0</v>
      </c>
      <c r="S79" s="179">
        <v>0</v>
      </c>
      <c r="T79" s="80">
        <f t="shared" si="29"/>
        <v>0</v>
      </c>
      <c r="U79" s="179">
        <v>0</v>
      </c>
      <c r="V79" s="80">
        <f t="shared" si="30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1"/>
        <v>0</v>
      </c>
      <c r="E80" s="179">
        <v>0</v>
      </c>
      <c r="F80" s="80">
        <f t="shared" si="22"/>
        <v>0</v>
      </c>
      <c r="G80" s="179">
        <v>0</v>
      </c>
      <c r="H80" s="80">
        <f t="shared" si="23"/>
        <v>0</v>
      </c>
      <c r="I80" s="179">
        <v>0</v>
      </c>
      <c r="J80" s="80">
        <f t="shared" si="24"/>
        <v>0</v>
      </c>
      <c r="K80" s="179">
        <v>0</v>
      </c>
      <c r="L80" s="80">
        <f t="shared" si="25"/>
        <v>0</v>
      </c>
      <c r="M80" s="179">
        <v>0</v>
      </c>
      <c r="N80" s="80">
        <f t="shared" si="26"/>
        <v>0</v>
      </c>
      <c r="O80" s="179">
        <v>0</v>
      </c>
      <c r="P80" s="80">
        <f t="shared" si="27"/>
        <v>0</v>
      </c>
      <c r="Q80" s="179">
        <v>0</v>
      </c>
      <c r="R80" s="80">
        <f t="shared" si="28"/>
        <v>0</v>
      </c>
      <c r="S80" s="179">
        <v>0</v>
      </c>
      <c r="T80" s="80">
        <f t="shared" si="29"/>
        <v>0</v>
      </c>
      <c r="U80" s="179">
        <v>0</v>
      </c>
      <c r="V80" s="80">
        <f t="shared" si="30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1"/>
        <v>0</v>
      </c>
      <c r="E81" s="179">
        <v>0</v>
      </c>
      <c r="F81" s="80">
        <f t="shared" si="22"/>
        <v>0</v>
      </c>
      <c r="G81" s="179">
        <v>0</v>
      </c>
      <c r="H81" s="80">
        <f t="shared" si="23"/>
        <v>0</v>
      </c>
      <c r="I81" s="179">
        <v>0</v>
      </c>
      <c r="J81" s="80">
        <f t="shared" si="24"/>
        <v>0</v>
      </c>
      <c r="K81" s="179">
        <v>0</v>
      </c>
      <c r="L81" s="80">
        <f t="shared" si="25"/>
        <v>0</v>
      </c>
      <c r="M81" s="179">
        <v>0</v>
      </c>
      <c r="N81" s="80">
        <f t="shared" si="26"/>
        <v>0</v>
      </c>
      <c r="O81" s="179">
        <v>0</v>
      </c>
      <c r="P81" s="80">
        <f t="shared" si="27"/>
        <v>0</v>
      </c>
      <c r="Q81" s="179">
        <v>0</v>
      </c>
      <c r="R81" s="80">
        <f t="shared" si="28"/>
        <v>0</v>
      </c>
      <c r="S81" s="179">
        <v>0</v>
      </c>
      <c r="T81" s="80">
        <f t="shared" si="29"/>
        <v>0</v>
      </c>
      <c r="U81" s="179">
        <v>0</v>
      </c>
      <c r="V81" s="80">
        <f t="shared" si="30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1"/>
        <v>0</v>
      </c>
      <c r="E82" s="179">
        <v>0</v>
      </c>
      <c r="F82" s="80">
        <f t="shared" si="22"/>
        <v>0</v>
      </c>
      <c r="G82" s="179">
        <v>0</v>
      </c>
      <c r="H82" s="80">
        <f t="shared" si="23"/>
        <v>0</v>
      </c>
      <c r="I82" s="179">
        <v>0</v>
      </c>
      <c r="J82" s="80">
        <f t="shared" si="24"/>
        <v>0</v>
      </c>
      <c r="K82" s="179">
        <v>0</v>
      </c>
      <c r="L82" s="80">
        <f t="shared" si="25"/>
        <v>0</v>
      </c>
      <c r="M82" s="179">
        <v>0</v>
      </c>
      <c r="N82" s="80">
        <f t="shared" si="26"/>
        <v>0</v>
      </c>
      <c r="O82" s="179">
        <v>0</v>
      </c>
      <c r="P82" s="80">
        <f t="shared" si="27"/>
        <v>0</v>
      </c>
      <c r="Q82" s="179">
        <v>0</v>
      </c>
      <c r="R82" s="80">
        <f t="shared" si="28"/>
        <v>0</v>
      </c>
      <c r="S82" s="179">
        <v>0</v>
      </c>
      <c r="T82" s="80">
        <f t="shared" si="29"/>
        <v>0</v>
      </c>
      <c r="U82" s="179">
        <v>0</v>
      </c>
      <c r="V82" s="80">
        <f t="shared" si="30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1"/>
        <v>0</v>
      </c>
      <c r="E83" s="179">
        <v>0</v>
      </c>
      <c r="F83" s="80">
        <f t="shared" si="22"/>
        <v>0</v>
      </c>
      <c r="G83" s="179">
        <v>0</v>
      </c>
      <c r="H83" s="80">
        <f t="shared" si="23"/>
        <v>0</v>
      </c>
      <c r="I83" s="179">
        <v>0</v>
      </c>
      <c r="J83" s="80">
        <f t="shared" si="24"/>
        <v>0</v>
      </c>
      <c r="K83" s="179">
        <v>0</v>
      </c>
      <c r="L83" s="80">
        <f t="shared" si="25"/>
        <v>0</v>
      </c>
      <c r="M83" s="179">
        <v>0</v>
      </c>
      <c r="N83" s="80">
        <f t="shared" si="26"/>
        <v>0</v>
      </c>
      <c r="O83" s="179">
        <v>0</v>
      </c>
      <c r="P83" s="80">
        <f t="shared" si="27"/>
        <v>0</v>
      </c>
      <c r="Q83" s="179">
        <v>0</v>
      </c>
      <c r="R83" s="80">
        <f t="shared" si="28"/>
        <v>0</v>
      </c>
      <c r="S83" s="179">
        <v>0</v>
      </c>
      <c r="T83" s="80">
        <f t="shared" si="29"/>
        <v>0</v>
      </c>
      <c r="U83" s="179">
        <v>0</v>
      </c>
      <c r="V83" s="80">
        <f t="shared" si="30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1"/>
        <v>0</v>
      </c>
      <c r="E84" s="179">
        <v>0</v>
      </c>
      <c r="F84" s="80">
        <f t="shared" si="22"/>
        <v>0</v>
      </c>
      <c r="G84" s="179">
        <v>0</v>
      </c>
      <c r="H84" s="80">
        <f t="shared" si="23"/>
        <v>0</v>
      </c>
      <c r="I84" s="179">
        <v>0</v>
      </c>
      <c r="J84" s="80">
        <f t="shared" si="24"/>
        <v>0</v>
      </c>
      <c r="K84" s="179">
        <v>0</v>
      </c>
      <c r="L84" s="80">
        <f t="shared" si="25"/>
        <v>0</v>
      </c>
      <c r="M84" s="179">
        <v>0</v>
      </c>
      <c r="N84" s="80">
        <f t="shared" si="26"/>
        <v>0</v>
      </c>
      <c r="O84" s="179">
        <v>0</v>
      </c>
      <c r="P84" s="80">
        <f t="shared" si="27"/>
        <v>0</v>
      </c>
      <c r="Q84" s="179">
        <v>0</v>
      </c>
      <c r="R84" s="80">
        <f t="shared" si="28"/>
        <v>0</v>
      </c>
      <c r="S84" s="179">
        <v>0</v>
      </c>
      <c r="T84" s="80">
        <f t="shared" si="29"/>
        <v>0</v>
      </c>
      <c r="U84" s="179">
        <v>0</v>
      </c>
      <c r="V84" s="80">
        <f t="shared" si="30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1"/>
        <v>0</v>
      </c>
      <c r="E85" s="179">
        <v>0</v>
      </c>
      <c r="F85" s="80">
        <f t="shared" si="22"/>
        <v>0</v>
      </c>
      <c r="G85" s="179">
        <v>0</v>
      </c>
      <c r="H85" s="80">
        <f t="shared" si="23"/>
        <v>0</v>
      </c>
      <c r="I85" s="179">
        <v>0</v>
      </c>
      <c r="J85" s="80">
        <f t="shared" si="24"/>
        <v>0</v>
      </c>
      <c r="K85" s="179">
        <v>0</v>
      </c>
      <c r="L85" s="80">
        <f t="shared" si="25"/>
        <v>0</v>
      </c>
      <c r="M85" s="179">
        <v>0</v>
      </c>
      <c r="N85" s="80">
        <f t="shared" si="26"/>
        <v>0</v>
      </c>
      <c r="O85" s="179">
        <v>0</v>
      </c>
      <c r="P85" s="80">
        <f t="shared" si="27"/>
        <v>0</v>
      </c>
      <c r="Q85" s="179">
        <v>0</v>
      </c>
      <c r="R85" s="80">
        <f t="shared" si="28"/>
        <v>0</v>
      </c>
      <c r="S85" s="179">
        <v>0</v>
      </c>
      <c r="T85" s="80">
        <f t="shared" si="29"/>
        <v>0</v>
      </c>
      <c r="U85" s="179">
        <v>0</v>
      </c>
      <c r="V85" s="80">
        <f t="shared" si="30"/>
        <v>0</v>
      </c>
      <c r="X85" s="200"/>
    </row>
    <row r="86" spans="1:24" ht="12.75" customHeight="1">
      <c r="A86" s="2" t="s">
        <v>417</v>
      </c>
      <c r="B86" s="35"/>
      <c r="C86" s="179">
        <v>399.99999999999994</v>
      </c>
      <c r="D86" s="80">
        <f t="shared" si="21"/>
        <v>3.9999999999999992E-3</v>
      </c>
      <c r="E86" s="179">
        <v>736</v>
      </c>
      <c r="F86" s="80">
        <f t="shared" si="22"/>
        <v>4.0000000000000001E-3</v>
      </c>
      <c r="G86" s="179">
        <v>750.72</v>
      </c>
      <c r="H86" s="80">
        <f t="shared" si="23"/>
        <v>4.0000000000000001E-3</v>
      </c>
      <c r="I86" s="179">
        <v>765.73440000000005</v>
      </c>
      <c r="J86" s="80">
        <f t="shared" si="24"/>
        <v>4.0000000000000001E-3</v>
      </c>
      <c r="K86" s="179">
        <v>781.04908799999998</v>
      </c>
      <c r="L86" s="80">
        <f t="shared" si="25"/>
        <v>4.0000000000000001E-3</v>
      </c>
      <c r="M86" s="179">
        <v>796.67006975999993</v>
      </c>
      <c r="N86" s="80">
        <f t="shared" si="26"/>
        <v>4.0000000000000001E-3</v>
      </c>
      <c r="O86" s="179">
        <v>812.60347115520005</v>
      </c>
      <c r="P86" s="80">
        <f t="shared" si="27"/>
        <v>4.0000000000000001E-3</v>
      </c>
      <c r="Q86" s="179">
        <v>828.85554057830416</v>
      </c>
      <c r="R86" s="80">
        <f t="shared" si="28"/>
        <v>4.0000000000000001E-3</v>
      </c>
      <c r="S86" s="179">
        <v>845.43265138987022</v>
      </c>
      <c r="T86" s="80">
        <f t="shared" si="29"/>
        <v>4.0000000000000001E-3</v>
      </c>
      <c r="U86" s="179">
        <v>862.34130441766763</v>
      </c>
      <c r="V86" s="80">
        <f t="shared" si="30"/>
        <v>4.0000000000000001E-3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1"/>
        <v>0</v>
      </c>
      <c r="E87" s="179">
        <v>0</v>
      </c>
      <c r="F87" s="80">
        <f t="shared" si="22"/>
        <v>0</v>
      </c>
      <c r="G87" s="179">
        <v>0</v>
      </c>
      <c r="H87" s="80">
        <f t="shared" si="23"/>
        <v>0</v>
      </c>
      <c r="I87" s="179">
        <v>0</v>
      </c>
      <c r="J87" s="80">
        <f t="shared" si="24"/>
        <v>0</v>
      </c>
      <c r="K87" s="179">
        <v>0</v>
      </c>
      <c r="L87" s="80">
        <f t="shared" si="25"/>
        <v>0</v>
      </c>
      <c r="M87" s="179">
        <v>0</v>
      </c>
      <c r="N87" s="80">
        <f t="shared" si="26"/>
        <v>0</v>
      </c>
      <c r="O87" s="179">
        <v>0</v>
      </c>
      <c r="P87" s="80">
        <f t="shared" si="27"/>
        <v>0</v>
      </c>
      <c r="Q87" s="179">
        <v>0</v>
      </c>
      <c r="R87" s="80">
        <f t="shared" si="28"/>
        <v>0</v>
      </c>
      <c r="S87" s="179">
        <v>0</v>
      </c>
      <c r="T87" s="80">
        <f t="shared" si="29"/>
        <v>0</v>
      </c>
      <c r="U87" s="179">
        <v>0</v>
      </c>
      <c r="V87" s="80">
        <f t="shared" si="30"/>
        <v>0</v>
      </c>
      <c r="X87" s="200"/>
    </row>
    <row r="88" spans="1:24" ht="12.75" customHeight="1">
      <c r="A88" s="2" t="s">
        <v>419</v>
      </c>
      <c r="B88" s="35"/>
      <c r="C88" s="179">
        <v>510.00000000000006</v>
      </c>
      <c r="D88" s="80">
        <f t="shared" si="21"/>
        <v>5.1000000000000004E-3</v>
      </c>
      <c r="E88" s="179">
        <v>938.40000000000009</v>
      </c>
      <c r="F88" s="80">
        <f t="shared" si="22"/>
        <v>5.1000000000000004E-3</v>
      </c>
      <c r="G88" s="179">
        <v>957.16800000000012</v>
      </c>
      <c r="H88" s="80">
        <f t="shared" si="23"/>
        <v>5.1000000000000004E-3</v>
      </c>
      <c r="I88" s="179">
        <v>976.31136000000015</v>
      </c>
      <c r="J88" s="80">
        <f t="shared" si="24"/>
        <v>5.1000000000000004E-3</v>
      </c>
      <c r="K88" s="179">
        <v>995.83758720000003</v>
      </c>
      <c r="L88" s="80">
        <f t="shared" si="25"/>
        <v>5.1000000000000004E-3</v>
      </c>
      <c r="M88" s="179">
        <v>1015.7543389440001</v>
      </c>
      <c r="N88" s="80">
        <f t="shared" si="26"/>
        <v>5.1000000000000004E-3</v>
      </c>
      <c r="O88" s="179">
        <v>1036.0694257228802</v>
      </c>
      <c r="P88" s="80">
        <f t="shared" si="27"/>
        <v>5.1000000000000004E-3</v>
      </c>
      <c r="Q88" s="179">
        <v>1056.7908142373378</v>
      </c>
      <c r="R88" s="80">
        <f t="shared" si="28"/>
        <v>5.1000000000000004E-3</v>
      </c>
      <c r="S88" s="179">
        <v>1077.9266305220847</v>
      </c>
      <c r="T88" s="80">
        <f t="shared" si="29"/>
        <v>5.1000000000000004E-3</v>
      </c>
      <c r="U88" s="179">
        <v>1099.4851631325264</v>
      </c>
      <c r="V88" s="80">
        <f t="shared" si="30"/>
        <v>5.1000000000000004E-3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1"/>
        <v>0</v>
      </c>
      <c r="E89" s="179">
        <v>0</v>
      </c>
      <c r="F89" s="80">
        <f t="shared" si="22"/>
        <v>0</v>
      </c>
      <c r="G89" s="179">
        <v>0</v>
      </c>
      <c r="H89" s="80">
        <f t="shared" si="23"/>
        <v>0</v>
      </c>
      <c r="I89" s="179">
        <v>0</v>
      </c>
      <c r="J89" s="80">
        <f t="shared" si="24"/>
        <v>0</v>
      </c>
      <c r="K89" s="179">
        <v>0</v>
      </c>
      <c r="L89" s="80">
        <f t="shared" si="25"/>
        <v>0</v>
      </c>
      <c r="M89" s="179">
        <v>0</v>
      </c>
      <c r="N89" s="80">
        <f t="shared" si="26"/>
        <v>0</v>
      </c>
      <c r="O89" s="179">
        <v>0</v>
      </c>
      <c r="P89" s="80">
        <f t="shared" si="27"/>
        <v>0</v>
      </c>
      <c r="Q89" s="179">
        <v>0</v>
      </c>
      <c r="R89" s="80">
        <f t="shared" si="28"/>
        <v>0</v>
      </c>
      <c r="S89" s="179">
        <v>0</v>
      </c>
      <c r="T89" s="80">
        <f t="shared" si="29"/>
        <v>0</v>
      </c>
      <c r="U89" s="179">
        <v>0</v>
      </c>
      <c r="V89" s="80">
        <f t="shared" si="30"/>
        <v>0</v>
      </c>
      <c r="X89" s="200"/>
    </row>
    <row r="90" spans="1:24" ht="12.75" customHeight="1">
      <c r="A90" s="2" t="s">
        <v>421</v>
      </c>
      <c r="B90" s="35"/>
      <c r="C90" s="179">
        <v>20</v>
      </c>
      <c r="D90" s="80">
        <f t="shared" si="21"/>
        <v>2.0000000000000001E-4</v>
      </c>
      <c r="E90" s="179">
        <v>36.800000000000004</v>
      </c>
      <c r="F90" s="80">
        <f t="shared" si="22"/>
        <v>2.0000000000000004E-4</v>
      </c>
      <c r="G90" s="179">
        <v>37.536000000000001</v>
      </c>
      <c r="H90" s="80">
        <f t="shared" si="23"/>
        <v>2.0000000000000001E-4</v>
      </c>
      <c r="I90" s="179">
        <v>38.286720000000003</v>
      </c>
      <c r="J90" s="80">
        <f t="shared" si="24"/>
        <v>2.0000000000000001E-4</v>
      </c>
      <c r="K90" s="179">
        <v>39.052454400000002</v>
      </c>
      <c r="L90" s="80">
        <f t="shared" si="25"/>
        <v>2.0000000000000001E-4</v>
      </c>
      <c r="M90" s="179">
        <v>39.833503487999998</v>
      </c>
      <c r="N90" s="80">
        <f t="shared" si="26"/>
        <v>1.9999999999999998E-4</v>
      </c>
      <c r="O90" s="179">
        <v>40.630173557760003</v>
      </c>
      <c r="P90" s="80">
        <f t="shared" si="27"/>
        <v>2.0000000000000001E-4</v>
      </c>
      <c r="Q90" s="179">
        <v>41.442777028915209</v>
      </c>
      <c r="R90" s="80">
        <f t="shared" si="28"/>
        <v>2.0000000000000001E-4</v>
      </c>
      <c r="S90" s="179">
        <v>42.271632569493512</v>
      </c>
      <c r="T90" s="80">
        <f t="shared" si="29"/>
        <v>2.0000000000000001E-4</v>
      </c>
      <c r="U90" s="179">
        <v>43.11706522088339</v>
      </c>
      <c r="V90" s="80">
        <f t="shared" si="30"/>
        <v>2.0000000000000004E-4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21"/>
        <v>0</v>
      </c>
      <c r="E91" s="179">
        <v>0</v>
      </c>
      <c r="F91" s="80">
        <f t="shared" si="22"/>
        <v>0</v>
      </c>
      <c r="G91" s="179">
        <v>0</v>
      </c>
      <c r="H91" s="80">
        <f t="shared" si="23"/>
        <v>0</v>
      </c>
      <c r="I91" s="179">
        <v>0</v>
      </c>
      <c r="J91" s="80">
        <f t="shared" si="24"/>
        <v>0</v>
      </c>
      <c r="K91" s="179">
        <v>0</v>
      </c>
      <c r="L91" s="80">
        <f t="shared" si="25"/>
        <v>0</v>
      </c>
      <c r="M91" s="179">
        <v>0</v>
      </c>
      <c r="N91" s="80">
        <f t="shared" si="26"/>
        <v>0</v>
      </c>
      <c r="O91" s="179">
        <v>0</v>
      </c>
      <c r="P91" s="80">
        <f t="shared" si="27"/>
        <v>0</v>
      </c>
      <c r="Q91" s="179">
        <v>0</v>
      </c>
      <c r="R91" s="80">
        <f t="shared" si="28"/>
        <v>0</v>
      </c>
      <c r="S91" s="179">
        <v>0</v>
      </c>
      <c r="T91" s="80">
        <f t="shared" si="29"/>
        <v>0</v>
      </c>
      <c r="U91" s="179">
        <v>0</v>
      </c>
      <c r="V91" s="80">
        <f t="shared" si="30"/>
        <v>0</v>
      </c>
      <c r="X91" s="200"/>
    </row>
    <row r="92" spans="1:24" ht="12.75" customHeight="1">
      <c r="A92" s="2" t="s">
        <v>423</v>
      </c>
      <c r="B92" s="35"/>
      <c r="C92" s="179">
        <v>519.99999999999989</v>
      </c>
      <c r="D92" s="80">
        <f t="shared" si="21"/>
        <v>5.1999999999999989E-3</v>
      </c>
      <c r="E92" s="179">
        <v>956.8</v>
      </c>
      <c r="F92" s="80">
        <f t="shared" si="22"/>
        <v>5.1999999999999998E-3</v>
      </c>
      <c r="G92" s="179">
        <v>975.93599999999981</v>
      </c>
      <c r="H92" s="80">
        <f t="shared" si="23"/>
        <v>5.1999999999999989E-3</v>
      </c>
      <c r="I92" s="179">
        <v>995.45471999999995</v>
      </c>
      <c r="J92" s="80">
        <f t="shared" si="24"/>
        <v>5.1999999999999998E-3</v>
      </c>
      <c r="K92" s="179">
        <v>1015.3638143999999</v>
      </c>
      <c r="L92" s="80">
        <f t="shared" si="25"/>
        <v>5.1999999999999998E-3</v>
      </c>
      <c r="M92" s="179">
        <v>1035.6710906879998</v>
      </c>
      <c r="N92" s="80">
        <f t="shared" si="26"/>
        <v>5.1999999999999989E-3</v>
      </c>
      <c r="O92" s="179">
        <v>1056.3845125017599</v>
      </c>
      <c r="P92" s="80">
        <f t="shared" si="27"/>
        <v>5.1999999999999989E-3</v>
      </c>
      <c r="Q92" s="179">
        <v>1077.5122027517953</v>
      </c>
      <c r="R92" s="80">
        <f t="shared" si="28"/>
        <v>5.1999999999999998E-3</v>
      </c>
      <c r="S92" s="179">
        <v>1099.0624468068311</v>
      </c>
      <c r="T92" s="80">
        <f t="shared" si="29"/>
        <v>5.1999999999999989E-3</v>
      </c>
      <c r="U92" s="179">
        <v>1121.0436957429679</v>
      </c>
      <c r="V92" s="80">
        <f t="shared" si="30"/>
        <v>5.1999999999999998E-3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1"/>
        <v>0</v>
      </c>
      <c r="E93" s="179">
        <v>0</v>
      </c>
      <c r="F93" s="80">
        <f t="shared" si="22"/>
        <v>0</v>
      </c>
      <c r="G93" s="179">
        <v>0</v>
      </c>
      <c r="H93" s="80">
        <f t="shared" si="23"/>
        <v>0</v>
      </c>
      <c r="I93" s="179">
        <v>0</v>
      </c>
      <c r="J93" s="80">
        <f t="shared" si="24"/>
        <v>0</v>
      </c>
      <c r="K93" s="179">
        <v>0</v>
      </c>
      <c r="L93" s="80">
        <f t="shared" si="25"/>
        <v>0</v>
      </c>
      <c r="M93" s="179">
        <v>0</v>
      </c>
      <c r="N93" s="80">
        <f t="shared" si="26"/>
        <v>0</v>
      </c>
      <c r="O93" s="179">
        <v>0</v>
      </c>
      <c r="P93" s="80">
        <f t="shared" si="27"/>
        <v>0</v>
      </c>
      <c r="Q93" s="179">
        <v>0</v>
      </c>
      <c r="R93" s="80">
        <f t="shared" si="28"/>
        <v>0</v>
      </c>
      <c r="S93" s="179">
        <v>0</v>
      </c>
      <c r="T93" s="80">
        <f t="shared" si="29"/>
        <v>0</v>
      </c>
      <c r="U93" s="179">
        <v>0</v>
      </c>
      <c r="V93" s="80">
        <f t="shared" si="30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1"/>
        <v>0</v>
      </c>
      <c r="E94" s="179">
        <v>0</v>
      </c>
      <c r="F94" s="80">
        <f t="shared" si="22"/>
        <v>0</v>
      </c>
      <c r="G94" s="179">
        <v>0</v>
      </c>
      <c r="H94" s="80">
        <f t="shared" si="23"/>
        <v>0</v>
      </c>
      <c r="I94" s="179">
        <v>0</v>
      </c>
      <c r="J94" s="80">
        <f t="shared" si="24"/>
        <v>0</v>
      </c>
      <c r="K94" s="179">
        <v>0</v>
      </c>
      <c r="L94" s="80">
        <f t="shared" si="25"/>
        <v>0</v>
      </c>
      <c r="M94" s="179">
        <v>0</v>
      </c>
      <c r="N94" s="80">
        <f t="shared" si="26"/>
        <v>0</v>
      </c>
      <c r="O94" s="179">
        <v>0</v>
      </c>
      <c r="P94" s="80">
        <f t="shared" si="27"/>
        <v>0</v>
      </c>
      <c r="Q94" s="179">
        <v>0</v>
      </c>
      <c r="R94" s="80">
        <f t="shared" si="28"/>
        <v>0</v>
      </c>
      <c r="S94" s="179">
        <v>0</v>
      </c>
      <c r="T94" s="80">
        <f t="shared" si="29"/>
        <v>0</v>
      </c>
      <c r="U94" s="179">
        <v>0</v>
      </c>
      <c r="V94" s="80">
        <f t="shared" si="30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1"/>
        <v>0</v>
      </c>
      <c r="E95" s="179">
        <v>0</v>
      </c>
      <c r="F95" s="80">
        <f t="shared" si="22"/>
        <v>0</v>
      </c>
      <c r="G95" s="179">
        <v>0</v>
      </c>
      <c r="H95" s="80">
        <f t="shared" si="23"/>
        <v>0</v>
      </c>
      <c r="I95" s="179">
        <v>0</v>
      </c>
      <c r="J95" s="80">
        <f t="shared" si="24"/>
        <v>0</v>
      </c>
      <c r="K95" s="179">
        <v>0</v>
      </c>
      <c r="L95" s="80">
        <f t="shared" si="25"/>
        <v>0</v>
      </c>
      <c r="M95" s="179">
        <v>0</v>
      </c>
      <c r="N95" s="80">
        <f t="shared" si="26"/>
        <v>0</v>
      </c>
      <c r="O95" s="179">
        <v>0</v>
      </c>
      <c r="P95" s="80">
        <f t="shared" si="27"/>
        <v>0</v>
      </c>
      <c r="Q95" s="179">
        <v>0</v>
      </c>
      <c r="R95" s="80">
        <f t="shared" si="28"/>
        <v>0</v>
      </c>
      <c r="S95" s="179">
        <v>0</v>
      </c>
      <c r="T95" s="80">
        <f t="shared" si="29"/>
        <v>0</v>
      </c>
      <c r="U95" s="179">
        <v>0</v>
      </c>
      <c r="V95" s="80">
        <f t="shared" si="30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1"/>
        <v>0</v>
      </c>
      <c r="E96" s="179">
        <v>0</v>
      </c>
      <c r="F96" s="80">
        <f t="shared" si="22"/>
        <v>0</v>
      </c>
      <c r="G96" s="179">
        <v>0</v>
      </c>
      <c r="H96" s="80">
        <f t="shared" si="23"/>
        <v>0</v>
      </c>
      <c r="I96" s="179">
        <v>0</v>
      </c>
      <c r="J96" s="80">
        <f t="shared" si="24"/>
        <v>0</v>
      </c>
      <c r="K96" s="179">
        <v>0</v>
      </c>
      <c r="L96" s="80">
        <f t="shared" si="25"/>
        <v>0</v>
      </c>
      <c r="M96" s="179">
        <v>0</v>
      </c>
      <c r="N96" s="80">
        <f t="shared" si="26"/>
        <v>0</v>
      </c>
      <c r="O96" s="179">
        <v>0</v>
      </c>
      <c r="P96" s="80">
        <f t="shared" si="27"/>
        <v>0</v>
      </c>
      <c r="Q96" s="179">
        <v>0</v>
      </c>
      <c r="R96" s="80">
        <f t="shared" si="28"/>
        <v>0</v>
      </c>
      <c r="S96" s="179">
        <v>0</v>
      </c>
      <c r="T96" s="80">
        <f t="shared" si="29"/>
        <v>0</v>
      </c>
      <c r="U96" s="179">
        <v>0</v>
      </c>
      <c r="V96" s="80">
        <f t="shared" si="30"/>
        <v>0</v>
      </c>
      <c r="X96" s="200"/>
    </row>
    <row r="97" spans="1:24" ht="12.75" customHeight="1">
      <c r="A97" s="2" t="s">
        <v>428</v>
      </c>
      <c r="B97" s="35"/>
      <c r="C97" s="179">
        <v>3418.8081999999999</v>
      </c>
      <c r="D97" s="80">
        <f t="shared" si="21"/>
        <v>3.4188082000000002E-2</v>
      </c>
      <c r="E97" s="179">
        <v>3504.2784049999996</v>
      </c>
      <c r="F97" s="80">
        <f t="shared" si="22"/>
        <v>1.9044991331521738E-2</v>
      </c>
      <c r="G97" s="179">
        <v>2740.9281491749994</v>
      </c>
      <c r="H97" s="80">
        <f t="shared" si="23"/>
        <v>1.4604263369432009E-2</v>
      </c>
      <c r="I97" s="179">
        <v>2828.6378499485995</v>
      </c>
      <c r="J97" s="80">
        <f t="shared" si="24"/>
        <v>1.4776078232601797E-2</v>
      </c>
      <c r="K97" s="179">
        <v>2899.3537961973143</v>
      </c>
      <c r="L97" s="80">
        <f t="shared" si="25"/>
        <v>1.4848509988643963E-2</v>
      </c>
      <c r="M97" s="179">
        <v>2971.8376411022468</v>
      </c>
      <c r="N97" s="80">
        <f t="shared" si="26"/>
        <v>1.4921296802313784E-2</v>
      </c>
      <c r="O97" s="179">
        <v>3046.1335821298026</v>
      </c>
      <c r="P97" s="80">
        <f t="shared" si="27"/>
        <v>1.499444041408983E-2</v>
      </c>
      <c r="Q97" s="179">
        <v>3122.2869216830472</v>
      </c>
      <c r="R97" s="80">
        <f t="shared" si="28"/>
        <v>1.5067942572982423E-2</v>
      </c>
      <c r="S97" s="179">
        <v>3200.3440947251233</v>
      </c>
      <c r="T97" s="80">
        <f t="shared" si="29"/>
        <v>1.5141805036575473E-2</v>
      </c>
      <c r="U97" s="179">
        <v>3280.3526970932512</v>
      </c>
      <c r="V97" s="80">
        <f t="shared" si="30"/>
        <v>1.5216029571068488E-2</v>
      </c>
      <c r="X97" s="200"/>
    </row>
    <row r="98" spans="1:24" ht="12.75" customHeight="1">
      <c r="A98" s="117" t="s">
        <v>431</v>
      </c>
      <c r="B98" s="35"/>
      <c r="C98" s="179">
        <v>119.99999999999997</v>
      </c>
      <c r="D98" s="80">
        <f t="shared" si="21"/>
        <v>1.1999999999999997E-3</v>
      </c>
      <c r="E98" s="179">
        <v>220.79999999999998</v>
      </c>
      <c r="F98" s="80">
        <f t="shared" si="22"/>
        <v>1.1999999999999999E-3</v>
      </c>
      <c r="G98" s="179">
        <v>225.21599999999998</v>
      </c>
      <c r="H98" s="80">
        <f t="shared" si="23"/>
        <v>1.1999999999999999E-3</v>
      </c>
      <c r="I98" s="179">
        <v>229.72031999999999</v>
      </c>
      <c r="J98" s="80">
        <f t="shared" si="24"/>
        <v>1.1999999999999999E-3</v>
      </c>
      <c r="K98" s="179">
        <v>234.31472639999996</v>
      </c>
      <c r="L98" s="80">
        <f t="shared" si="25"/>
        <v>1.1999999999999999E-3</v>
      </c>
      <c r="M98" s="179">
        <v>239.00102092799997</v>
      </c>
      <c r="N98" s="80">
        <f t="shared" si="26"/>
        <v>1.1999999999999999E-3</v>
      </c>
      <c r="O98" s="179">
        <v>243.78104134655999</v>
      </c>
      <c r="P98" s="80">
        <f t="shared" si="27"/>
        <v>1.1999999999999999E-3</v>
      </c>
      <c r="Q98" s="179">
        <v>248.65666217349118</v>
      </c>
      <c r="R98" s="80">
        <f t="shared" si="28"/>
        <v>1.1999999999999999E-3</v>
      </c>
      <c r="S98" s="179">
        <v>253.62979541696106</v>
      </c>
      <c r="T98" s="80">
        <f t="shared" si="29"/>
        <v>1.1999999999999999E-3</v>
      </c>
      <c r="U98" s="179">
        <v>258.70239132530025</v>
      </c>
      <c r="V98" s="80">
        <f t="shared" si="30"/>
        <v>1.1999999999999997E-3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1"/>
        <v>0</v>
      </c>
      <c r="E99" s="179">
        <v>0</v>
      </c>
      <c r="F99" s="80">
        <f t="shared" si="22"/>
        <v>0</v>
      </c>
      <c r="G99" s="179">
        <v>0</v>
      </c>
      <c r="H99" s="80">
        <f t="shared" si="23"/>
        <v>0</v>
      </c>
      <c r="I99" s="179">
        <v>0</v>
      </c>
      <c r="J99" s="80">
        <f t="shared" si="24"/>
        <v>0</v>
      </c>
      <c r="K99" s="179">
        <v>0</v>
      </c>
      <c r="L99" s="80">
        <f t="shared" si="25"/>
        <v>0</v>
      </c>
      <c r="M99" s="179">
        <v>0</v>
      </c>
      <c r="N99" s="80">
        <f t="shared" si="26"/>
        <v>0</v>
      </c>
      <c r="O99" s="179">
        <v>0</v>
      </c>
      <c r="P99" s="80">
        <f t="shared" si="27"/>
        <v>0</v>
      </c>
      <c r="Q99" s="179">
        <v>0</v>
      </c>
      <c r="R99" s="80">
        <f t="shared" si="28"/>
        <v>0</v>
      </c>
      <c r="S99" s="179">
        <v>0</v>
      </c>
      <c r="T99" s="80">
        <f t="shared" si="29"/>
        <v>0</v>
      </c>
      <c r="U99" s="179">
        <v>0</v>
      </c>
      <c r="V99" s="80">
        <f t="shared" si="30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1"/>
        <v>0</v>
      </c>
      <c r="E100" s="179">
        <v>0</v>
      </c>
      <c r="F100" s="80">
        <f t="shared" si="22"/>
        <v>0</v>
      </c>
      <c r="G100" s="179">
        <v>0</v>
      </c>
      <c r="H100" s="80">
        <f t="shared" si="23"/>
        <v>0</v>
      </c>
      <c r="I100" s="179">
        <v>0</v>
      </c>
      <c r="J100" s="80">
        <f t="shared" si="24"/>
        <v>0</v>
      </c>
      <c r="K100" s="179">
        <v>0</v>
      </c>
      <c r="L100" s="80">
        <f t="shared" si="25"/>
        <v>0</v>
      </c>
      <c r="M100" s="179">
        <v>0</v>
      </c>
      <c r="N100" s="80">
        <f t="shared" si="26"/>
        <v>0</v>
      </c>
      <c r="O100" s="179">
        <v>0</v>
      </c>
      <c r="P100" s="80">
        <f t="shared" si="27"/>
        <v>0</v>
      </c>
      <c r="Q100" s="179">
        <v>0</v>
      </c>
      <c r="R100" s="80">
        <f t="shared" si="28"/>
        <v>0</v>
      </c>
      <c r="S100" s="179">
        <v>0</v>
      </c>
      <c r="T100" s="80">
        <f t="shared" si="29"/>
        <v>0</v>
      </c>
      <c r="U100" s="179">
        <v>0</v>
      </c>
      <c r="V100" s="80">
        <f t="shared" si="30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1"/>
        <v>0</v>
      </c>
      <c r="E101" s="179"/>
      <c r="F101" s="80">
        <f t="shared" si="22"/>
        <v>0</v>
      </c>
      <c r="G101" s="179"/>
      <c r="H101" s="80">
        <f t="shared" si="23"/>
        <v>0</v>
      </c>
      <c r="I101" s="179">
        <v>0</v>
      </c>
      <c r="J101" s="80">
        <f t="shared" si="24"/>
        <v>0</v>
      </c>
      <c r="K101" s="179">
        <v>0</v>
      </c>
      <c r="L101" s="80">
        <f t="shared" si="25"/>
        <v>0</v>
      </c>
      <c r="M101" s="179">
        <v>0</v>
      </c>
      <c r="N101" s="80">
        <f t="shared" si="26"/>
        <v>0</v>
      </c>
      <c r="O101" s="179">
        <v>0</v>
      </c>
      <c r="P101" s="80">
        <f t="shared" si="27"/>
        <v>0</v>
      </c>
      <c r="Q101" s="179">
        <v>0</v>
      </c>
      <c r="R101" s="80">
        <f t="shared" si="28"/>
        <v>0</v>
      </c>
      <c r="S101" s="179">
        <v>0</v>
      </c>
      <c r="T101" s="80">
        <f t="shared" si="29"/>
        <v>0</v>
      </c>
      <c r="U101" s="179">
        <v>0</v>
      </c>
      <c r="V101" s="80">
        <f t="shared" si="30"/>
        <v>0</v>
      </c>
      <c r="X101" s="200"/>
    </row>
    <row r="102" spans="1:24" ht="12.75" customHeight="1">
      <c r="A102" s="117" t="s">
        <v>433</v>
      </c>
      <c r="B102" s="35"/>
      <c r="C102" s="179">
        <v>1000</v>
      </c>
      <c r="D102" s="80">
        <f t="shared" si="21"/>
        <v>0.01</v>
      </c>
      <c r="E102" s="179">
        <v>1840</v>
      </c>
      <c r="F102" s="80">
        <f t="shared" si="22"/>
        <v>0.01</v>
      </c>
      <c r="G102" s="179">
        <v>1876.8</v>
      </c>
      <c r="H102" s="80">
        <f t="shared" si="23"/>
        <v>0.01</v>
      </c>
      <c r="I102" s="179">
        <v>1914.3360000000002</v>
      </c>
      <c r="J102" s="80">
        <f t="shared" si="24"/>
        <v>0.01</v>
      </c>
      <c r="K102" s="179">
        <v>1952.6227200000001</v>
      </c>
      <c r="L102" s="80">
        <f t="shared" si="25"/>
        <v>0.01</v>
      </c>
      <c r="M102" s="179">
        <v>1991.6751743999998</v>
      </c>
      <c r="N102" s="80">
        <f t="shared" si="26"/>
        <v>0.01</v>
      </c>
      <c r="O102" s="179">
        <v>2031.5086778880002</v>
      </c>
      <c r="P102" s="80">
        <f t="shared" si="27"/>
        <v>0.01</v>
      </c>
      <c r="Q102" s="179">
        <v>2072.1388514457603</v>
      </c>
      <c r="R102" s="80">
        <f t="shared" si="28"/>
        <v>0.01</v>
      </c>
      <c r="S102" s="179">
        <v>2113.5816284746757</v>
      </c>
      <c r="T102" s="80">
        <f t="shared" si="29"/>
        <v>0.01</v>
      </c>
      <c r="U102" s="179">
        <v>2155.8532610441689</v>
      </c>
      <c r="V102" s="80">
        <f t="shared" si="30"/>
        <v>9.9999999999999985E-3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1"/>
        <v>0</v>
      </c>
      <c r="E103" s="179">
        <v>0</v>
      </c>
      <c r="F103" s="80">
        <f t="shared" si="22"/>
        <v>0</v>
      </c>
      <c r="G103" s="179">
        <v>0</v>
      </c>
      <c r="H103" s="80">
        <f t="shared" si="23"/>
        <v>0</v>
      </c>
      <c r="I103" s="179">
        <v>0</v>
      </c>
      <c r="J103" s="80">
        <f t="shared" si="24"/>
        <v>0</v>
      </c>
      <c r="K103" s="179">
        <v>0</v>
      </c>
      <c r="L103" s="80">
        <f t="shared" si="25"/>
        <v>0</v>
      </c>
      <c r="M103" s="179">
        <v>0</v>
      </c>
      <c r="N103" s="80">
        <f t="shared" si="26"/>
        <v>0</v>
      </c>
      <c r="O103" s="179">
        <v>0</v>
      </c>
      <c r="P103" s="80">
        <f t="shared" si="27"/>
        <v>0</v>
      </c>
      <c r="Q103" s="179">
        <v>0</v>
      </c>
      <c r="R103" s="80">
        <f t="shared" si="28"/>
        <v>0</v>
      </c>
      <c r="S103" s="179">
        <v>0</v>
      </c>
      <c r="T103" s="80">
        <f t="shared" si="29"/>
        <v>0</v>
      </c>
      <c r="U103" s="179">
        <v>0</v>
      </c>
      <c r="V103" s="80">
        <f t="shared" si="30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1"/>
        <v>0</v>
      </c>
      <c r="E104" s="179">
        <v>0</v>
      </c>
      <c r="F104" s="80">
        <f t="shared" si="22"/>
        <v>0</v>
      </c>
      <c r="G104" s="179">
        <v>0</v>
      </c>
      <c r="H104" s="80">
        <f t="shared" si="23"/>
        <v>0</v>
      </c>
      <c r="I104" s="179">
        <v>0</v>
      </c>
      <c r="J104" s="80">
        <f t="shared" si="24"/>
        <v>0</v>
      </c>
      <c r="K104" s="179">
        <v>0</v>
      </c>
      <c r="L104" s="80">
        <f t="shared" si="25"/>
        <v>0</v>
      </c>
      <c r="M104" s="179">
        <v>0</v>
      </c>
      <c r="N104" s="80">
        <f t="shared" si="26"/>
        <v>0</v>
      </c>
      <c r="O104" s="179">
        <v>0</v>
      </c>
      <c r="P104" s="80">
        <f t="shared" si="27"/>
        <v>0</v>
      </c>
      <c r="Q104" s="179">
        <v>0</v>
      </c>
      <c r="R104" s="80">
        <f t="shared" si="28"/>
        <v>0</v>
      </c>
      <c r="S104" s="179">
        <v>0</v>
      </c>
      <c r="T104" s="80">
        <f t="shared" si="29"/>
        <v>0</v>
      </c>
      <c r="U104" s="179">
        <v>0</v>
      </c>
      <c r="V104" s="80">
        <f t="shared" si="30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12842.051754917113</v>
      </c>
      <c r="D105" s="83">
        <f t="shared" ref="D105" si="31">IFERROR(C105/C$28,0)</f>
        <v>0.12842051754917114</v>
      </c>
      <c r="E105" s="82">
        <f>SUM(E52:E104)</f>
        <v>19745.465368504465</v>
      </c>
      <c r="F105" s="83">
        <f t="shared" ref="F105" si="32">IFERROR(E105/E$28,0)</f>
        <v>0.10731231178535035</v>
      </c>
      <c r="G105" s="82">
        <f>SUM(G52:G104)</f>
        <v>19521.874673735976</v>
      </c>
      <c r="H105" s="83">
        <f t="shared" ref="H105" si="33">IFERROR(G105/G$28,0)</f>
        <v>0.10401680879015332</v>
      </c>
      <c r="I105" s="82">
        <f>SUM(I52:I104)</f>
        <v>19930.293447250315</v>
      </c>
      <c r="J105" s="83">
        <f t="shared" ref="J105" si="34">IFERROR(I105/I$28,0)</f>
        <v>0.10411073838265755</v>
      </c>
      <c r="K105" s="82">
        <f>SUM(K52:K104)</f>
        <v>20323.198493121279</v>
      </c>
      <c r="L105" s="83">
        <f t="shared" ref="L105" si="35">IFERROR(K105/K$28,0)</f>
        <v>0.10408154266033164</v>
      </c>
      <c r="M105" s="82">
        <f>SUM(M52:M104)</f>
        <v>20740.507334836522</v>
      </c>
      <c r="N105" s="83">
        <f t="shared" ref="N105" si="36">IFERROR(M105/M$28,0)</f>
        <v>0.10413599366716353</v>
      </c>
      <c r="O105" s="82">
        <f>SUM(O52:O104)</f>
        <v>21166.557092323816</v>
      </c>
      <c r="P105" s="83">
        <f t="shared" ref="P105" si="37">IFERROR(O105/O$28,0)</f>
        <v>0.10419132008989999</v>
      </c>
      <c r="Q105" s="82">
        <f>SUM(Q52:Q104)</f>
        <v>21601.470370464616</v>
      </c>
      <c r="R105" s="83">
        <f t="shared" ref="R105" si="38">IFERROR(Q105/Q$28,0)</f>
        <v>0.10424721468541052</v>
      </c>
      <c r="S105" s="82">
        <f>SUM(S52:S104)</f>
        <v>22045.373854678503</v>
      </c>
      <c r="T105" s="83">
        <f t="shared" ref="T105" si="39">IFERROR(S105/S$28,0)</f>
        <v>0.10430339456814902</v>
      </c>
      <c r="U105" s="82">
        <f>SUM(U52:U104)</f>
        <v>22569.667305605177</v>
      </c>
      <c r="V105" s="83">
        <f t="shared" si="30"/>
        <v>0.10469018329509937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-40839.983754917113</v>
      </c>
      <c r="D107" s="83">
        <f>IFERROR(C107/C$28,0)</f>
        <v>-0.40839983754917114</v>
      </c>
      <c r="E107" s="82">
        <f>E28-E33-E46-E105</f>
        <v>5346.6543314955452</v>
      </c>
      <c r="F107" s="83">
        <f>IFERROR(E107/E$28,0)</f>
        <v>2.9057903975519269E-2</v>
      </c>
      <c r="G107" s="82">
        <f>G28-G33-G46-G105</f>
        <v>28986.869215764033</v>
      </c>
      <c r="H107" s="83">
        <f>IFERROR(G107/G$28,0)</f>
        <v>0.154448365386637</v>
      </c>
      <c r="I107" s="82">
        <f>I28-I33-I46-I105</f>
        <v>28644.304646713714</v>
      </c>
      <c r="J107" s="83">
        <f>IFERROR(I107/I$28,0)</f>
        <v>0.14963049666680098</v>
      </c>
      <c r="K107" s="82">
        <f>K28-K33-K46-K105</f>
        <v>28834.033673191821</v>
      </c>
      <c r="L107" s="83">
        <f>IFERROR(K107/K$28,0)</f>
        <v>0.14766822785505548</v>
      </c>
      <c r="M107" s="82">
        <f>M28-M33-M46-M105</f>
        <v>29001.290138034401</v>
      </c>
      <c r="N107" s="83">
        <f>IFERROR(M107/M$28,0)</f>
        <v>0.14561255023310291</v>
      </c>
      <c r="O107" s="82">
        <f>O28-O33-O46-O105</f>
        <v>29161.532509816938</v>
      </c>
      <c r="P107" s="83">
        <f>IFERROR(O107/O$28,0)</f>
        <v>0.14354618726085822</v>
      </c>
      <c r="Q107" s="82">
        <f>Q28-Q33-Q46-Q105</f>
        <v>29314.423608026606</v>
      </c>
      <c r="R107" s="83">
        <f>IFERROR(Q107/Q$28,0)</f>
        <v>0.14146939809353762</v>
      </c>
      <c r="S107" s="82">
        <f>S28-S33-S46-S105</f>
        <v>29459.611652297928</v>
      </c>
      <c r="T107" s="83">
        <f>IFERROR(S107/S$28,0)</f>
        <v>0.13938241729304901</v>
      </c>
      <c r="U107" s="82">
        <f>U28-U33-U46-U105</f>
        <v>29525.460901649032</v>
      </c>
      <c r="V107" s="83">
        <f>IFERROR(U107/U$28,0)</f>
        <v>0.13695487274188886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494</v>
      </c>
      <c r="B119" s="47"/>
    </row>
    <row r="120" spans="1:22" ht="12.75" customHeight="1">
      <c r="A120" s="2" t="s">
        <v>495</v>
      </c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pageSetUpPr fitToPage="1"/>
  </sheetPr>
  <dimension ref="A1:P57"/>
  <sheetViews>
    <sheetView zoomScaleNormal="100" workbookViewId="0" xr3:uid="{51F8DEE0-4D01-5F28-A812-FC0BD7CAC4A5}">
      <selection activeCell="C5" sqref="C5"/>
    </sheetView>
  </sheetViews>
  <sheetFormatPr defaultColWidth="9.140625" defaultRowHeight="12.75"/>
  <cols>
    <col min="1" max="1" width="4.5703125" style="2" customWidth="1"/>
    <col min="2" max="2" width="5.5703125" style="2" customWidth="1"/>
    <col min="3" max="3" width="29.5703125" style="2" customWidth="1"/>
    <col min="4" max="13" width="12.5703125" style="2" customWidth="1"/>
    <col min="14" max="16" width="12.42578125" style="2" customWidth="1"/>
    <col min="17" max="16384" width="9.140625" style="2"/>
  </cols>
  <sheetData>
    <row r="1" spans="1:6" ht="15">
      <c r="A1" s="1" t="s">
        <v>0</v>
      </c>
      <c r="C1" s="9"/>
      <c r="D1" s="9"/>
      <c r="E1" s="10"/>
    </row>
    <row r="2" spans="1:6" ht="15">
      <c r="A2" s="1" t="s">
        <v>1</v>
      </c>
      <c r="C2" s="10"/>
      <c r="D2" s="10"/>
      <c r="E2" s="10"/>
    </row>
    <row r="3" spans="1:6" ht="15">
      <c r="A3" s="1" t="s">
        <v>101</v>
      </c>
      <c r="C3" s="10"/>
      <c r="D3" s="10"/>
      <c r="E3" s="10"/>
    </row>
    <row r="4" spans="1:6" ht="15">
      <c r="A4" s="1"/>
      <c r="C4" s="10"/>
      <c r="D4" s="10"/>
      <c r="E4" s="10"/>
    </row>
    <row r="5" spans="1:6" ht="15">
      <c r="A5" s="1" t="s">
        <v>16</v>
      </c>
      <c r="C5" s="109" t="s">
        <v>17</v>
      </c>
      <c r="D5" s="10"/>
      <c r="E5" s="10"/>
    </row>
    <row r="6" spans="1:6" ht="15">
      <c r="B6" s="1"/>
      <c r="C6" s="10"/>
      <c r="D6" s="10"/>
      <c r="E6" s="10"/>
    </row>
    <row r="7" spans="1:6">
      <c r="A7" s="108" t="s">
        <v>18</v>
      </c>
      <c r="B7" s="1" t="s">
        <v>102</v>
      </c>
    </row>
    <row r="8" spans="1:6">
      <c r="B8" s="4" t="s">
        <v>103</v>
      </c>
    </row>
    <row r="9" spans="1:6">
      <c r="B9" s="63"/>
    </row>
    <row r="10" spans="1:6">
      <c r="B10" s="1" t="s">
        <v>104</v>
      </c>
      <c r="E10" s="32" t="s">
        <v>105</v>
      </c>
    </row>
    <row r="11" spans="1:6">
      <c r="E11" s="32" t="s">
        <v>106</v>
      </c>
    </row>
    <row r="12" spans="1:6">
      <c r="B12" s="106" t="s">
        <v>107</v>
      </c>
      <c r="C12" s="5"/>
      <c r="D12" s="5"/>
      <c r="E12" s="11"/>
    </row>
    <row r="13" spans="1:6">
      <c r="B13" s="2" t="s">
        <v>108</v>
      </c>
    </row>
    <row r="14" spans="1:6">
      <c r="C14" s="2" t="s">
        <v>109</v>
      </c>
      <c r="E14" s="154">
        <v>13546700</v>
      </c>
      <c r="F14" s="2" t="s">
        <v>110</v>
      </c>
    </row>
    <row r="15" spans="1:6">
      <c r="C15" s="2" t="s">
        <v>111</v>
      </c>
      <c r="E15" s="154">
        <v>179800</v>
      </c>
      <c r="F15" s="2" t="s">
        <v>110</v>
      </c>
    </row>
    <row r="16" spans="1:6">
      <c r="C16" s="2" t="s">
        <v>112</v>
      </c>
      <c r="E16" s="13" t="s">
        <v>113</v>
      </c>
    </row>
    <row r="17" spans="2:13">
      <c r="B17" s="2" t="s">
        <v>114</v>
      </c>
      <c r="E17" s="13" t="s">
        <v>113</v>
      </c>
    </row>
    <row r="18" spans="2:13">
      <c r="B18" s="2" t="s">
        <v>115</v>
      </c>
      <c r="E18" s="153">
        <v>884700</v>
      </c>
      <c r="F18" s="2" t="s">
        <v>110</v>
      </c>
    </row>
    <row r="19" spans="2:13">
      <c r="B19" s="2" t="s">
        <v>116</v>
      </c>
      <c r="E19" s="153">
        <v>68170</v>
      </c>
      <c r="F19" s="2" t="s">
        <v>110</v>
      </c>
    </row>
    <row r="20" spans="2:13">
      <c r="B20" s="2" t="s">
        <v>71</v>
      </c>
      <c r="E20" s="153">
        <v>120400</v>
      </c>
      <c r="F20" s="2" t="s">
        <v>110</v>
      </c>
    </row>
    <row r="22" spans="2:13">
      <c r="B22" s="106" t="s">
        <v>72</v>
      </c>
      <c r="C22" s="5"/>
      <c r="D22" s="5"/>
    </row>
    <row r="23" spans="2:13">
      <c r="B23" s="2" t="s">
        <v>117</v>
      </c>
    </row>
    <row r="24" spans="2:13">
      <c r="C24" s="2" t="s">
        <v>109</v>
      </c>
      <c r="E24" s="154">
        <v>1042700</v>
      </c>
      <c r="F24" s="2" t="s">
        <v>110</v>
      </c>
    </row>
    <row r="25" spans="2:13">
      <c r="C25" s="2" t="s">
        <v>111</v>
      </c>
      <c r="E25" s="154">
        <v>25100</v>
      </c>
      <c r="F25" s="2" t="s">
        <v>110</v>
      </c>
    </row>
    <row r="26" spans="2:13">
      <c r="C26" s="2" t="s">
        <v>112</v>
      </c>
      <c r="E26" s="155" t="s">
        <v>113</v>
      </c>
    </row>
    <row r="27" spans="2:13">
      <c r="B27" s="2" t="s">
        <v>115</v>
      </c>
      <c r="E27" s="154">
        <v>188500</v>
      </c>
      <c r="F27" s="2" t="s">
        <v>110</v>
      </c>
    </row>
    <row r="29" spans="2:13">
      <c r="B29" s="2" t="s">
        <v>118</v>
      </c>
    </row>
    <row r="30" spans="2:13">
      <c r="B30" s="2" t="s">
        <v>119</v>
      </c>
      <c r="M30" s="8"/>
    </row>
    <row r="33" spans="1:16">
      <c r="A33" s="108" t="s">
        <v>82</v>
      </c>
      <c r="B33" s="1" t="s">
        <v>120</v>
      </c>
    </row>
    <row r="34" spans="1:16">
      <c r="B34" s="4" t="s">
        <v>121</v>
      </c>
      <c r="C34" s="4"/>
      <c r="D34" s="4"/>
    </row>
    <row r="35" spans="1:16">
      <c r="B35" s="4" t="s">
        <v>122</v>
      </c>
      <c r="C35" s="4"/>
      <c r="D35" s="4"/>
    </row>
    <row r="37" spans="1:16">
      <c r="C37" s="86" t="s">
        <v>123</v>
      </c>
      <c r="D37" s="93" t="s">
        <v>105</v>
      </c>
      <c r="E37" s="93" t="s">
        <v>124</v>
      </c>
      <c r="F37" s="93" t="s">
        <v>125</v>
      </c>
      <c r="G37" s="93" t="s">
        <v>126</v>
      </c>
      <c r="H37" s="93" t="s">
        <v>127</v>
      </c>
      <c r="I37" s="93" t="s">
        <v>128</v>
      </c>
      <c r="J37" s="93" t="s">
        <v>129</v>
      </c>
      <c r="K37" s="93" t="s">
        <v>130</v>
      </c>
      <c r="L37" s="93" t="s">
        <v>131</v>
      </c>
      <c r="M37" s="93" t="s">
        <v>132</v>
      </c>
      <c r="N37" s="93" t="s">
        <v>133</v>
      </c>
      <c r="O37" s="93" t="s">
        <v>133</v>
      </c>
      <c r="P37" s="163"/>
    </row>
    <row r="38" spans="1:16">
      <c r="C38" s="14" t="s">
        <v>134</v>
      </c>
      <c r="D38" s="228">
        <v>1.4999999999999999E-2</v>
      </c>
      <c r="E38" s="228">
        <v>1.2E-2</v>
      </c>
      <c r="F38" s="228">
        <v>1.0999999999999999E-2</v>
      </c>
      <c r="G38" s="228">
        <v>1.0999999999999999E-2</v>
      </c>
      <c r="H38" s="228">
        <v>0.01</v>
      </c>
      <c r="I38" s="228">
        <v>0.01</v>
      </c>
      <c r="J38" s="228">
        <v>0.01</v>
      </c>
      <c r="K38" s="228">
        <v>0.01</v>
      </c>
      <c r="L38" s="228">
        <v>0.01</v>
      </c>
      <c r="M38" s="228">
        <v>0.01</v>
      </c>
      <c r="N38" s="128"/>
      <c r="O38" s="128"/>
      <c r="P38" s="48"/>
    </row>
    <row r="39" spans="1:16">
      <c r="C39" s="14" t="s">
        <v>135</v>
      </c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48"/>
    </row>
    <row r="40" spans="1:16">
      <c r="C40" s="15" t="s">
        <v>136</v>
      </c>
      <c r="D40" s="140">
        <v>100000</v>
      </c>
      <c r="E40" s="140">
        <v>100000</v>
      </c>
      <c r="F40" s="140">
        <v>100000</v>
      </c>
      <c r="G40" s="140">
        <v>100000</v>
      </c>
      <c r="H40" s="140">
        <v>100000</v>
      </c>
      <c r="I40" s="140">
        <v>100000</v>
      </c>
      <c r="J40" s="140">
        <v>100000</v>
      </c>
      <c r="K40" s="140">
        <v>100000</v>
      </c>
      <c r="L40" s="140">
        <v>100000</v>
      </c>
      <c r="M40" s="140">
        <v>100000</v>
      </c>
      <c r="N40" s="128"/>
      <c r="O40" s="128"/>
      <c r="P40" s="48"/>
    </row>
    <row r="41" spans="1:16">
      <c r="C41" s="106" t="s">
        <v>137</v>
      </c>
      <c r="D41" s="1"/>
    </row>
    <row r="42" spans="1:16">
      <c r="C42" s="1"/>
      <c r="D42" s="1"/>
    </row>
    <row r="43" spans="1:16">
      <c r="A43" s="108" t="s">
        <v>138</v>
      </c>
      <c r="B43" s="1" t="s">
        <v>139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spans="1:16">
      <c r="B44" s="4" t="s">
        <v>140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spans="1:16">
      <c r="C45" s="1"/>
      <c r="D45" s="1"/>
      <c r="E45" s="1"/>
      <c r="F45" s="1"/>
      <c r="H45" s="1"/>
      <c r="I45" s="1"/>
      <c r="J45" s="1"/>
      <c r="K45" s="1"/>
      <c r="L45" s="1"/>
      <c r="M45" s="1"/>
      <c r="N45" s="1"/>
    </row>
    <row r="46" spans="1:16" ht="38.25">
      <c r="C46" s="132" t="s">
        <v>141</v>
      </c>
      <c r="D46" s="94" t="s">
        <v>142</v>
      </c>
      <c r="E46" s="131" t="s">
        <v>143</v>
      </c>
      <c r="F46" s="1"/>
      <c r="H46" s="1"/>
      <c r="I46" s="1"/>
      <c r="J46" s="1"/>
      <c r="K46" s="1"/>
      <c r="L46" s="1"/>
      <c r="M46" s="1"/>
    </row>
    <row r="47" spans="1:16">
      <c r="C47" s="14" t="s">
        <v>144</v>
      </c>
      <c r="D47" s="226">
        <v>7.01</v>
      </c>
      <c r="E47" s="226">
        <f>+D47</f>
        <v>7.01</v>
      </c>
      <c r="F47" s="1"/>
      <c r="H47" s="1"/>
      <c r="I47" s="1"/>
      <c r="J47" s="1"/>
      <c r="K47" s="1"/>
      <c r="L47" s="1"/>
      <c r="M47" s="1"/>
    </row>
    <row r="48" spans="1:16">
      <c r="C48" s="14" t="s">
        <v>145</v>
      </c>
      <c r="D48" s="226">
        <v>9.11</v>
      </c>
      <c r="E48" s="226">
        <f t="shared" ref="E48:E49" si="0">+D48</f>
        <v>9.11</v>
      </c>
      <c r="F48" s="1"/>
      <c r="H48" s="1"/>
      <c r="I48" s="1"/>
      <c r="J48" s="1"/>
      <c r="K48" s="1"/>
      <c r="L48" s="1"/>
      <c r="M48" s="1"/>
    </row>
    <row r="49" spans="3:13">
      <c r="C49" s="14" t="s">
        <v>146</v>
      </c>
      <c r="D49" s="226">
        <v>9.11</v>
      </c>
      <c r="E49" s="226">
        <f t="shared" si="0"/>
        <v>9.11</v>
      </c>
      <c r="F49" s="1"/>
      <c r="H49" s="1"/>
      <c r="I49" s="1"/>
      <c r="J49" s="1"/>
      <c r="K49" s="1"/>
      <c r="L49" s="1"/>
      <c r="M49" s="1"/>
    </row>
    <row r="50" spans="3:13">
      <c r="C50" s="16" t="s">
        <v>147</v>
      </c>
      <c r="D50" s="226">
        <v>9.11</v>
      </c>
      <c r="E50" s="226">
        <f>D50</f>
        <v>9.11</v>
      </c>
      <c r="F50" s="1"/>
      <c r="H50" s="1"/>
      <c r="I50" s="1"/>
      <c r="J50" s="1"/>
      <c r="K50" s="1"/>
      <c r="L50" s="1"/>
      <c r="M50" s="1"/>
    </row>
    <row r="51" spans="3:13">
      <c r="C51" s="16" t="s">
        <v>148</v>
      </c>
      <c r="D51" s="227">
        <v>9.11</v>
      </c>
      <c r="E51" s="227">
        <v>9.11</v>
      </c>
      <c r="F51" s="1"/>
      <c r="H51" s="1"/>
      <c r="I51" s="1"/>
      <c r="J51" s="1"/>
      <c r="K51" s="1"/>
      <c r="L51" s="1"/>
      <c r="M51" s="1"/>
    </row>
    <row r="52" spans="3:13">
      <c r="D52" s="1"/>
      <c r="E52" s="1"/>
      <c r="F52" s="1"/>
      <c r="H52" s="1"/>
      <c r="I52" s="1"/>
      <c r="J52" s="1"/>
      <c r="K52" s="1"/>
      <c r="L52" s="1"/>
      <c r="M52" s="1"/>
    </row>
    <row r="54" spans="3:13">
      <c r="J54" s="1"/>
      <c r="K54" s="1"/>
      <c r="L54" s="1"/>
      <c r="M54" s="1"/>
    </row>
    <row r="55" spans="3:13">
      <c r="J55" s="1"/>
      <c r="K55" s="1"/>
      <c r="L55" s="1"/>
      <c r="M55" s="1"/>
    </row>
    <row r="56" spans="3:13">
      <c r="J56" s="1"/>
      <c r="K56" s="1"/>
      <c r="L56" s="1"/>
      <c r="M56" s="1"/>
    </row>
    <row r="57" spans="3:13">
      <c r="I57" s="1"/>
      <c r="J57" s="1"/>
      <c r="K57" s="1"/>
      <c r="L57" s="1"/>
      <c r="M57" s="1"/>
    </row>
  </sheetData>
  <pageMargins left="0.45" right="0" top="0.25" bottom="0" header="0.3" footer="0.3"/>
  <pageSetup scale="78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7" tint="0.39997558519241921"/>
  </sheetPr>
  <dimension ref="A1:X119"/>
  <sheetViews>
    <sheetView topLeftCell="A12" zoomScale="70" zoomScaleNormal="70" workbookViewId="0" xr3:uid="{FB84E6B5-2F03-524A-B55D-05F6A9FA1888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41.8554687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76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Subway (Wolfe Center)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250</v>
      </c>
      <c r="E8" s="109">
        <f>+C8</f>
        <v>250</v>
      </c>
      <c r="G8" s="109">
        <f>+E8</f>
        <v>250</v>
      </c>
      <c r="I8" s="109">
        <f>+G8</f>
        <v>250</v>
      </c>
      <c r="K8" s="109">
        <f>+I8</f>
        <v>250</v>
      </c>
      <c r="M8" s="109">
        <f>+K8</f>
        <v>250</v>
      </c>
      <c r="O8" s="109">
        <f>+M8</f>
        <v>250</v>
      </c>
      <c r="Q8" s="109">
        <f>+O8</f>
        <v>250</v>
      </c>
      <c r="S8" s="109">
        <f>+Q8</f>
        <v>250</v>
      </c>
      <c r="U8" s="109">
        <f>+S8</f>
        <v>250</v>
      </c>
    </row>
    <row r="10" spans="1:22" ht="12.75" customHeight="1">
      <c r="A10" s="2" t="s">
        <v>449</v>
      </c>
      <c r="C10" s="209">
        <f>+C14/C8/C12</f>
        <v>170</v>
      </c>
      <c r="D10" s="186"/>
      <c r="E10" s="209">
        <f>+E14/E8/E12</f>
        <v>255.38971807628522</v>
      </c>
      <c r="F10" s="186"/>
      <c r="G10" s="209">
        <f>+G14/G8/G12</f>
        <v>259.20792079207922</v>
      </c>
      <c r="H10" s="186"/>
      <c r="I10" s="209">
        <f>+I14/I8/I12</f>
        <v>263.08965517241376</v>
      </c>
      <c r="J10" s="186"/>
      <c r="K10" s="209">
        <f>+K14/K8/K12</f>
        <v>267.036</v>
      </c>
      <c r="L10" s="186"/>
      <c r="M10" s="209">
        <f>+M14/M8/M12</f>
        <v>271.04805307317071</v>
      </c>
      <c r="N10" s="186"/>
      <c r="O10" s="209">
        <f t="shared" ref="O10" si="0">+O14/O8/O12</f>
        <v>275.12693154174758</v>
      </c>
      <c r="P10" s="186"/>
      <c r="Q10" s="209">
        <f t="shared" ref="Q10" si="1">+Q14/Q8/Q12</f>
        <v>279.27377224904353</v>
      </c>
      <c r="R10" s="186"/>
      <c r="S10" s="209">
        <f>+S14/S8/S12</f>
        <v>283.4897320801108</v>
      </c>
      <c r="T10" s="186"/>
      <c r="U10" s="209">
        <f>+U14/U8/U12</f>
        <v>287.775988316346</v>
      </c>
    </row>
    <row r="12" spans="1:22" ht="12.75" customHeight="1">
      <c r="A12" s="2" t="s">
        <v>450</v>
      </c>
      <c r="C12" s="110">
        <v>6</v>
      </c>
      <c r="E12" s="110">
        <v>6.03</v>
      </c>
      <c r="G12" s="110">
        <v>6.06</v>
      </c>
      <c r="I12" s="110">
        <v>6.09</v>
      </c>
      <c r="K12" s="110">
        <v>6.12</v>
      </c>
      <c r="M12" s="110">
        <v>6.15</v>
      </c>
      <c r="O12" s="110">
        <v>6.18</v>
      </c>
      <c r="Q12" s="110">
        <v>6.21</v>
      </c>
      <c r="S12" s="110">
        <v>6.24</v>
      </c>
      <c r="U12" s="110">
        <v>6.27</v>
      </c>
    </row>
    <row r="14" spans="1:22" ht="12.75" customHeight="1">
      <c r="A14" s="2" t="s">
        <v>451</v>
      </c>
      <c r="C14" s="206">
        <v>255000</v>
      </c>
      <c r="D14" s="12"/>
      <c r="E14" s="206">
        <v>385000</v>
      </c>
      <c r="F14" s="12"/>
      <c r="G14" s="206">
        <f>+E14*1.02</f>
        <v>392700</v>
      </c>
      <c r="H14" s="12"/>
      <c r="I14" s="206">
        <f>+G14*1.02</f>
        <v>400554</v>
      </c>
      <c r="J14" s="12"/>
      <c r="K14" s="206">
        <f>+I14*1.02</f>
        <v>408565.08</v>
      </c>
      <c r="L14" s="12"/>
      <c r="M14" s="206">
        <f>+K14*1.02</f>
        <v>416736.38160000002</v>
      </c>
      <c r="N14" s="12"/>
      <c r="O14" s="206">
        <f>+M14*1.02</f>
        <v>425071.10923200002</v>
      </c>
      <c r="P14" s="12"/>
      <c r="Q14" s="206">
        <f>+O14*1.02</f>
        <v>433572.53141664003</v>
      </c>
      <c r="R14" s="12"/>
      <c r="S14" s="206">
        <f>+Q14*1.02</f>
        <v>442243.98204497283</v>
      </c>
      <c r="T14" s="12"/>
      <c r="U14" s="206">
        <f>+S14*1.02</f>
        <v>451088.86168587231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+C14-C20-C21</f>
        <v>215781</v>
      </c>
      <c r="D19" s="80">
        <f>IFERROR(C19/C$28,0)</f>
        <v>0.84619999999999995</v>
      </c>
      <c r="E19" s="208">
        <f>+E14-E20-E21</f>
        <v>168360.49999999997</v>
      </c>
      <c r="F19" s="80">
        <f>IFERROR(E19/E$28,0)</f>
        <v>0.43729999999999991</v>
      </c>
      <c r="G19" s="208">
        <f>+G14-G20-G21</f>
        <v>171727.70999999996</v>
      </c>
      <c r="H19" s="80">
        <f>IFERROR(G19/G$28,0)</f>
        <v>0.43729999999999991</v>
      </c>
      <c r="I19" s="208">
        <f>+I14-I20-I21</f>
        <v>175162.26419999998</v>
      </c>
      <c r="J19" s="80">
        <f>IFERROR(I19/I$28,0)</f>
        <v>0.43729999999999997</v>
      </c>
      <c r="K19" s="208">
        <f>+K14-K20-K21</f>
        <v>178665.50948399998</v>
      </c>
      <c r="L19" s="80">
        <f>IFERROR(K19/K$28,0)</f>
        <v>0.43729999999999991</v>
      </c>
      <c r="M19" s="208">
        <f>+M14-M20-M21</f>
        <v>182238.81967368</v>
      </c>
      <c r="N19" s="80">
        <f>IFERROR(M19/M$28,0)</f>
        <v>0.43729999999999997</v>
      </c>
      <c r="O19" s="208">
        <f>+O14-O20-O21</f>
        <v>185883.59606715359</v>
      </c>
      <c r="P19" s="80">
        <f>IFERROR(O19/O$28,0)</f>
        <v>0.43729999999999997</v>
      </c>
      <c r="Q19" s="208">
        <f>+Q14-Q20-Q21</f>
        <v>189601.26798849669</v>
      </c>
      <c r="R19" s="80">
        <f>IFERROR(Q19/Q$28,0)</f>
        <v>0.43730000000000002</v>
      </c>
      <c r="S19" s="208">
        <f>+S14-S20-S21</f>
        <v>193393.2933482666</v>
      </c>
      <c r="T19" s="80">
        <f>IFERROR(S19/S$28,0)</f>
        <v>0.43729999999999997</v>
      </c>
      <c r="U19" s="208">
        <f>+U14-U20-U21</f>
        <v>197261.15921523198</v>
      </c>
      <c r="V19" s="80">
        <f>IFERROR(U19/U$28,0)</f>
        <v>0.43729999999999997</v>
      </c>
    </row>
    <row r="20" spans="1:24" ht="12.75" customHeight="1">
      <c r="A20" s="2" t="s">
        <v>357</v>
      </c>
      <c r="B20" s="35"/>
      <c r="C20" s="111">
        <f>+C14*12.38%</f>
        <v>31569.000000000004</v>
      </c>
      <c r="D20" s="80">
        <f>IFERROR(C20/C$28,0)</f>
        <v>0.12380000000000002</v>
      </c>
      <c r="E20" s="111">
        <f>+E14*53.27%</f>
        <v>205089.50000000003</v>
      </c>
      <c r="F20" s="80">
        <f>IFERROR(E20/E$28,0)</f>
        <v>0.53270000000000006</v>
      </c>
      <c r="G20" s="111">
        <f t="shared" ref="G20:U20" si="2">E20*1.02</f>
        <v>209191.29000000004</v>
      </c>
      <c r="H20" s="80">
        <f>IFERROR(G20/G$28,0)</f>
        <v>0.53270000000000006</v>
      </c>
      <c r="I20" s="111">
        <f t="shared" si="2"/>
        <v>213375.11580000003</v>
      </c>
      <c r="J20" s="80">
        <f>IFERROR(I20/I$28,0)</f>
        <v>0.53270000000000006</v>
      </c>
      <c r="K20" s="111">
        <f t="shared" si="2"/>
        <v>217642.61811600003</v>
      </c>
      <c r="L20" s="80">
        <f>IFERROR(K20/K$28,0)</f>
        <v>0.53270000000000006</v>
      </c>
      <c r="M20" s="111">
        <f t="shared" si="2"/>
        <v>221995.47047832003</v>
      </c>
      <c r="N20" s="80">
        <f>IFERROR(M20/M$28,0)</f>
        <v>0.53270000000000006</v>
      </c>
      <c r="O20" s="111">
        <f t="shared" si="2"/>
        <v>226435.37988788643</v>
      </c>
      <c r="P20" s="80">
        <f>IFERROR(O20/O$28,0)</f>
        <v>0.53270000000000006</v>
      </c>
      <c r="Q20" s="111">
        <f t="shared" si="2"/>
        <v>230964.08748564415</v>
      </c>
      <c r="R20" s="80">
        <f>IFERROR(Q20/Q$28,0)</f>
        <v>0.53270000000000006</v>
      </c>
      <c r="S20" s="111">
        <f t="shared" si="2"/>
        <v>235583.36923535704</v>
      </c>
      <c r="T20" s="80">
        <f>IFERROR(S20/S$28,0)</f>
        <v>0.53270000000000006</v>
      </c>
      <c r="U20" s="111">
        <f t="shared" si="2"/>
        <v>240295.03662006417</v>
      </c>
      <c r="V20" s="80">
        <f>IFERROR(U20/U$28,0)</f>
        <v>0.53269999999999995</v>
      </c>
    </row>
    <row r="21" spans="1:24" ht="12.75" customHeight="1">
      <c r="A21" s="191" t="s">
        <v>358</v>
      </c>
      <c r="B21" s="203"/>
      <c r="C21" s="111">
        <f>+C14*0.03</f>
        <v>7650</v>
      </c>
      <c r="D21" s="80">
        <f>IFERROR(C21/C$28,0)</f>
        <v>0.03</v>
      </c>
      <c r="E21" s="111">
        <f>+E14*0.03</f>
        <v>11550</v>
      </c>
      <c r="F21" s="80">
        <f>IFERROR(E21/E$28,0)</f>
        <v>0.03</v>
      </c>
      <c r="G21" s="111">
        <f>+G14*0.03</f>
        <v>11781</v>
      </c>
      <c r="H21" s="80">
        <f>IFERROR(G21/G$28,0)</f>
        <v>0.03</v>
      </c>
      <c r="I21" s="111">
        <f>+I14*0.03</f>
        <v>12016.619999999999</v>
      </c>
      <c r="J21" s="80">
        <f>IFERROR(I21/I$28,0)</f>
        <v>0.03</v>
      </c>
      <c r="K21" s="111">
        <f>+K14*0.03</f>
        <v>12256.9524</v>
      </c>
      <c r="L21" s="80">
        <f>IFERROR(K21/K$28,0)</f>
        <v>0.03</v>
      </c>
      <c r="M21" s="111">
        <f>+M14*0.03</f>
        <v>12502.091448000001</v>
      </c>
      <c r="N21" s="80">
        <f>IFERROR(M21/M$28,0)</f>
        <v>3.0000000000000002E-2</v>
      </c>
      <c r="O21" s="111">
        <f>+O14*0.03</f>
        <v>12752.133276959999</v>
      </c>
      <c r="P21" s="80">
        <f>IFERROR(O21/O$28,0)</f>
        <v>0.03</v>
      </c>
      <c r="Q21" s="111">
        <f>+Q14*0.03</f>
        <v>13007.1759424992</v>
      </c>
      <c r="R21" s="80">
        <f>IFERROR(Q21/Q$28,0)</f>
        <v>2.9999999999999995E-2</v>
      </c>
      <c r="S21" s="111">
        <f>+S14*0.03</f>
        <v>13267.319461349185</v>
      </c>
      <c r="T21" s="80">
        <f>IFERROR(S21/S$28,0)</f>
        <v>0.03</v>
      </c>
      <c r="U21" s="111">
        <f>+U14*0.03</f>
        <v>13532.665850576168</v>
      </c>
      <c r="V21" s="80">
        <f>IFERROR(U21/U$28,0)</f>
        <v>2.9999999999999992E-2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3">IFERROR(C23/C$28,0)</f>
        <v>0</v>
      </c>
      <c r="E23" s="79"/>
      <c r="F23" s="80">
        <f t="shared" ref="F23:F28" si="4">IFERROR(E23/E$28,0)</f>
        <v>0</v>
      </c>
      <c r="G23" s="79"/>
      <c r="H23" s="80">
        <f t="shared" ref="H23:H28" si="5">IFERROR(G23/G$28,0)</f>
        <v>0</v>
      </c>
      <c r="I23" s="79"/>
      <c r="J23" s="80">
        <f t="shared" ref="J23:J28" si="6">IFERROR(I23/I$28,0)</f>
        <v>0</v>
      </c>
      <c r="K23" s="79"/>
      <c r="L23" s="80">
        <f t="shared" ref="L23:L28" si="7">IFERROR(K23/K$28,0)</f>
        <v>0</v>
      </c>
      <c r="M23" s="79"/>
      <c r="N23" s="80">
        <f t="shared" ref="N23:N28" si="8">IFERROR(M23/M$28,0)</f>
        <v>0</v>
      </c>
      <c r="O23" s="79"/>
      <c r="P23" s="80">
        <f t="shared" ref="P23:P28" si="9">IFERROR(O23/O$28,0)</f>
        <v>0</v>
      </c>
      <c r="Q23" s="79"/>
      <c r="R23" s="80">
        <f t="shared" ref="R23:R28" si="10">IFERROR(Q23/Q$28,0)</f>
        <v>0</v>
      </c>
      <c r="S23" s="79"/>
      <c r="T23" s="80">
        <f t="shared" ref="T23:T28" si="11">IFERROR(S23/S$28,0)</f>
        <v>0</v>
      </c>
      <c r="U23" s="79"/>
      <c r="V23" s="80">
        <f t="shared" ref="V23:V28" si="12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3"/>
        <v>0</v>
      </c>
      <c r="E24" s="79"/>
      <c r="F24" s="80">
        <f t="shared" si="4"/>
        <v>0</v>
      </c>
      <c r="G24" s="79"/>
      <c r="H24" s="80">
        <f t="shared" si="5"/>
        <v>0</v>
      </c>
      <c r="I24" s="79"/>
      <c r="J24" s="80">
        <f t="shared" si="6"/>
        <v>0</v>
      </c>
      <c r="K24" s="79"/>
      <c r="L24" s="80">
        <f t="shared" si="7"/>
        <v>0</v>
      </c>
      <c r="M24" s="79"/>
      <c r="N24" s="80">
        <f t="shared" si="8"/>
        <v>0</v>
      </c>
      <c r="O24" s="79"/>
      <c r="P24" s="80">
        <f t="shared" si="9"/>
        <v>0</v>
      </c>
      <c r="Q24" s="79"/>
      <c r="R24" s="80">
        <f t="shared" si="10"/>
        <v>0</v>
      </c>
      <c r="S24" s="79"/>
      <c r="T24" s="80">
        <f t="shared" si="11"/>
        <v>0</v>
      </c>
      <c r="U24" s="79"/>
      <c r="V24" s="80">
        <f t="shared" si="12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3"/>
        <v>0</v>
      </c>
      <c r="E25" s="111"/>
      <c r="F25" s="80">
        <f t="shared" si="4"/>
        <v>0</v>
      </c>
      <c r="G25" s="111"/>
      <c r="H25" s="80">
        <f t="shared" si="5"/>
        <v>0</v>
      </c>
      <c r="I25" s="111"/>
      <c r="J25" s="80">
        <f t="shared" si="6"/>
        <v>0</v>
      </c>
      <c r="K25" s="111"/>
      <c r="L25" s="80">
        <f t="shared" si="7"/>
        <v>0</v>
      </c>
      <c r="M25" s="111"/>
      <c r="N25" s="80">
        <f t="shared" si="8"/>
        <v>0</v>
      </c>
      <c r="O25" s="111"/>
      <c r="P25" s="80">
        <f t="shared" si="9"/>
        <v>0</v>
      </c>
      <c r="Q25" s="111"/>
      <c r="R25" s="80">
        <f t="shared" si="10"/>
        <v>0</v>
      </c>
      <c r="S25" s="111"/>
      <c r="T25" s="80">
        <f t="shared" si="11"/>
        <v>0</v>
      </c>
      <c r="U25" s="111"/>
      <c r="V25" s="80">
        <f t="shared" si="12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3"/>
        <v>0</v>
      </c>
      <c r="E26" s="79"/>
      <c r="F26" s="80">
        <f t="shared" si="4"/>
        <v>0</v>
      </c>
      <c r="G26" s="79"/>
      <c r="H26" s="80">
        <f t="shared" si="5"/>
        <v>0</v>
      </c>
      <c r="I26" s="79"/>
      <c r="J26" s="80">
        <f t="shared" si="6"/>
        <v>0</v>
      </c>
      <c r="K26" s="79"/>
      <c r="L26" s="80">
        <f t="shared" si="7"/>
        <v>0</v>
      </c>
      <c r="M26" s="79"/>
      <c r="N26" s="80">
        <f t="shared" si="8"/>
        <v>0</v>
      </c>
      <c r="O26" s="79"/>
      <c r="P26" s="80">
        <f t="shared" si="9"/>
        <v>0</v>
      </c>
      <c r="Q26" s="79"/>
      <c r="R26" s="80">
        <f t="shared" si="10"/>
        <v>0</v>
      </c>
      <c r="S26" s="79"/>
      <c r="T26" s="80">
        <f t="shared" si="11"/>
        <v>0</v>
      </c>
      <c r="U26" s="79"/>
      <c r="V26" s="80">
        <f t="shared" si="12"/>
        <v>0</v>
      </c>
    </row>
    <row r="27" spans="1:24" ht="12.75" customHeight="1">
      <c r="A27" s="2" t="s">
        <v>364</v>
      </c>
      <c r="B27" s="35"/>
      <c r="C27" s="112"/>
      <c r="D27" s="80">
        <f t="shared" si="3"/>
        <v>0</v>
      </c>
      <c r="E27" s="112"/>
      <c r="F27" s="80">
        <f t="shared" si="4"/>
        <v>0</v>
      </c>
      <c r="G27" s="112"/>
      <c r="H27" s="80">
        <f t="shared" si="5"/>
        <v>0</v>
      </c>
      <c r="I27" s="112"/>
      <c r="J27" s="80">
        <f t="shared" si="6"/>
        <v>0</v>
      </c>
      <c r="K27" s="112"/>
      <c r="L27" s="80">
        <f t="shared" si="7"/>
        <v>0</v>
      </c>
      <c r="M27" s="112"/>
      <c r="N27" s="80">
        <f t="shared" si="8"/>
        <v>0</v>
      </c>
      <c r="O27" s="112"/>
      <c r="P27" s="80">
        <f t="shared" si="9"/>
        <v>0</v>
      </c>
      <c r="Q27" s="112"/>
      <c r="R27" s="80">
        <f t="shared" si="10"/>
        <v>0</v>
      </c>
      <c r="S27" s="112"/>
      <c r="T27" s="80">
        <f t="shared" si="11"/>
        <v>0</v>
      </c>
      <c r="U27" s="112"/>
      <c r="V27" s="80">
        <f t="shared" si="12"/>
        <v>0</v>
      </c>
    </row>
    <row r="28" spans="1:24" ht="12.75" customHeight="1">
      <c r="A28" s="1" t="s">
        <v>365</v>
      </c>
      <c r="B28" s="53"/>
      <c r="C28" s="82">
        <f>SUM(C19:C27)</f>
        <v>255000</v>
      </c>
      <c r="D28" s="83">
        <f t="shared" si="3"/>
        <v>1</v>
      </c>
      <c r="E28" s="82">
        <f>SUM(E19:E27)</f>
        <v>385000</v>
      </c>
      <c r="F28" s="83">
        <f t="shared" si="4"/>
        <v>1</v>
      </c>
      <c r="G28" s="82">
        <f>SUM(G19:G27)</f>
        <v>392700</v>
      </c>
      <c r="H28" s="83">
        <f t="shared" si="5"/>
        <v>1</v>
      </c>
      <c r="I28" s="82">
        <f>SUM(I19:I27)</f>
        <v>400554</v>
      </c>
      <c r="J28" s="83">
        <f t="shared" si="6"/>
        <v>1</v>
      </c>
      <c r="K28" s="82">
        <f>SUM(K19:K27)</f>
        <v>408565.08</v>
      </c>
      <c r="L28" s="83">
        <f t="shared" si="7"/>
        <v>1</v>
      </c>
      <c r="M28" s="82">
        <f>SUM(M19:M27)</f>
        <v>416736.38160000002</v>
      </c>
      <c r="N28" s="83">
        <f t="shared" si="8"/>
        <v>1</v>
      </c>
      <c r="O28" s="82">
        <f>SUM(O19:O27)</f>
        <v>425071.10923200002</v>
      </c>
      <c r="P28" s="83">
        <f t="shared" si="9"/>
        <v>1</v>
      </c>
      <c r="Q28" s="82">
        <f>SUM(Q19:Q27)</f>
        <v>433572.53141664003</v>
      </c>
      <c r="R28" s="83">
        <f t="shared" si="10"/>
        <v>1</v>
      </c>
      <c r="S28" s="82">
        <f>SUM(S19:S27)</f>
        <v>442243.98204497283</v>
      </c>
      <c r="T28" s="83">
        <f t="shared" si="11"/>
        <v>1</v>
      </c>
      <c r="U28" s="82">
        <f>SUM(U19:U27)</f>
        <v>451088.86168587237</v>
      </c>
      <c r="V28" s="83">
        <f t="shared" si="12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0.30599999999999999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78030</v>
      </c>
      <c r="D31" s="80">
        <f>IFERROR(C31/C$28,0)</f>
        <v>0.30599999999999999</v>
      </c>
      <c r="E31" s="179">
        <f>$C$30*E14</f>
        <v>117810</v>
      </c>
      <c r="F31" s="80">
        <f>IFERROR(E31/E$28,0)</f>
        <v>0.30599999999999999</v>
      </c>
      <c r="G31" s="179">
        <f>$C$30*G14</f>
        <v>120166.2</v>
      </c>
      <c r="H31" s="80">
        <f>IFERROR(G31/G$28,0)</f>
        <v>0.30599999999999999</v>
      </c>
      <c r="I31" s="179">
        <f>$C$30*I14</f>
        <v>122569.524</v>
      </c>
      <c r="J31" s="80">
        <f>IFERROR(I31/I$28,0)</f>
        <v>0.30599999999999999</v>
      </c>
      <c r="K31" s="179">
        <f>$C$30*K14</f>
        <v>125020.91448000001</v>
      </c>
      <c r="L31" s="80">
        <f>IFERROR(K31/K$28,0)</f>
        <v>0.30599999999999999</v>
      </c>
      <c r="M31" s="179">
        <f>$C$30*M14</f>
        <v>127521.33276960001</v>
      </c>
      <c r="N31" s="80">
        <f>IFERROR(M31/M$28,0)</f>
        <v>0.30599999999999999</v>
      </c>
      <c r="O31" s="179">
        <f>$C$30*O14</f>
        <v>130071.75942499201</v>
      </c>
      <c r="P31" s="80">
        <f>IFERROR(O31/O$28,0)</f>
        <v>0.30599999999999999</v>
      </c>
      <c r="Q31" s="179">
        <f>$C$30*Q14</f>
        <v>132673.19461349185</v>
      </c>
      <c r="R31" s="80">
        <f>IFERROR(Q31/Q$28,0)</f>
        <v>0.30599999999999999</v>
      </c>
      <c r="S31" s="179">
        <f>$C$30*S14</f>
        <v>135326.65850576168</v>
      </c>
      <c r="T31" s="80">
        <f>IFERROR(S31/S$28,0)</f>
        <v>0.30599999999999999</v>
      </c>
      <c r="U31" s="179">
        <f>$C$30*U14</f>
        <v>138033.19167587694</v>
      </c>
      <c r="V31" s="80">
        <f>IFERROR(U31/U$28,0)</f>
        <v>0.30599999999999999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78030</v>
      </c>
      <c r="D33" s="83">
        <f>IFERROR(C33/C$28,0)</f>
        <v>0.30599999999999999</v>
      </c>
      <c r="E33" s="82">
        <f>SUM(E31:E32)</f>
        <v>117810</v>
      </c>
      <c r="F33" s="83">
        <f>IFERROR(E33/E$28,0)</f>
        <v>0.30599999999999999</v>
      </c>
      <c r="G33" s="82">
        <f>SUM(G31:G32)</f>
        <v>120166.2</v>
      </c>
      <c r="H33" s="83">
        <f>IFERROR(G33/G$28,0)</f>
        <v>0.30599999999999999</v>
      </c>
      <c r="I33" s="82">
        <f>SUM(I31:I32)</f>
        <v>122569.524</v>
      </c>
      <c r="J33" s="83">
        <f>IFERROR(I33/I$28,0)</f>
        <v>0.30599999999999999</v>
      </c>
      <c r="K33" s="82">
        <f>SUM(K31:K32)</f>
        <v>125020.91448000001</v>
      </c>
      <c r="L33" s="83">
        <f>IFERROR(K33/K$28,0)</f>
        <v>0.30599999999999999</v>
      </c>
      <c r="M33" s="82">
        <f>SUM(M31:M32)</f>
        <v>127521.33276960001</v>
      </c>
      <c r="N33" s="83">
        <f>IFERROR(M33/M$28,0)</f>
        <v>0.30599999999999999</v>
      </c>
      <c r="O33" s="82">
        <f>SUM(O31:O32)</f>
        <v>130071.75942499201</v>
      </c>
      <c r="P33" s="83">
        <f>IFERROR(O33/O$28,0)</f>
        <v>0.30599999999999999</v>
      </c>
      <c r="Q33" s="82">
        <f>SUM(Q31:Q32)</f>
        <v>132673.19461349185</v>
      </c>
      <c r="R33" s="83">
        <f>IFERROR(Q33/Q$28,0)</f>
        <v>0.30599999999999999</v>
      </c>
      <c r="S33" s="82">
        <f>SUM(S31:S32)</f>
        <v>135326.65850576168</v>
      </c>
      <c r="T33" s="83">
        <f>IFERROR(S33/S$28,0)</f>
        <v>0.30599999999999999</v>
      </c>
      <c r="U33" s="82">
        <f>SUM(U31:U32)</f>
        <v>138033.19167587694</v>
      </c>
      <c r="V33" s="83">
        <f>IFERROR(U33/U$28,0)</f>
        <v>0.30599999999999999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/>
      <c r="D36" s="80">
        <f t="shared" ref="D36:D46" si="13">IFERROR(C36/C$28,0)</f>
        <v>0</v>
      </c>
      <c r="E36" s="179"/>
      <c r="F36" s="80">
        <f t="shared" ref="F36:F46" si="14">IFERROR(E36/E$28,0)</f>
        <v>0</v>
      </c>
      <c r="G36" s="179"/>
      <c r="H36" s="80">
        <f t="shared" ref="H36:H46" si="15">IFERROR(G36/G$28,0)</f>
        <v>0</v>
      </c>
      <c r="I36" s="179"/>
      <c r="J36" s="80">
        <f t="shared" ref="J36:J46" si="16">IFERROR(I36/I$28,0)</f>
        <v>0</v>
      </c>
      <c r="K36" s="179"/>
      <c r="L36" s="80">
        <f t="shared" ref="L36:L46" si="17">IFERROR(K36/K$28,0)</f>
        <v>0</v>
      </c>
      <c r="M36" s="179"/>
      <c r="N36" s="80">
        <f t="shared" ref="N36:N46" si="18">IFERROR(M36/M$28,0)</f>
        <v>0</v>
      </c>
      <c r="O36" s="179"/>
      <c r="P36" s="80">
        <f t="shared" ref="P36:P46" si="19">IFERROR(O36/O$28,0)</f>
        <v>0</v>
      </c>
      <c r="Q36" s="179"/>
      <c r="R36" s="80">
        <f t="shared" ref="R36:R46" si="20">IFERROR(Q36/Q$28,0)</f>
        <v>0</v>
      </c>
      <c r="S36" s="179"/>
      <c r="T36" s="80">
        <f t="shared" ref="T36:T46" si="21">IFERROR(S36/S$28,0)</f>
        <v>0</v>
      </c>
      <c r="U36" s="179"/>
      <c r="V36" s="80">
        <f t="shared" ref="V36:V46" si="22">IFERROR(U36/U$28,0)</f>
        <v>0</v>
      </c>
    </row>
    <row r="37" spans="1:22" ht="12.75" customHeight="1">
      <c r="A37" s="2" t="s">
        <v>372</v>
      </c>
      <c r="B37" s="35"/>
      <c r="C37" s="179">
        <v>99516</v>
      </c>
      <c r="D37" s="80">
        <f t="shared" si="13"/>
        <v>0.39025882352941177</v>
      </c>
      <c r="E37" s="179">
        <f>+C37*1.112</f>
        <v>110661.79200000002</v>
      </c>
      <c r="F37" s="80">
        <f t="shared" si="14"/>
        <v>0.28743322597402604</v>
      </c>
      <c r="G37" s="179">
        <f>+E37*1.035</f>
        <v>114534.95472000001</v>
      </c>
      <c r="H37" s="80">
        <f t="shared" si="15"/>
        <v>0.29166018517952635</v>
      </c>
      <c r="I37" s="179">
        <f>+G37*1.032</f>
        <v>118200.07327104002</v>
      </c>
      <c r="J37" s="80">
        <f t="shared" si="16"/>
        <v>0.29509148147575615</v>
      </c>
      <c r="K37" s="179">
        <f>+I37*1.025</f>
        <v>121155.07510281602</v>
      </c>
      <c r="L37" s="80">
        <f t="shared" si="17"/>
        <v>0.29653800834573529</v>
      </c>
      <c r="M37" s="179">
        <f>+K37*1.025</f>
        <v>124183.95198038641</v>
      </c>
      <c r="N37" s="80">
        <f t="shared" si="18"/>
        <v>0.29799162603370455</v>
      </c>
      <c r="O37" s="179">
        <f>+M37*1.025</f>
        <v>127288.55077989606</v>
      </c>
      <c r="P37" s="80">
        <f t="shared" si="19"/>
        <v>0.29945236929857566</v>
      </c>
      <c r="Q37" s="179">
        <f>+O37*1.025</f>
        <v>130470.76454939345</v>
      </c>
      <c r="R37" s="80">
        <f t="shared" si="20"/>
        <v>0.30092027306964708</v>
      </c>
      <c r="S37" s="179">
        <f>+Q37*1.025</f>
        <v>133732.53366312827</v>
      </c>
      <c r="T37" s="80">
        <f t="shared" si="21"/>
        <v>0.30239537244743941</v>
      </c>
      <c r="U37" s="179">
        <f>+S37*1.025</f>
        <v>137075.84700470648</v>
      </c>
      <c r="V37" s="80">
        <f t="shared" si="22"/>
        <v>0.30387770270453468</v>
      </c>
    </row>
    <row r="38" spans="1:22" ht="12.75" customHeight="1">
      <c r="A38" s="2" t="s">
        <v>373</v>
      </c>
      <c r="B38" s="35"/>
      <c r="C38" s="179"/>
      <c r="D38" s="80">
        <f t="shared" si="13"/>
        <v>0</v>
      </c>
      <c r="E38" s="179">
        <f t="shared" ref="E38:E39" si="23">+C38*1.112</f>
        <v>0</v>
      </c>
      <c r="F38" s="80">
        <f t="shared" si="14"/>
        <v>0</v>
      </c>
      <c r="G38" s="179">
        <f>+E38*1.035</f>
        <v>0</v>
      </c>
      <c r="H38" s="80">
        <f t="shared" si="15"/>
        <v>0</v>
      </c>
      <c r="I38" s="179">
        <f>+G38*1.032</f>
        <v>0</v>
      </c>
      <c r="J38" s="80">
        <f t="shared" si="16"/>
        <v>0</v>
      </c>
      <c r="K38" s="179">
        <f>+I38*1.025</f>
        <v>0</v>
      </c>
      <c r="L38" s="80">
        <f t="shared" si="17"/>
        <v>0</v>
      </c>
      <c r="M38" s="179">
        <f>+K38*1.025</f>
        <v>0</v>
      </c>
      <c r="N38" s="80">
        <f t="shared" si="18"/>
        <v>0</v>
      </c>
      <c r="O38" s="179">
        <f>+M38*1.025</f>
        <v>0</v>
      </c>
      <c r="P38" s="80">
        <f t="shared" si="19"/>
        <v>0</v>
      </c>
      <c r="Q38" s="179">
        <f>+O38*1.025</f>
        <v>0</v>
      </c>
      <c r="R38" s="80">
        <f t="shared" si="20"/>
        <v>0</v>
      </c>
      <c r="S38" s="179">
        <f>+Q38*1.025</f>
        <v>0</v>
      </c>
      <c r="T38" s="80">
        <f t="shared" si="21"/>
        <v>0</v>
      </c>
      <c r="U38" s="179">
        <f>+S38*1.025</f>
        <v>0</v>
      </c>
      <c r="V38" s="80">
        <f t="shared" si="22"/>
        <v>0</v>
      </c>
    </row>
    <row r="39" spans="1:22" ht="12.75" customHeight="1">
      <c r="A39" s="2" t="s">
        <v>374</v>
      </c>
      <c r="B39" s="35"/>
      <c r="C39" s="179"/>
      <c r="D39" s="80">
        <f t="shared" si="13"/>
        <v>0</v>
      </c>
      <c r="E39" s="179">
        <f t="shared" si="23"/>
        <v>0</v>
      </c>
      <c r="F39" s="80">
        <f t="shared" si="14"/>
        <v>0</v>
      </c>
      <c r="G39" s="179">
        <f>+E39*1.035</f>
        <v>0</v>
      </c>
      <c r="H39" s="80">
        <f t="shared" si="15"/>
        <v>0</v>
      </c>
      <c r="I39" s="179">
        <f>+G39*1.032</f>
        <v>0</v>
      </c>
      <c r="J39" s="80">
        <f t="shared" si="16"/>
        <v>0</v>
      </c>
      <c r="K39" s="179">
        <f>+I39*1.025</f>
        <v>0</v>
      </c>
      <c r="L39" s="80">
        <f t="shared" si="17"/>
        <v>0</v>
      </c>
      <c r="M39" s="179">
        <f>+K39*1.025</f>
        <v>0</v>
      </c>
      <c r="N39" s="80">
        <f t="shared" si="18"/>
        <v>0</v>
      </c>
      <c r="O39" s="179">
        <f>+M39*1.025</f>
        <v>0</v>
      </c>
      <c r="P39" s="80">
        <f t="shared" si="19"/>
        <v>0</v>
      </c>
      <c r="Q39" s="179">
        <f>+O39*1.025</f>
        <v>0</v>
      </c>
      <c r="R39" s="80">
        <f t="shared" si="20"/>
        <v>0</v>
      </c>
      <c r="S39" s="179">
        <f>+Q39*1.025</f>
        <v>0</v>
      </c>
      <c r="T39" s="80">
        <f t="shared" si="21"/>
        <v>0</v>
      </c>
      <c r="U39" s="179">
        <f>+S39*1.025</f>
        <v>0</v>
      </c>
      <c r="V39" s="80">
        <f t="shared" si="22"/>
        <v>0</v>
      </c>
    </row>
    <row r="40" spans="1:22" ht="12.75" customHeight="1">
      <c r="A40" s="2" t="s">
        <v>375</v>
      </c>
      <c r="B40" s="35"/>
      <c r="C40" s="179">
        <f>C36*0.124</f>
        <v>0</v>
      </c>
      <c r="D40" s="80">
        <f t="shared" si="13"/>
        <v>0</v>
      </c>
      <c r="E40" s="113">
        <f>E36*0.124</f>
        <v>0</v>
      </c>
      <c r="F40" s="80">
        <f t="shared" si="14"/>
        <v>0</v>
      </c>
      <c r="G40" s="113">
        <f>G36*0.124</f>
        <v>0</v>
      </c>
      <c r="H40" s="80">
        <f t="shared" si="15"/>
        <v>0</v>
      </c>
      <c r="I40" s="113">
        <f>I36*0.124</f>
        <v>0</v>
      </c>
      <c r="J40" s="80">
        <f t="shared" si="16"/>
        <v>0</v>
      </c>
      <c r="K40" s="113">
        <f>K36*0.124</f>
        <v>0</v>
      </c>
      <c r="L40" s="80">
        <f t="shared" si="17"/>
        <v>0</v>
      </c>
      <c r="M40" s="113">
        <f>M36*0.124</f>
        <v>0</v>
      </c>
      <c r="N40" s="80">
        <f t="shared" si="18"/>
        <v>0</v>
      </c>
      <c r="O40" s="179">
        <f>O36*0.124</f>
        <v>0</v>
      </c>
      <c r="P40" s="80">
        <f t="shared" si="19"/>
        <v>0</v>
      </c>
      <c r="Q40" s="179">
        <f>Q36*0.124</f>
        <v>0</v>
      </c>
      <c r="R40" s="80">
        <f t="shared" si="20"/>
        <v>0</v>
      </c>
      <c r="S40" s="113">
        <f>S36*0.124</f>
        <v>0</v>
      </c>
      <c r="T40" s="80">
        <f t="shared" si="21"/>
        <v>0</v>
      </c>
      <c r="U40" s="113">
        <f>U36*0.124</f>
        <v>0</v>
      </c>
      <c r="V40" s="80">
        <f t="shared" si="22"/>
        <v>0</v>
      </c>
    </row>
    <row r="41" spans="1:22" ht="12.75" customHeight="1">
      <c r="A41" s="2" t="s">
        <v>376</v>
      </c>
      <c r="B41" s="35"/>
      <c r="C41" s="179">
        <f>C37*0.124</f>
        <v>12339.984</v>
      </c>
      <c r="D41" s="80">
        <f t="shared" si="13"/>
        <v>4.8392094117647062E-2</v>
      </c>
      <c r="E41" s="179">
        <f>E37*0.124</f>
        <v>13722.062208000001</v>
      </c>
      <c r="F41" s="80">
        <f t="shared" si="14"/>
        <v>3.5641720020779227E-2</v>
      </c>
      <c r="G41" s="179">
        <f>G37*0.124</f>
        <v>14202.334385280001</v>
      </c>
      <c r="H41" s="80">
        <f t="shared" si="15"/>
        <v>3.6165862962261271E-2</v>
      </c>
      <c r="I41" s="179">
        <f>I37*0.124</f>
        <v>14656.809085608962</v>
      </c>
      <c r="J41" s="80">
        <f t="shared" si="16"/>
        <v>3.6591343702993759E-2</v>
      </c>
      <c r="K41" s="179">
        <f>K37*0.124</f>
        <v>15023.229312749187</v>
      </c>
      <c r="L41" s="80">
        <f t="shared" si="17"/>
        <v>3.6770713034871179E-2</v>
      </c>
      <c r="M41" s="179">
        <f>M37*0.124</f>
        <v>15398.810045567914</v>
      </c>
      <c r="N41" s="80">
        <f t="shared" si="18"/>
        <v>3.6950961628179367E-2</v>
      </c>
      <c r="O41" s="179">
        <f>O37*0.124</f>
        <v>15783.780296707111</v>
      </c>
      <c r="P41" s="80">
        <f t="shared" si="19"/>
        <v>3.7132093793023381E-2</v>
      </c>
      <c r="Q41" s="179">
        <f>Q37*0.124</f>
        <v>16178.374804124789</v>
      </c>
      <c r="R41" s="80">
        <f t="shared" si="20"/>
        <v>3.7314113860636239E-2</v>
      </c>
      <c r="S41" s="179">
        <f>S37*0.124</f>
        <v>16582.834174227904</v>
      </c>
      <c r="T41" s="80">
        <f t="shared" si="21"/>
        <v>3.7497026183482489E-2</v>
      </c>
      <c r="U41" s="179">
        <f>U37*0.124</f>
        <v>16997.405028583602</v>
      </c>
      <c r="V41" s="80">
        <f t="shared" si="22"/>
        <v>3.7680835135362294E-2</v>
      </c>
    </row>
    <row r="42" spans="1:22" ht="12.75" customHeight="1">
      <c r="A42" s="2" t="s">
        <v>377</v>
      </c>
      <c r="B42" s="35"/>
      <c r="C42" s="179"/>
      <c r="D42" s="80">
        <f t="shared" si="13"/>
        <v>0</v>
      </c>
      <c r="E42" s="179"/>
      <c r="F42" s="80">
        <f t="shared" si="14"/>
        <v>0</v>
      </c>
      <c r="G42" s="179"/>
      <c r="H42" s="80">
        <f t="shared" si="15"/>
        <v>0</v>
      </c>
      <c r="I42" s="179"/>
      <c r="J42" s="80">
        <f t="shared" si="16"/>
        <v>0</v>
      </c>
      <c r="K42" s="179"/>
      <c r="L42" s="80">
        <f t="shared" si="17"/>
        <v>0</v>
      </c>
      <c r="M42" s="179"/>
      <c r="N42" s="80">
        <f t="shared" si="18"/>
        <v>0</v>
      </c>
      <c r="O42" s="179"/>
      <c r="P42" s="80">
        <f t="shared" si="19"/>
        <v>0</v>
      </c>
      <c r="Q42" s="179"/>
      <c r="R42" s="80">
        <f t="shared" si="20"/>
        <v>0</v>
      </c>
      <c r="S42" s="179"/>
      <c r="T42" s="80">
        <f t="shared" si="21"/>
        <v>0</v>
      </c>
      <c r="U42" s="179"/>
      <c r="V42" s="80">
        <f t="shared" si="22"/>
        <v>0</v>
      </c>
    </row>
    <row r="43" spans="1:22" ht="12.75" customHeight="1">
      <c r="A43" s="2" t="s">
        <v>378</v>
      </c>
      <c r="B43" s="35"/>
      <c r="C43" s="179"/>
      <c r="D43" s="80">
        <f t="shared" si="13"/>
        <v>0</v>
      </c>
      <c r="E43" s="179"/>
      <c r="F43" s="80">
        <f t="shared" si="14"/>
        <v>0</v>
      </c>
      <c r="G43" s="179"/>
      <c r="H43" s="80">
        <f t="shared" si="15"/>
        <v>0</v>
      </c>
      <c r="I43" s="179"/>
      <c r="J43" s="80">
        <f t="shared" si="16"/>
        <v>0</v>
      </c>
      <c r="K43" s="179"/>
      <c r="L43" s="80">
        <f t="shared" si="17"/>
        <v>0</v>
      </c>
      <c r="M43" s="179"/>
      <c r="N43" s="80">
        <f t="shared" si="18"/>
        <v>0</v>
      </c>
      <c r="O43" s="179"/>
      <c r="P43" s="80">
        <f t="shared" si="19"/>
        <v>0</v>
      </c>
      <c r="Q43" s="179"/>
      <c r="R43" s="80">
        <f t="shared" si="20"/>
        <v>0</v>
      </c>
      <c r="S43" s="179"/>
      <c r="T43" s="80">
        <f t="shared" si="21"/>
        <v>0</v>
      </c>
      <c r="U43" s="179"/>
      <c r="V43" s="80">
        <f t="shared" si="22"/>
        <v>0</v>
      </c>
    </row>
    <row r="44" spans="1:22" ht="12.75" customHeight="1">
      <c r="A44" s="2" t="s">
        <v>379</v>
      </c>
      <c r="B44" s="35"/>
      <c r="C44" s="179"/>
      <c r="D44" s="80">
        <f t="shared" si="13"/>
        <v>0</v>
      </c>
      <c r="E44" s="179"/>
      <c r="F44" s="80">
        <f t="shared" si="14"/>
        <v>0</v>
      </c>
      <c r="G44" s="179"/>
      <c r="H44" s="80">
        <f t="shared" si="15"/>
        <v>0</v>
      </c>
      <c r="I44" s="179"/>
      <c r="J44" s="80">
        <f t="shared" si="16"/>
        <v>0</v>
      </c>
      <c r="K44" s="179"/>
      <c r="L44" s="80">
        <f t="shared" si="17"/>
        <v>0</v>
      </c>
      <c r="M44" s="179"/>
      <c r="N44" s="80">
        <f t="shared" si="18"/>
        <v>0</v>
      </c>
      <c r="O44" s="179"/>
      <c r="P44" s="80">
        <f t="shared" si="19"/>
        <v>0</v>
      </c>
      <c r="Q44" s="179"/>
      <c r="R44" s="80">
        <f t="shared" si="20"/>
        <v>0</v>
      </c>
      <c r="S44" s="179"/>
      <c r="T44" s="80">
        <f t="shared" si="21"/>
        <v>0</v>
      </c>
      <c r="U44" s="179"/>
      <c r="V44" s="80">
        <f t="shared" si="22"/>
        <v>0</v>
      </c>
    </row>
    <row r="45" spans="1:22" ht="12.75" customHeight="1">
      <c r="A45" s="2" t="s">
        <v>380</v>
      </c>
      <c r="B45" s="35"/>
      <c r="C45" s="182">
        <f>SUM(C36:C39)*0.094</f>
        <v>9354.5040000000008</v>
      </c>
      <c r="D45" s="80">
        <f t="shared" si="13"/>
        <v>3.6684329411764707E-2</v>
      </c>
      <c r="E45" s="182">
        <f>SUM(E36:E39)*0.094</f>
        <v>10402.208448000001</v>
      </c>
      <c r="F45" s="80">
        <f t="shared" si="14"/>
        <v>2.7018723241558445E-2</v>
      </c>
      <c r="G45" s="182">
        <f>SUM(G36:G39)*0.094</f>
        <v>10766.28574368</v>
      </c>
      <c r="H45" s="80">
        <f t="shared" si="15"/>
        <v>2.7416057406875478E-2</v>
      </c>
      <c r="I45" s="182">
        <f>SUM(I36:I39)*0.094</f>
        <v>11110.806887477762</v>
      </c>
      <c r="J45" s="80">
        <f t="shared" si="16"/>
        <v>2.7738599258721075E-2</v>
      </c>
      <c r="K45" s="182">
        <f>SUM(K36:K39)*0.094</f>
        <v>11388.577059664705</v>
      </c>
      <c r="L45" s="80">
        <f t="shared" si="17"/>
        <v>2.7874572784499119E-2</v>
      </c>
      <c r="M45" s="182">
        <f>SUM(M36:M39)*0.094</f>
        <v>11673.291486156322</v>
      </c>
      <c r="N45" s="80">
        <f t="shared" si="18"/>
        <v>2.8011212847168229E-2</v>
      </c>
      <c r="O45" s="182">
        <f>SUM(O36:O39)*0.094</f>
        <v>11965.12377331023</v>
      </c>
      <c r="P45" s="80">
        <f t="shared" si="19"/>
        <v>2.8148522714066111E-2</v>
      </c>
      <c r="Q45" s="182">
        <f>SUM(Q36:Q39)*0.094</f>
        <v>12264.251867642985</v>
      </c>
      <c r="R45" s="80">
        <f t="shared" si="20"/>
        <v>2.8286505668546826E-2</v>
      </c>
      <c r="S45" s="182">
        <f>SUM(S36:S39)*0.094</f>
        <v>12570.858164334057</v>
      </c>
      <c r="T45" s="80">
        <f t="shared" si="21"/>
        <v>2.8425165010059303E-2</v>
      </c>
      <c r="U45" s="182">
        <f>SUM(U36:U39)*0.094</f>
        <v>12885.129618442408</v>
      </c>
      <c r="V45" s="80">
        <f t="shared" si="22"/>
        <v>2.8564504054226256E-2</v>
      </c>
    </row>
    <row r="46" spans="1:22" ht="12.75" customHeight="1">
      <c r="A46" s="1" t="s">
        <v>381</v>
      </c>
      <c r="B46" s="53"/>
      <c r="C46" s="82">
        <f>SUM(C36:C45)</f>
        <v>121210.488</v>
      </c>
      <c r="D46" s="83">
        <f t="shared" si="13"/>
        <v>0.47533524705882352</v>
      </c>
      <c r="E46" s="82">
        <f>SUM(E36:E45)</f>
        <v>134786.06265600002</v>
      </c>
      <c r="F46" s="83">
        <f t="shared" si="14"/>
        <v>0.3500936692363637</v>
      </c>
      <c r="G46" s="82">
        <f>SUM(G36:G45)</f>
        <v>139503.57484896001</v>
      </c>
      <c r="H46" s="83">
        <f t="shared" si="15"/>
        <v>0.35524210554866315</v>
      </c>
      <c r="I46" s="82">
        <f>SUM(I36:I45)</f>
        <v>143967.68924412673</v>
      </c>
      <c r="J46" s="83">
        <f t="shared" si="16"/>
        <v>0.35942142443747094</v>
      </c>
      <c r="K46" s="82">
        <f>SUM(K36:K45)</f>
        <v>147566.88147522992</v>
      </c>
      <c r="L46" s="83">
        <f t="shared" si="17"/>
        <v>0.36118329416510564</v>
      </c>
      <c r="M46" s="82">
        <f>SUM(M36:M45)</f>
        <v>151256.05351211064</v>
      </c>
      <c r="N46" s="83">
        <f t="shared" si="18"/>
        <v>0.36295380050905213</v>
      </c>
      <c r="O46" s="82">
        <f>SUM(O36:O45)</f>
        <v>155037.4548499134</v>
      </c>
      <c r="P46" s="83">
        <f t="shared" si="19"/>
        <v>0.36473298580566516</v>
      </c>
      <c r="Q46" s="82">
        <f>SUM(Q36:Q45)</f>
        <v>158913.39122116123</v>
      </c>
      <c r="R46" s="83">
        <f t="shared" si="20"/>
        <v>0.36652089259883014</v>
      </c>
      <c r="S46" s="82">
        <f>SUM(S36:S45)</f>
        <v>162886.22600169023</v>
      </c>
      <c r="T46" s="83">
        <f t="shared" si="21"/>
        <v>0.36831756364098123</v>
      </c>
      <c r="U46" s="82">
        <f>SUM(U36:U45)</f>
        <v>166958.38165173249</v>
      </c>
      <c r="V46" s="83">
        <f t="shared" si="22"/>
        <v>0.37012304189412321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4">IFERROR(C52/C$28,0)</f>
        <v>0</v>
      </c>
      <c r="E52" s="179">
        <v>0</v>
      </c>
      <c r="F52" s="80">
        <f t="shared" ref="F52:F104" si="25">IFERROR(E52/E$28,0)</f>
        <v>0</v>
      </c>
      <c r="G52" s="179">
        <v>0</v>
      </c>
      <c r="H52" s="80">
        <f t="shared" ref="H52:H104" si="26">IFERROR(G52/G$28,0)</f>
        <v>0</v>
      </c>
      <c r="I52" s="179">
        <v>0</v>
      </c>
      <c r="J52" s="80">
        <f t="shared" ref="J52:J104" si="27">IFERROR(I52/I$28,0)</f>
        <v>0</v>
      </c>
      <c r="K52" s="179">
        <v>0</v>
      </c>
      <c r="L52" s="80">
        <f t="shared" ref="L52:L104" si="28">IFERROR(K52/K$28,0)</f>
        <v>0</v>
      </c>
      <c r="M52" s="179">
        <v>0</v>
      </c>
      <c r="N52" s="80">
        <f t="shared" ref="N52:N104" si="29">IFERROR(M52/M$28,0)</f>
        <v>0</v>
      </c>
      <c r="O52" s="179">
        <v>0</v>
      </c>
      <c r="P52" s="80">
        <f t="shared" ref="P52:P104" si="30">IFERROR(O52/O$28,0)</f>
        <v>0</v>
      </c>
      <c r="Q52" s="179">
        <v>0</v>
      </c>
      <c r="R52" s="80">
        <f t="shared" ref="R52:R104" si="31">IFERROR(Q52/Q$28,0)</f>
        <v>0</v>
      </c>
      <c r="S52" s="179">
        <v>0</v>
      </c>
      <c r="T52" s="80">
        <f t="shared" ref="T52:T104" si="32">IFERROR(S52/S$28,0)</f>
        <v>0</v>
      </c>
      <c r="U52" s="179">
        <v>0</v>
      </c>
      <c r="V52" s="80">
        <f t="shared" ref="V52:V105" si="33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4"/>
        <v>0</v>
      </c>
      <c r="E53" s="179">
        <v>0</v>
      </c>
      <c r="F53" s="80">
        <f t="shared" si="25"/>
        <v>0</v>
      </c>
      <c r="G53" s="179">
        <v>0</v>
      </c>
      <c r="H53" s="80">
        <f t="shared" si="26"/>
        <v>0</v>
      </c>
      <c r="I53" s="179">
        <v>0</v>
      </c>
      <c r="J53" s="80">
        <f t="shared" si="27"/>
        <v>0</v>
      </c>
      <c r="K53" s="179">
        <v>0</v>
      </c>
      <c r="L53" s="80">
        <f t="shared" si="28"/>
        <v>0</v>
      </c>
      <c r="M53" s="179">
        <v>0</v>
      </c>
      <c r="N53" s="80">
        <f t="shared" si="29"/>
        <v>0</v>
      </c>
      <c r="O53" s="179">
        <v>0</v>
      </c>
      <c r="P53" s="80">
        <f t="shared" si="30"/>
        <v>0</v>
      </c>
      <c r="Q53" s="179">
        <v>0</v>
      </c>
      <c r="R53" s="80">
        <f t="shared" si="31"/>
        <v>0</v>
      </c>
      <c r="S53" s="179">
        <v>0</v>
      </c>
      <c r="T53" s="80">
        <f t="shared" si="32"/>
        <v>0</v>
      </c>
      <c r="U53" s="179">
        <v>0</v>
      </c>
      <c r="V53" s="80">
        <f t="shared" si="33"/>
        <v>0</v>
      </c>
      <c r="X53" s="200"/>
    </row>
    <row r="54" spans="1:24" ht="12.75" customHeight="1">
      <c r="A54" s="2" t="s">
        <v>385</v>
      </c>
      <c r="B54" s="35"/>
      <c r="C54" s="179">
        <v>178.5</v>
      </c>
      <c r="D54" s="80">
        <f t="shared" si="24"/>
        <v>6.9999999999999999E-4</v>
      </c>
      <c r="E54" s="179">
        <v>269.5</v>
      </c>
      <c r="F54" s="80">
        <f t="shared" si="25"/>
        <v>6.9999999999999999E-4</v>
      </c>
      <c r="G54" s="179">
        <v>274.89000000000004</v>
      </c>
      <c r="H54" s="80">
        <f t="shared" si="26"/>
        <v>7.000000000000001E-4</v>
      </c>
      <c r="I54" s="179">
        <v>280.38779999999997</v>
      </c>
      <c r="J54" s="80">
        <f t="shared" si="27"/>
        <v>6.9999999999999988E-4</v>
      </c>
      <c r="K54" s="179">
        <v>285.99555599999997</v>
      </c>
      <c r="L54" s="80">
        <f t="shared" si="28"/>
        <v>6.9999999999999988E-4</v>
      </c>
      <c r="M54" s="179">
        <v>291.71546711999997</v>
      </c>
      <c r="N54" s="80">
        <f t="shared" si="29"/>
        <v>6.9999999999999988E-4</v>
      </c>
      <c r="O54" s="179">
        <v>297.54977646239996</v>
      </c>
      <c r="P54" s="80">
        <f t="shared" si="30"/>
        <v>6.9999999999999988E-4</v>
      </c>
      <c r="Q54" s="179">
        <v>303.50077199164804</v>
      </c>
      <c r="R54" s="80">
        <f t="shared" si="31"/>
        <v>6.9999999999999999E-4</v>
      </c>
      <c r="S54" s="179">
        <v>309.57078743148094</v>
      </c>
      <c r="T54" s="80">
        <f t="shared" si="32"/>
        <v>6.9999999999999988E-4</v>
      </c>
      <c r="U54" s="179">
        <v>315.7622031801107</v>
      </c>
      <c r="V54" s="80">
        <f t="shared" si="33"/>
        <v>7.000000000000001E-4</v>
      </c>
      <c r="X54" s="200"/>
    </row>
    <row r="55" spans="1:24" ht="12.75" customHeight="1">
      <c r="A55" s="2" t="s">
        <v>386</v>
      </c>
      <c r="B55" s="35"/>
      <c r="C55" s="179">
        <v>25500</v>
      </c>
      <c r="D55" s="80">
        <f t="shared" si="24"/>
        <v>0.1</v>
      </c>
      <c r="E55" s="179">
        <v>38500</v>
      </c>
      <c r="F55" s="80">
        <f t="shared" si="25"/>
        <v>0.1</v>
      </c>
      <c r="G55" s="179">
        <v>39270</v>
      </c>
      <c r="H55" s="80">
        <f t="shared" si="26"/>
        <v>0.1</v>
      </c>
      <c r="I55" s="179">
        <v>40055.4</v>
      </c>
      <c r="J55" s="80">
        <f t="shared" si="27"/>
        <v>0.1</v>
      </c>
      <c r="K55" s="179">
        <v>40856.508000000002</v>
      </c>
      <c r="L55" s="80">
        <f t="shared" si="28"/>
        <v>0.1</v>
      </c>
      <c r="M55" s="179">
        <v>41673.638160000002</v>
      </c>
      <c r="N55" s="80">
        <f t="shared" si="29"/>
        <v>0.1</v>
      </c>
      <c r="O55" s="179">
        <v>42507.110923200002</v>
      </c>
      <c r="P55" s="80">
        <f t="shared" si="30"/>
        <v>0.1</v>
      </c>
      <c r="Q55" s="179">
        <v>43357.253141664005</v>
      </c>
      <c r="R55" s="80">
        <f t="shared" si="31"/>
        <v>0.1</v>
      </c>
      <c r="S55" s="179">
        <v>44224.398204497287</v>
      </c>
      <c r="T55" s="80">
        <f t="shared" si="32"/>
        <v>0.1</v>
      </c>
      <c r="U55" s="179">
        <v>45108.88616858724</v>
      </c>
      <c r="V55" s="80">
        <f t="shared" si="33"/>
        <v>0.1</v>
      </c>
      <c r="X55" s="200"/>
    </row>
    <row r="56" spans="1:24" ht="12.75" customHeight="1">
      <c r="A56" s="2" t="s">
        <v>387</v>
      </c>
      <c r="B56" s="35"/>
      <c r="C56" s="179">
        <v>130.05000000000001</v>
      </c>
      <c r="D56" s="80">
        <f t="shared" si="24"/>
        <v>5.1000000000000004E-4</v>
      </c>
      <c r="E56" s="179">
        <v>196.35000000000005</v>
      </c>
      <c r="F56" s="80">
        <f t="shared" si="25"/>
        <v>5.1000000000000015E-4</v>
      </c>
      <c r="G56" s="179">
        <v>200.27700000000002</v>
      </c>
      <c r="H56" s="80">
        <f t="shared" si="26"/>
        <v>5.1000000000000004E-4</v>
      </c>
      <c r="I56" s="179">
        <v>204.28254000000004</v>
      </c>
      <c r="J56" s="80">
        <f t="shared" si="27"/>
        <v>5.1000000000000015E-4</v>
      </c>
      <c r="K56" s="179">
        <v>208.36819080000001</v>
      </c>
      <c r="L56" s="80">
        <f t="shared" si="28"/>
        <v>5.1000000000000004E-4</v>
      </c>
      <c r="M56" s="179">
        <v>212.53555461600001</v>
      </c>
      <c r="N56" s="80">
        <f t="shared" si="29"/>
        <v>5.1000000000000004E-4</v>
      </c>
      <c r="O56" s="179">
        <v>216.78626570832003</v>
      </c>
      <c r="P56" s="80">
        <f t="shared" si="30"/>
        <v>5.1000000000000004E-4</v>
      </c>
      <c r="Q56" s="179">
        <v>221.12199102248647</v>
      </c>
      <c r="R56" s="80">
        <f t="shared" si="31"/>
        <v>5.1000000000000015E-4</v>
      </c>
      <c r="S56" s="179">
        <v>225.54443084293615</v>
      </c>
      <c r="T56" s="80">
        <f t="shared" si="32"/>
        <v>5.1000000000000004E-4</v>
      </c>
      <c r="U56" s="179">
        <v>230.05531945979493</v>
      </c>
      <c r="V56" s="80">
        <f t="shared" si="33"/>
        <v>5.1000000000000004E-4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4"/>
        <v>0</v>
      </c>
      <c r="E57" s="179">
        <v>0</v>
      </c>
      <c r="F57" s="80">
        <f t="shared" si="25"/>
        <v>0</v>
      </c>
      <c r="G57" s="179">
        <v>0</v>
      </c>
      <c r="H57" s="80">
        <f t="shared" si="26"/>
        <v>0</v>
      </c>
      <c r="I57" s="179">
        <v>0</v>
      </c>
      <c r="J57" s="80">
        <f t="shared" si="27"/>
        <v>0</v>
      </c>
      <c r="K57" s="179">
        <v>0</v>
      </c>
      <c r="L57" s="80">
        <f t="shared" si="28"/>
        <v>0</v>
      </c>
      <c r="M57" s="179">
        <v>0</v>
      </c>
      <c r="N57" s="80">
        <f t="shared" si="29"/>
        <v>0</v>
      </c>
      <c r="O57" s="179">
        <v>0</v>
      </c>
      <c r="P57" s="80">
        <f t="shared" si="30"/>
        <v>0</v>
      </c>
      <c r="Q57" s="179">
        <v>0</v>
      </c>
      <c r="R57" s="80">
        <f t="shared" si="31"/>
        <v>0</v>
      </c>
      <c r="S57" s="179">
        <v>0</v>
      </c>
      <c r="T57" s="80">
        <f t="shared" si="32"/>
        <v>0</v>
      </c>
      <c r="U57" s="179">
        <v>0</v>
      </c>
      <c r="V57" s="80">
        <f t="shared" si="33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4"/>
        <v>0</v>
      </c>
      <c r="E58" s="179">
        <v>0</v>
      </c>
      <c r="F58" s="80">
        <f t="shared" si="25"/>
        <v>0</v>
      </c>
      <c r="G58" s="179">
        <v>0</v>
      </c>
      <c r="H58" s="80">
        <f t="shared" si="26"/>
        <v>0</v>
      </c>
      <c r="I58" s="179">
        <v>0</v>
      </c>
      <c r="J58" s="80">
        <f t="shared" si="27"/>
        <v>0</v>
      </c>
      <c r="K58" s="179">
        <v>0</v>
      </c>
      <c r="L58" s="80">
        <f t="shared" si="28"/>
        <v>0</v>
      </c>
      <c r="M58" s="179">
        <v>0</v>
      </c>
      <c r="N58" s="80">
        <f t="shared" si="29"/>
        <v>0</v>
      </c>
      <c r="O58" s="179">
        <v>0</v>
      </c>
      <c r="P58" s="80">
        <f t="shared" si="30"/>
        <v>0</v>
      </c>
      <c r="Q58" s="179">
        <v>0</v>
      </c>
      <c r="R58" s="80">
        <f t="shared" si="31"/>
        <v>0</v>
      </c>
      <c r="S58" s="179">
        <v>0</v>
      </c>
      <c r="T58" s="80">
        <f t="shared" si="32"/>
        <v>0</v>
      </c>
      <c r="U58" s="179">
        <v>0</v>
      </c>
      <c r="V58" s="80">
        <f t="shared" si="33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4"/>
        <v>0</v>
      </c>
      <c r="E59" s="179">
        <v>0</v>
      </c>
      <c r="F59" s="80">
        <f t="shared" si="25"/>
        <v>0</v>
      </c>
      <c r="G59" s="179">
        <v>0</v>
      </c>
      <c r="H59" s="80">
        <f t="shared" si="26"/>
        <v>0</v>
      </c>
      <c r="I59" s="179">
        <v>0</v>
      </c>
      <c r="J59" s="80">
        <f t="shared" si="27"/>
        <v>0</v>
      </c>
      <c r="K59" s="179">
        <v>0</v>
      </c>
      <c r="L59" s="80">
        <f t="shared" si="28"/>
        <v>0</v>
      </c>
      <c r="M59" s="179">
        <v>0</v>
      </c>
      <c r="N59" s="80">
        <f t="shared" si="29"/>
        <v>0</v>
      </c>
      <c r="O59" s="179">
        <v>0</v>
      </c>
      <c r="P59" s="80">
        <f t="shared" si="30"/>
        <v>0</v>
      </c>
      <c r="Q59" s="179">
        <v>0</v>
      </c>
      <c r="R59" s="80">
        <f t="shared" si="31"/>
        <v>0</v>
      </c>
      <c r="S59" s="179">
        <v>0</v>
      </c>
      <c r="T59" s="80">
        <f t="shared" si="32"/>
        <v>0</v>
      </c>
      <c r="U59" s="179">
        <v>0</v>
      </c>
      <c r="V59" s="80">
        <f t="shared" si="33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4"/>
        <v>0</v>
      </c>
      <c r="E60" s="179">
        <v>0</v>
      </c>
      <c r="F60" s="80">
        <f t="shared" si="25"/>
        <v>0</v>
      </c>
      <c r="G60" s="179">
        <v>0</v>
      </c>
      <c r="H60" s="80">
        <f t="shared" si="26"/>
        <v>0</v>
      </c>
      <c r="I60" s="179">
        <v>0</v>
      </c>
      <c r="J60" s="80">
        <f t="shared" si="27"/>
        <v>0</v>
      </c>
      <c r="K60" s="179">
        <v>0</v>
      </c>
      <c r="L60" s="80">
        <f t="shared" si="28"/>
        <v>0</v>
      </c>
      <c r="M60" s="179">
        <v>0</v>
      </c>
      <c r="N60" s="80">
        <f t="shared" si="29"/>
        <v>0</v>
      </c>
      <c r="O60" s="179">
        <v>0</v>
      </c>
      <c r="P60" s="80">
        <f t="shared" si="30"/>
        <v>0</v>
      </c>
      <c r="Q60" s="179">
        <v>0</v>
      </c>
      <c r="R60" s="80">
        <f t="shared" si="31"/>
        <v>0</v>
      </c>
      <c r="S60" s="179">
        <v>0</v>
      </c>
      <c r="T60" s="80">
        <f t="shared" si="32"/>
        <v>0</v>
      </c>
      <c r="U60" s="179">
        <v>0</v>
      </c>
      <c r="V60" s="80">
        <f t="shared" si="33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4"/>
        <v>0</v>
      </c>
      <c r="E61" s="179">
        <v>0</v>
      </c>
      <c r="F61" s="80">
        <f t="shared" si="25"/>
        <v>0</v>
      </c>
      <c r="G61" s="179">
        <v>0</v>
      </c>
      <c r="H61" s="80">
        <f t="shared" si="26"/>
        <v>0</v>
      </c>
      <c r="I61" s="179">
        <v>0</v>
      </c>
      <c r="J61" s="80">
        <f t="shared" si="27"/>
        <v>0</v>
      </c>
      <c r="K61" s="179">
        <v>0</v>
      </c>
      <c r="L61" s="80">
        <f t="shared" si="28"/>
        <v>0</v>
      </c>
      <c r="M61" s="179">
        <v>0</v>
      </c>
      <c r="N61" s="80">
        <f t="shared" si="29"/>
        <v>0</v>
      </c>
      <c r="O61" s="179">
        <v>0</v>
      </c>
      <c r="P61" s="80">
        <f t="shared" si="30"/>
        <v>0</v>
      </c>
      <c r="Q61" s="179">
        <v>0</v>
      </c>
      <c r="R61" s="80">
        <f t="shared" si="31"/>
        <v>0</v>
      </c>
      <c r="S61" s="179">
        <v>0</v>
      </c>
      <c r="T61" s="80">
        <f t="shared" si="32"/>
        <v>0</v>
      </c>
      <c r="U61" s="179">
        <v>0</v>
      </c>
      <c r="V61" s="80">
        <f t="shared" si="33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4"/>
        <v>0</v>
      </c>
      <c r="E62" s="179">
        <v>0</v>
      </c>
      <c r="F62" s="80">
        <f t="shared" si="25"/>
        <v>0</v>
      </c>
      <c r="G62" s="179">
        <v>0</v>
      </c>
      <c r="H62" s="80">
        <f t="shared" si="26"/>
        <v>0</v>
      </c>
      <c r="I62" s="179">
        <v>0</v>
      </c>
      <c r="J62" s="80">
        <f t="shared" si="27"/>
        <v>0</v>
      </c>
      <c r="K62" s="179">
        <v>0</v>
      </c>
      <c r="L62" s="80">
        <f t="shared" si="28"/>
        <v>0</v>
      </c>
      <c r="M62" s="179">
        <v>0</v>
      </c>
      <c r="N62" s="80">
        <f t="shared" si="29"/>
        <v>0</v>
      </c>
      <c r="O62" s="179">
        <v>0</v>
      </c>
      <c r="P62" s="80">
        <f t="shared" si="30"/>
        <v>0</v>
      </c>
      <c r="Q62" s="179">
        <v>0</v>
      </c>
      <c r="R62" s="80">
        <f t="shared" si="31"/>
        <v>0</v>
      </c>
      <c r="S62" s="179">
        <v>0</v>
      </c>
      <c r="T62" s="80">
        <f t="shared" si="32"/>
        <v>0</v>
      </c>
      <c r="U62" s="179">
        <v>0</v>
      </c>
      <c r="V62" s="80">
        <f t="shared" si="33"/>
        <v>0</v>
      </c>
      <c r="X62" s="200"/>
    </row>
    <row r="63" spans="1:24" ht="12.75" customHeight="1">
      <c r="A63" s="2" t="s">
        <v>394</v>
      </c>
      <c r="B63" s="35"/>
      <c r="C63" s="179">
        <v>3499.2210650386428</v>
      </c>
      <c r="D63" s="80">
        <f t="shared" si="24"/>
        <v>1.3722435549171148E-2</v>
      </c>
      <c r="E63" s="179">
        <v>2986.5683747240232</v>
      </c>
      <c r="F63" s="80">
        <f t="shared" si="25"/>
        <v>7.7573204538286316E-3</v>
      </c>
      <c r="G63" s="179">
        <v>3496.0295867172658</v>
      </c>
      <c r="H63" s="80">
        <f t="shared" si="26"/>
        <v>8.9025454207213289E-3</v>
      </c>
      <c r="I63" s="179">
        <v>3534.7529217454403</v>
      </c>
      <c r="J63" s="80">
        <f t="shared" si="27"/>
        <v>8.8246601500557732E-3</v>
      </c>
      <c r="K63" s="179">
        <v>3563.9265413506928</v>
      </c>
      <c r="L63" s="80">
        <f t="shared" si="28"/>
        <v>8.723032671687685E-3</v>
      </c>
      <c r="M63" s="179">
        <v>3627.5638743823461</v>
      </c>
      <c r="N63" s="80">
        <f t="shared" si="29"/>
        <v>8.7046968648497418E-3</v>
      </c>
      <c r="O63" s="179">
        <v>3692.5415795615449</v>
      </c>
      <c r="P63" s="80">
        <f t="shared" si="30"/>
        <v>8.686879675810168E-3</v>
      </c>
      <c r="Q63" s="179">
        <v>3758.758255325135</v>
      </c>
      <c r="R63" s="80">
        <f t="shared" si="31"/>
        <v>8.6692721124281037E-3</v>
      </c>
      <c r="S63" s="179">
        <v>3826.1134054616859</v>
      </c>
      <c r="T63" s="80">
        <f t="shared" si="32"/>
        <v>8.6515895315735451E-3</v>
      </c>
      <c r="U63" s="179">
        <v>4043.6298993502696</v>
      </c>
      <c r="V63" s="80">
        <f t="shared" si="33"/>
        <v>8.9641537240308933E-3</v>
      </c>
      <c r="X63" s="200"/>
    </row>
    <row r="64" spans="1:24" ht="12.75" customHeight="1">
      <c r="A64" s="2" t="s">
        <v>395</v>
      </c>
      <c r="B64" s="35"/>
      <c r="C64" s="179">
        <v>1223.9999999999998</v>
      </c>
      <c r="D64" s="80">
        <f t="shared" si="24"/>
        <v>4.7999999999999987E-3</v>
      </c>
      <c r="E64" s="179">
        <v>1848</v>
      </c>
      <c r="F64" s="80">
        <f t="shared" si="25"/>
        <v>4.7999999999999996E-3</v>
      </c>
      <c r="G64" s="179">
        <v>1884.9599999999998</v>
      </c>
      <c r="H64" s="80">
        <f t="shared" si="26"/>
        <v>4.7999999999999996E-3</v>
      </c>
      <c r="I64" s="179">
        <v>1922.6591999999998</v>
      </c>
      <c r="J64" s="80">
        <f t="shared" si="27"/>
        <v>4.7999999999999996E-3</v>
      </c>
      <c r="K64" s="179">
        <v>1961.1123839999996</v>
      </c>
      <c r="L64" s="80">
        <f t="shared" si="28"/>
        <v>4.7999999999999987E-3</v>
      </c>
      <c r="M64" s="179">
        <v>2000.3346316799998</v>
      </c>
      <c r="N64" s="80">
        <f t="shared" si="29"/>
        <v>4.7999999999999996E-3</v>
      </c>
      <c r="O64" s="179">
        <v>2040.3413243135999</v>
      </c>
      <c r="P64" s="80">
        <f t="shared" si="30"/>
        <v>4.7999999999999996E-3</v>
      </c>
      <c r="Q64" s="179">
        <v>2081.1481507998719</v>
      </c>
      <c r="R64" s="80">
        <f t="shared" si="31"/>
        <v>4.7999999999999996E-3</v>
      </c>
      <c r="S64" s="179">
        <v>2122.7711138158693</v>
      </c>
      <c r="T64" s="80">
        <f t="shared" si="32"/>
        <v>4.7999999999999996E-3</v>
      </c>
      <c r="U64" s="179">
        <v>2165.2265360921874</v>
      </c>
      <c r="V64" s="80">
        <f t="shared" si="33"/>
        <v>4.8000000000000004E-3</v>
      </c>
      <c r="X64" s="200"/>
    </row>
    <row r="65" spans="1:24" ht="12.75" customHeight="1">
      <c r="A65" s="2" t="s">
        <v>396</v>
      </c>
      <c r="B65" s="35"/>
      <c r="C65" s="179">
        <v>127.5</v>
      </c>
      <c r="D65" s="80">
        <f t="shared" si="24"/>
        <v>5.0000000000000001E-4</v>
      </c>
      <c r="E65" s="179">
        <v>192.50000000000003</v>
      </c>
      <c r="F65" s="80">
        <f t="shared" si="25"/>
        <v>5.0000000000000012E-4</v>
      </c>
      <c r="G65" s="179">
        <v>196.35000000000002</v>
      </c>
      <c r="H65" s="80">
        <f t="shared" si="26"/>
        <v>5.0000000000000001E-4</v>
      </c>
      <c r="I65" s="179">
        <v>200.27700000000002</v>
      </c>
      <c r="J65" s="80">
        <f t="shared" si="27"/>
        <v>5.0000000000000001E-4</v>
      </c>
      <c r="K65" s="179">
        <v>204.28254000000001</v>
      </c>
      <c r="L65" s="80">
        <f t="shared" si="28"/>
        <v>5.0000000000000001E-4</v>
      </c>
      <c r="M65" s="179">
        <v>208.36819080000001</v>
      </c>
      <c r="N65" s="80">
        <f t="shared" si="29"/>
        <v>5.0000000000000001E-4</v>
      </c>
      <c r="O65" s="179">
        <v>212.53555461600001</v>
      </c>
      <c r="P65" s="80">
        <f t="shared" si="30"/>
        <v>5.0000000000000001E-4</v>
      </c>
      <c r="Q65" s="179">
        <v>216.78626570832003</v>
      </c>
      <c r="R65" s="80">
        <f t="shared" si="31"/>
        <v>5.0000000000000001E-4</v>
      </c>
      <c r="S65" s="179">
        <v>221.12199102248641</v>
      </c>
      <c r="T65" s="80">
        <f t="shared" si="32"/>
        <v>5.0000000000000001E-4</v>
      </c>
      <c r="U65" s="179">
        <v>225.54443084293621</v>
      </c>
      <c r="V65" s="80">
        <f t="shared" si="33"/>
        <v>5.0000000000000001E-4</v>
      </c>
      <c r="X65" s="200"/>
    </row>
    <row r="66" spans="1:24" ht="12.75" customHeight="1">
      <c r="A66" s="2" t="s">
        <v>397</v>
      </c>
      <c r="B66" s="35"/>
      <c r="C66" s="179">
        <v>714</v>
      </c>
      <c r="D66" s="80">
        <f t="shared" si="24"/>
        <v>2.8E-3</v>
      </c>
      <c r="E66" s="179">
        <v>1078</v>
      </c>
      <c r="F66" s="80">
        <f t="shared" si="25"/>
        <v>2.8E-3</v>
      </c>
      <c r="G66" s="179">
        <v>1099.5600000000002</v>
      </c>
      <c r="H66" s="80">
        <f t="shared" si="26"/>
        <v>2.8000000000000004E-3</v>
      </c>
      <c r="I66" s="179">
        <v>1121.5511999999999</v>
      </c>
      <c r="J66" s="80">
        <f t="shared" si="27"/>
        <v>2.7999999999999995E-3</v>
      </c>
      <c r="K66" s="179">
        <v>1143.9822239999999</v>
      </c>
      <c r="L66" s="80">
        <f t="shared" si="28"/>
        <v>2.7999999999999995E-3</v>
      </c>
      <c r="M66" s="179">
        <v>1166.8618684799999</v>
      </c>
      <c r="N66" s="80">
        <f t="shared" si="29"/>
        <v>2.7999999999999995E-3</v>
      </c>
      <c r="O66" s="179">
        <v>1190.1991058495998</v>
      </c>
      <c r="P66" s="80">
        <f t="shared" si="30"/>
        <v>2.7999999999999995E-3</v>
      </c>
      <c r="Q66" s="179">
        <v>1214.0030879665921</v>
      </c>
      <c r="R66" s="80">
        <f t="shared" si="31"/>
        <v>2.8E-3</v>
      </c>
      <c r="S66" s="179">
        <v>1238.2831497259237</v>
      </c>
      <c r="T66" s="80">
        <f t="shared" si="32"/>
        <v>2.7999999999999995E-3</v>
      </c>
      <c r="U66" s="179">
        <v>1263.0488127204428</v>
      </c>
      <c r="V66" s="80">
        <f t="shared" si="33"/>
        <v>2.8000000000000004E-3</v>
      </c>
      <c r="X66" s="200"/>
    </row>
    <row r="67" spans="1:24" ht="12.75" customHeight="1">
      <c r="A67" s="2" t="s">
        <v>398</v>
      </c>
      <c r="B67" s="35"/>
      <c r="C67" s="179">
        <v>3825</v>
      </c>
      <c r="D67" s="80">
        <f t="shared" si="24"/>
        <v>1.4999999999999999E-2</v>
      </c>
      <c r="E67" s="179">
        <v>5775</v>
      </c>
      <c r="F67" s="80">
        <f t="shared" si="25"/>
        <v>1.4999999999999999E-2</v>
      </c>
      <c r="G67" s="179">
        <v>5890.5</v>
      </c>
      <c r="H67" s="80">
        <f t="shared" si="26"/>
        <v>1.4999999999999999E-2</v>
      </c>
      <c r="I67" s="179">
        <v>6008.3099999999995</v>
      </c>
      <c r="J67" s="80">
        <f t="shared" si="27"/>
        <v>1.4999999999999999E-2</v>
      </c>
      <c r="K67" s="179">
        <v>6128.4762000000001</v>
      </c>
      <c r="L67" s="80">
        <f t="shared" si="28"/>
        <v>1.4999999999999999E-2</v>
      </c>
      <c r="M67" s="179">
        <v>6251.0457239999996</v>
      </c>
      <c r="N67" s="80">
        <f t="shared" si="29"/>
        <v>1.4999999999999998E-2</v>
      </c>
      <c r="O67" s="179">
        <v>6376.0666384799997</v>
      </c>
      <c r="P67" s="80">
        <f t="shared" si="30"/>
        <v>1.4999999999999999E-2</v>
      </c>
      <c r="Q67" s="179">
        <v>6503.5879712496007</v>
      </c>
      <c r="R67" s="80">
        <f t="shared" si="31"/>
        <v>1.5000000000000001E-2</v>
      </c>
      <c r="S67" s="179">
        <v>6633.6597306745925</v>
      </c>
      <c r="T67" s="80">
        <f t="shared" si="32"/>
        <v>1.4999999999999999E-2</v>
      </c>
      <c r="U67" s="179">
        <v>6766.3329252880858</v>
      </c>
      <c r="V67" s="80">
        <f t="shared" si="33"/>
        <v>1.5000000000000001E-2</v>
      </c>
      <c r="X67" s="200"/>
    </row>
    <row r="68" spans="1:24" ht="12.75" customHeight="1">
      <c r="A68" s="2" t="s">
        <v>399</v>
      </c>
      <c r="B68" s="35"/>
      <c r="C68" s="179">
        <v>433.5</v>
      </c>
      <c r="D68" s="80">
        <f t="shared" si="24"/>
        <v>1.6999999999999999E-3</v>
      </c>
      <c r="E68" s="179">
        <v>654.5</v>
      </c>
      <c r="F68" s="80">
        <f t="shared" si="25"/>
        <v>1.6999999999999999E-3</v>
      </c>
      <c r="G68" s="179">
        <v>667.59</v>
      </c>
      <c r="H68" s="80">
        <f t="shared" si="26"/>
        <v>1.7000000000000001E-3</v>
      </c>
      <c r="I68" s="179">
        <v>680.94180000000006</v>
      </c>
      <c r="J68" s="80">
        <f t="shared" si="27"/>
        <v>1.7000000000000001E-3</v>
      </c>
      <c r="K68" s="179">
        <v>694.56063599999993</v>
      </c>
      <c r="L68" s="80">
        <f t="shared" si="28"/>
        <v>1.6999999999999997E-3</v>
      </c>
      <c r="M68" s="179">
        <v>708.45184871999993</v>
      </c>
      <c r="N68" s="80">
        <f t="shared" si="29"/>
        <v>1.6999999999999997E-3</v>
      </c>
      <c r="O68" s="179">
        <v>722.62088569440004</v>
      </c>
      <c r="P68" s="80">
        <f t="shared" si="30"/>
        <v>1.7000000000000001E-3</v>
      </c>
      <c r="Q68" s="179">
        <v>737.0733034082881</v>
      </c>
      <c r="R68" s="80">
        <f t="shared" si="31"/>
        <v>1.7000000000000001E-3</v>
      </c>
      <c r="S68" s="179">
        <v>751.81476947645376</v>
      </c>
      <c r="T68" s="80">
        <f t="shared" si="32"/>
        <v>1.6999999999999999E-3</v>
      </c>
      <c r="U68" s="179">
        <v>766.85106486598295</v>
      </c>
      <c r="V68" s="80">
        <f t="shared" si="33"/>
        <v>1.6999999999999999E-3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4"/>
        <v>0</v>
      </c>
      <c r="E69" s="179">
        <v>0</v>
      </c>
      <c r="F69" s="80">
        <f t="shared" si="25"/>
        <v>0</v>
      </c>
      <c r="G69" s="179">
        <v>0</v>
      </c>
      <c r="H69" s="80">
        <f t="shared" si="26"/>
        <v>0</v>
      </c>
      <c r="I69" s="179">
        <v>0</v>
      </c>
      <c r="J69" s="80">
        <f t="shared" si="27"/>
        <v>0</v>
      </c>
      <c r="K69" s="179">
        <v>0</v>
      </c>
      <c r="L69" s="80">
        <f t="shared" si="28"/>
        <v>0</v>
      </c>
      <c r="M69" s="179">
        <v>0</v>
      </c>
      <c r="N69" s="80">
        <f t="shared" si="29"/>
        <v>0</v>
      </c>
      <c r="O69" s="179">
        <v>0</v>
      </c>
      <c r="P69" s="80">
        <f t="shared" si="30"/>
        <v>0</v>
      </c>
      <c r="Q69" s="179">
        <v>0</v>
      </c>
      <c r="R69" s="80">
        <f t="shared" si="31"/>
        <v>0</v>
      </c>
      <c r="S69" s="179">
        <v>0</v>
      </c>
      <c r="T69" s="80">
        <f t="shared" si="32"/>
        <v>0</v>
      </c>
      <c r="U69" s="179">
        <v>0</v>
      </c>
      <c r="V69" s="80">
        <f t="shared" si="33"/>
        <v>0</v>
      </c>
      <c r="X69" s="200"/>
    </row>
    <row r="70" spans="1:24" ht="12.75" customHeight="1">
      <c r="A70" s="2" t="s">
        <v>401</v>
      </c>
      <c r="B70" s="35"/>
      <c r="C70" s="179">
        <v>25.500000000000004</v>
      </c>
      <c r="D70" s="80">
        <f t="shared" si="24"/>
        <v>1.0000000000000002E-4</v>
      </c>
      <c r="E70" s="179">
        <v>38.500000000000007</v>
      </c>
      <c r="F70" s="80">
        <f t="shared" si="25"/>
        <v>1.0000000000000002E-4</v>
      </c>
      <c r="G70" s="179">
        <v>39.270000000000003</v>
      </c>
      <c r="H70" s="80">
        <f t="shared" si="26"/>
        <v>1E-4</v>
      </c>
      <c r="I70" s="179">
        <v>40.055400000000006</v>
      </c>
      <c r="J70" s="80">
        <f t="shared" si="27"/>
        <v>1.0000000000000002E-4</v>
      </c>
      <c r="K70" s="179">
        <v>40.856508000000005</v>
      </c>
      <c r="L70" s="80">
        <f t="shared" si="28"/>
        <v>1E-4</v>
      </c>
      <c r="M70" s="179">
        <v>41.673638160000003</v>
      </c>
      <c r="N70" s="80">
        <f t="shared" si="29"/>
        <v>1E-4</v>
      </c>
      <c r="O70" s="179">
        <v>42.507110923200003</v>
      </c>
      <c r="P70" s="80">
        <f t="shared" si="30"/>
        <v>1E-4</v>
      </c>
      <c r="Q70" s="179">
        <v>43.35725314166401</v>
      </c>
      <c r="R70" s="80">
        <f t="shared" si="31"/>
        <v>1.0000000000000002E-4</v>
      </c>
      <c r="S70" s="179">
        <v>44.224398204497284</v>
      </c>
      <c r="T70" s="80">
        <f t="shared" si="32"/>
        <v>1E-4</v>
      </c>
      <c r="U70" s="179">
        <v>45.108886168587247</v>
      </c>
      <c r="V70" s="80">
        <f t="shared" si="33"/>
        <v>1.0000000000000002E-4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4"/>
        <v>0</v>
      </c>
      <c r="E71" s="179">
        <v>0</v>
      </c>
      <c r="F71" s="80">
        <f t="shared" si="25"/>
        <v>0</v>
      </c>
      <c r="G71" s="179">
        <v>0</v>
      </c>
      <c r="H71" s="80">
        <f t="shared" si="26"/>
        <v>0</v>
      </c>
      <c r="I71" s="179">
        <v>0</v>
      </c>
      <c r="J71" s="80">
        <f t="shared" si="27"/>
        <v>0</v>
      </c>
      <c r="K71" s="179">
        <v>0</v>
      </c>
      <c r="L71" s="80">
        <f t="shared" si="28"/>
        <v>0</v>
      </c>
      <c r="M71" s="179">
        <v>0</v>
      </c>
      <c r="N71" s="80">
        <f t="shared" si="29"/>
        <v>0</v>
      </c>
      <c r="O71" s="179">
        <v>0</v>
      </c>
      <c r="P71" s="80">
        <f t="shared" si="30"/>
        <v>0</v>
      </c>
      <c r="Q71" s="179">
        <v>0</v>
      </c>
      <c r="R71" s="80">
        <f t="shared" si="31"/>
        <v>0</v>
      </c>
      <c r="S71" s="179">
        <v>0</v>
      </c>
      <c r="T71" s="80">
        <f t="shared" si="32"/>
        <v>0</v>
      </c>
      <c r="U71" s="179">
        <v>0</v>
      </c>
      <c r="V71" s="80">
        <f t="shared" si="33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4"/>
        <v>0</v>
      </c>
      <c r="E72" s="179">
        <v>0</v>
      </c>
      <c r="F72" s="80">
        <f t="shared" si="25"/>
        <v>0</v>
      </c>
      <c r="G72" s="179">
        <v>0</v>
      </c>
      <c r="H72" s="80">
        <f t="shared" si="26"/>
        <v>0</v>
      </c>
      <c r="I72" s="179">
        <v>0</v>
      </c>
      <c r="J72" s="80">
        <f t="shared" si="27"/>
        <v>0</v>
      </c>
      <c r="K72" s="179">
        <v>0</v>
      </c>
      <c r="L72" s="80">
        <f t="shared" si="28"/>
        <v>0</v>
      </c>
      <c r="M72" s="179">
        <v>0</v>
      </c>
      <c r="N72" s="80">
        <f t="shared" si="29"/>
        <v>0</v>
      </c>
      <c r="O72" s="179">
        <v>0</v>
      </c>
      <c r="P72" s="80">
        <f t="shared" si="30"/>
        <v>0</v>
      </c>
      <c r="Q72" s="179">
        <v>0</v>
      </c>
      <c r="R72" s="80">
        <f t="shared" si="31"/>
        <v>0</v>
      </c>
      <c r="S72" s="179">
        <v>0</v>
      </c>
      <c r="T72" s="80">
        <f t="shared" si="32"/>
        <v>0</v>
      </c>
      <c r="U72" s="179">
        <v>0</v>
      </c>
      <c r="V72" s="80">
        <f t="shared" si="33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4"/>
        <v>0</v>
      </c>
      <c r="E73" s="179">
        <v>0</v>
      </c>
      <c r="F73" s="80">
        <f t="shared" si="25"/>
        <v>0</v>
      </c>
      <c r="G73" s="179">
        <v>0</v>
      </c>
      <c r="H73" s="80">
        <f t="shared" si="26"/>
        <v>0</v>
      </c>
      <c r="I73" s="179">
        <v>0</v>
      </c>
      <c r="J73" s="80">
        <f t="shared" si="27"/>
        <v>0</v>
      </c>
      <c r="K73" s="179">
        <v>0</v>
      </c>
      <c r="L73" s="80">
        <f t="shared" si="28"/>
        <v>0</v>
      </c>
      <c r="M73" s="179">
        <v>0</v>
      </c>
      <c r="N73" s="80">
        <f t="shared" si="29"/>
        <v>0</v>
      </c>
      <c r="O73" s="179">
        <v>0</v>
      </c>
      <c r="P73" s="80">
        <f t="shared" si="30"/>
        <v>0</v>
      </c>
      <c r="Q73" s="179">
        <v>0</v>
      </c>
      <c r="R73" s="80">
        <f t="shared" si="31"/>
        <v>0</v>
      </c>
      <c r="S73" s="179">
        <v>0</v>
      </c>
      <c r="T73" s="80">
        <f t="shared" si="32"/>
        <v>0</v>
      </c>
      <c r="U73" s="179">
        <v>0</v>
      </c>
      <c r="V73" s="80">
        <f t="shared" si="33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4"/>
        <v>0</v>
      </c>
      <c r="E74" s="179">
        <v>0</v>
      </c>
      <c r="F74" s="80">
        <f t="shared" si="25"/>
        <v>0</v>
      </c>
      <c r="G74" s="179">
        <v>0</v>
      </c>
      <c r="H74" s="80">
        <f t="shared" si="26"/>
        <v>0</v>
      </c>
      <c r="I74" s="179">
        <v>0</v>
      </c>
      <c r="J74" s="80">
        <f t="shared" si="27"/>
        <v>0</v>
      </c>
      <c r="K74" s="179">
        <v>0</v>
      </c>
      <c r="L74" s="80">
        <f t="shared" si="28"/>
        <v>0</v>
      </c>
      <c r="M74" s="179">
        <v>0</v>
      </c>
      <c r="N74" s="80">
        <f t="shared" si="29"/>
        <v>0</v>
      </c>
      <c r="O74" s="179">
        <v>0</v>
      </c>
      <c r="P74" s="80">
        <f t="shared" si="30"/>
        <v>0</v>
      </c>
      <c r="Q74" s="179">
        <v>0</v>
      </c>
      <c r="R74" s="80">
        <f t="shared" si="31"/>
        <v>0</v>
      </c>
      <c r="S74" s="179">
        <v>0</v>
      </c>
      <c r="T74" s="80">
        <f t="shared" si="32"/>
        <v>0</v>
      </c>
      <c r="U74" s="179">
        <v>0</v>
      </c>
      <c r="V74" s="80">
        <f t="shared" si="33"/>
        <v>0</v>
      </c>
      <c r="X74" s="200"/>
    </row>
    <row r="75" spans="1:24" ht="12.75" customHeight="1">
      <c r="A75" s="2" t="s">
        <v>406</v>
      </c>
      <c r="B75" s="35"/>
      <c r="C75" s="179">
        <v>1275</v>
      </c>
      <c r="D75" s="80">
        <f t="shared" si="24"/>
        <v>5.0000000000000001E-3</v>
      </c>
      <c r="E75" s="179">
        <v>1925</v>
      </c>
      <c r="F75" s="80">
        <f t="shared" si="25"/>
        <v>5.0000000000000001E-3</v>
      </c>
      <c r="G75" s="179">
        <v>1963.5</v>
      </c>
      <c r="H75" s="80">
        <f t="shared" si="26"/>
        <v>5.0000000000000001E-3</v>
      </c>
      <c r="I75" s="179">
        <v>2002.7700000000002</v>
      </c>
      <c r="J75" s="80">
        <f t="shared" si="27"/>
        <v>5.0000000000000001E-3</v>
      </c>
      <c r="K75" s="179">
        <v>2042.8254000000002</v>
      </c>
      <c r="L75" s="80">
        <f t="shared" si="28"/>
        <v>5.0000000000000001E-3</v>
      </c>
      <c r="M75" s="179">
        <v>2083.681908</v>
      </c>
      <c r="N75" s="80">
        <f t="shared" si="29"/>
        <v>5.0000000000000001E-3</v>
      </c>
      <c r="O75" s="179">
        <v>2125.3555461600004</v>
      </c>
      <c r="P75" s="80">
        <f t="shared" si="30"/>
        <v>5.000000000000001E-3</v>
      </c>
      <c r="Q75" s="179">
        <v>2167.8626570832002</v>
      </c>
      <c r="R75" s="80">
        <f t="shared" si="31"/>
        <v>5.0000000000000001E-3</v>
      </c>
      <c r="S75" s="179">
        <v>2211.2199102248642</v>
      </c>
      <c r="T75" s="80">
        <f t="shared" si="32"/>
        <v>5.0000000000000001E-3</v>
      </c>
      <c r="U75" s="179">
        <v>2255.4443084293616</v>
      </c>
      <c r="V75" s="80">
        <f t="shared" si="33"/>
        <v>4.9999999999999992E-3</v>
      </c>
      <c r="X75" s="200"/>
    </row>
    <row r="76" spans="1:24" ht="12.75" customHeight="1">
      <c r="A76" s="2" t="s">
        <v>407</v>
      </c>
      <c r="B76" s="35"/>
      <c r="C76" s="179">
        <v>102.00000000000001</v>
      </c>
      <c r="D76" s="80">
        <f t="shared" si="24"/>
        <v>4.0000000000000007E-4</v>
      </c>
      <c r="E76" s="179">
        <v>154.00000000000003</v>
      </c>
      <c r="F76" s="80">
        <f t="shared" si="25"/>
        <v>4.0000000000000007E-4</v>
      </c>
      <c r="G76" s="179">
        <v>157.08000000000001</v>
      </c>
      <c r="H76" s="80">
        <f t="shared" si="26"/>
        <v>4.0000000000000002E-4</v>
      </c>
      <c r="I76" s="179">
        <v>160.22160000000002</v>
      </c>
      <c r="J76" s="80">
        <f t="shared" si="27"/>
        <v>4.0000000000000007E-4</v>
      </c>
      <c r="K76" s="179">
        <v>163.42603200000002</v>
      </c>
      <c r="L76" s="80">
        <f t="shared" si="28"/>
        <v>4.0000000000000002E-4</v>
      </c>
      <c r="M76" s="179">
        <v>166.69455264000001</v>
      </c>
      <c r="N76" s="80">
        <f t="shared" si="29"/>
        <v>4.0000000000000002E-4</v>
      </c>
      <c r="O76" s="179">
        <v>170.02844369280001</v>
      </c>
      <c r="P76" s="80">
        <f t="shared" si="30"/>
        <v>4.0000000000000002E-4</v>
      </c>
      <c r="Q76" s="179">
        <v>173.42901256665604</v>
      </c>
      <c r="R76" s="80">
        <f t="shared" si="31"/>
        <v>4.0000000000000007E-4</v>
      </c>
      <c r="S76" s="179">
        <v>176.89759281798914</v>
      </c>
      <c r="T76" s="80">
        <f t="shared" si="32"/>
        <v>4.0000000000000002E-4</v>
      </c>
      <c r="U76" s="179">
        <v>180.43554467434899</v>
      </c>
      <c r="V76" s="80">
        <f t="shared" si="33"/>
        <v>4.0000000000000007E-4</v>
      </c>
      <c r="X76" s="200"/>
    </row>
    <row r="77" spans="1:24" ht="12.75" customHeight="1">
      <c r="A77" s="2" t="s">
        <v>408</v>
      </c>
      <c r="B77" s="35"/>
      <c r="C77" s="179">
        <v>331.5</v>
      </c>
      <c r="D77" s="80">
        <f t="shared" si="24"/>
        <v>1.2999999999999999E-3</v>
      </c>
      <c r="E77" s="179">
        <v>500.5</v>
      </c>
      <c r="F77" s="80">
        <f t="shared" si="25"/>
        <v>1.2999999999999999E-3</v>
      </c>
      <c r="G77" s="179">
        <v>510.50999999999993</v>
      </c>
      <c r="H77" s="80">
        <f t="shared" si="26"/>
        <v>1.2999999999999999E-3</v>
      </c>
      <c r="I77" s="179">
        <v>520.72019999999998</v>
      </c>
      <c r="J77" s="80">
        <f t="shared" si="27"/>
        <v>1.2999999999999999E-3</v>
      </c>
      <c r="K77" s="179">
        <v>531.13460399999997</v>
      </c>
      <c r="L77" s="80">
        <f t="shared" si="28"/>
        <v>1.2999999999999999E-3</v>
      </c>
      <c r="M77" s="179">
        <v>541.75729607999995</v>
      </c>
      <c r="N77" s="80">
        <f t="shared" si="29"/>
        <v>1.2999999999999997E-3</v>
      </c>
      <c r="O77" s="179">
        <v>552.59244200159992</v>
      </c>
      <c r="P77" s="80">
        <f t="shared" si="30"/>
        <v>1.2999999999999997E-3</v>
      </c>
      <c r="Q77" s="179">
        <v>563.64429084163203</v>
      </c>
      <c r="R77" s="80">
        <f t="shared" si="31"/>
        <v>1.2999999999999999E-3</v>
      </c>
      <c r="S77" s="179">
        <v>574.91717665846465</v>
      </c>
      <c r="T77" s="80">
        <f t="shared" si="32"/>
        <v>1.2999999999999999E-3</v>
      </c>
      <c r="U77" s="179">
        <v>586.41552019163407</v>
      </c>
      <c r="V77" s="80">
        <f t="shared" si="33"/>
        <v>1.2999999999999999E-3</v>
      </c>
      <c r="X77" s="200"/>
    </row>
    <row r="78" spans="1:24" ht="12.75" customHeight="1">
      <c r="A78" s="2" t="s">
        <v>409</v>
      </c>
      <c r="B78" s="35"/>
      <c r="C78" s="179">
        <v>5610</v>
      </c>
      <c r="D78" s="80">
        <f t="shared" si="24"/>
        <v>2.1999999999999999E-2</v>
      </c>
      <c r="E78" s="179">
        <v>8470</v>
      </c>
      <c r="F78" s="80">
        <f t="shared" si="25"/>
        <v>2.1999999999999999E-2</v>
      </c>
      <c r="G78" s="179">
        <v>8639.4</v>
      </c>
      <c r="H78" s="80">
        <f t="shared" si="26"/>
        <v>2.1999999999999999E-2</v>
      </c>
      <c r="I78" s="179">
        <v>8812.1880000000001</v>
      </c>
      <c r="J78" s="80">
        <f t="shared" si="27"/>
        <v>2.1999999999999999E-2</v>
      </c>
      <c r="K78" s="179">
        <v>8988.4317599999995</v>
      </c>
      <c r="L78" s="80">
        <f t="shared" si="28"/>
        <v>2.1999999999999999E-2</v>
      </c>
      <c r="M78" s="179">
        <v>9168.2003951999995</v>
      </c>
      <c r="N78" s="80">
        <f t="shared" si="29"/>
        <v>2.1999999999999999E-2</v>
      </c>
      <c r="O78" s="179">
        <v>9351.5644031039992</v>
      </c>
      <c r="P78" s="80">
        <f t="shared" si="30"/>
        <v>2.1999999999999999E-2</v>
      </c>
      <c r="Q78" s="179">
        <v>9538.5956911660796</v>
      </c>
      <c r="R78" s="80">
        <f t="shared" si="31"/>
        <v>2.1999999999999999E-2</v>
      </c>
      <c r="S78" s="179">
        <v>9729.3676049894002</v>
      </c>
      <c r="T78" s="80">
        <f t="shared" si="32"/>
        <v>2.1999999999999995E-2</v>
      </c>
      <c r="U78" s="179">
        <v>9923.9549570891922</v>
      </c>
      <c r="V78" s="80">
        <f t="shared" si="33"/>
        <v>2.1999999999999999E-2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4"/>
        <v>0</v>
      </c>
      <c r="E79" s="179">
        <v>0</v>
      </c>
      <c r="F79" s="80">
        <f t="shared" si="25"/>
        <v>0</v>
      </c>
      <c r="G79" s="179">
        <v>0</v>
      </c>
      <c r="H79" s="80">
        <f t="shared" si="26"/>
        <v>0</v>
      </c>
      <c r="I79" s="179">
        <v>0</v>
      </c>
      <c r="J79" s="80">
        <f t="shared" si="27"/>
        <v>0</v>
      </c>
      <c r="K79" s="179">
        <v>0</v>
      </c>
      <c r="L79" s="80">
        <f t="shared" si="28"/>
        <v>0</v>
      </c>
      <c r="M79" s="179">
        <v>0</v>
      </c>
      <c r="N79" s="80">
        <f t="shared" si="29"/>
        <v>0</v>
      </c>
      <c r="O79" s="179">
        <v>0</v>
      </c>
      <c r="P79" s="80">
        <f t="shared" si="30"/>
        <v>0</v>
      </c>
      <c r="Q79" s="179">
        <v>0</v>
      </c>
      <c r="R79" s="80">
        <f t="shared" si="31"/>
        <v>0</v>
      </c>
      <c r="S79" s="179">
        <v>0</v>
      </c>
      <c r="T79" s="80">
        <f t="shared" si="32"/>
        <v>0</v>
      </c>
      <c r="U79" s="179">
        <v>0</v>
      </c>
      <c r="V79" s="80">
        <f t="shared" si="33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4"/>
        <v>0</v>
      </c>
      <c r="E80" s="179">
        <v>0</v>
      </c>
      <c r="F80" s="80">
        <f t="shared" si="25"/>
        <v>0</v>
      </c>
      <c r="G80" s="179">
        <v>0</v>
      </c>
      <c r="H80" s="80">
        <f t="shared" si="26"/>
        <v>0</v>
      </c>
      <c r="I80" s="179">
        <v>0</v>
      </c>
      <c r="J80" s="80">
        <f t="shared" si="27"/>
        <v>0</v>
      </c>
      <c r="K80" s="179">
        <v>0</v>
      </c>
      <c r="L80" s="80">
        <f t="shared" si="28"/>
        <v>0</v>
      </c>
      <c r="M80" s="179">
        <v>0</v>
      </c>
      <c r="N80" s="80">
        <f t="shared" si="29"/>
        <v>0</v>
      </c>
      <c r="O80" s="179">
        <v>0</v>
      </c>
      <c r="P80" s="80">
        <f t="shared" si="30"/>
        <v>0</v>
      </c>
      <c r="Q80" s="179">
        <v>0</v>
      </c>
      <c r="R80" s="80">
        <f t="shared" si="31"/>
        <v>0</v>
      </c>
      <c r="S80" s="179">
        <v>0</v>
      </c>
      <c r="T80" s="80">
        <f t="shared" si="32"/>
        <v>0</v>
      </c>
      <c r="U80" s="179">
        <v>0</v>
      </c>
      <c r="V80" s="80">
        <f t="shared" si="33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4"/>
        <v>0</v>
      </c>
      <c r="E81" s="179">
        <v>0</v>
      </c>
      <c r="F81" s="80">
        <f t="shared" si="25"/>
        <v>0</v>
      </c>
      <c r="G81" s="179">
        <v>0</v>
      </c>
      <c r="H81" s="80">
        <f t="shared" si="26"/>
        <v>0</v>
      </c>
      <c r="I81" s="179">
        <v>0</v>
      </c>
      <c r="J81" s="80">
        <f t="shared" si="27"/>
        <v>0</v>
      </c>
      <c r="K81" s="179">
        <v>0</v>
      </c>
      <c r="L81" s="80">
        <f t="shared" si="28"/>
        <v>0</v>
      </c>
      <c r="M81" s="179">
        <v>0</v>
      </c>
      <c r="N81" s="80">
        <f t="shared" si="29"/>
        <v>0</v>
      </c>
      <c r="O81" s="179">
        <v>0</v>
      </c>
      <c r="P81" s="80">
        <f t="shared" si="30"/>
        <v>0</v>
      </c>
      <c r="Q81" s="179">
        <v>0</v>
      </c>
      <c r="R81" s="80">
        <f t="shared" si="31"/>
        <v>0</v>
      </c>
      <c r="S81" s="179">
        <v>0</v>
      </c>
      <c r="T81" s="80">
        <f t="shared" si="32"/>
        <v>0</v>
      </c>
      <c r="U81" s="179">
        <v>0</v>
      </c>
      <c r="V81" s="80">
        <f t="shared" si="33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4"/>
        <v>0</v>
      </c>
      <c r="E82" s="179">
        <v>0</v>
      </c>
      <c r="F82" s="80">
        <f t="shared" si="25"/>
        <v>0</v>
      </c>
      <c r="G82" s="179">
        <v>0</v>
      </c>
      <c r="H82" s="80">
        <f t="shared" si="26"/>
        <v>0</v>
      </c>
      <c r="I82" s="179">
        <v>0</v>
      </c>
      <c r="J82" s="80">
        <f t="shared" si="27"/>
        <v>0</v>
      </c>
      <c r="K82" s="179">
        <v>0</v>
      </c>
      <c r="L82" s="80">
        <f t="shared" si="28"/>
        <v>0</v>
      </c>
      <c r="M82" s="179">
        <v>0</v>
      </c>
      <c r="N82" s="80">
        <f t="shared" si="29"/>
        <v>0</v>
      </c>
      <c r="O82" s="179">
        <v>0</v>
      </c>
      <c r="P82" s="80">
        <f t="shared" si="30"/>
        <v>0</v>
      </c>
      <c r="Q82" s="179">
        <v>0</v>
      </c>
      <c r="R82" s="80">
        <f t="shared" si="31"/>
        <v>0</v>
      </c>
      <c r="S82" s="179">
        <v>0</v>
      </c>
      <c r="T82" s="80">
        <f t="shared" si="32"/>
        <v>0</v>
      </c>
      <c r="U82" s="179">
        <v>0</v>
      </c>
      <c r="V82" s="80">
        <f t="shared" si="33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4"/>
        <v>0</v>
      </c>
      <c r="E83" s="179">
        <v>0</v>
      </c>
      <c r="F83" s="80">
        <f t="shared" si="25"/>
        <v>0</v>
      </c>
      <c r="G83" s="179">
        <v>0</v>
      </c>
      <c r="H83" s="80">
        <f t="shared" si="26"/>
        <v>0</v>
      </c>
      <c r="I83" s="179">
        <v>0</v>
      </c>
      <c r="J83" s="80">
        <f t="shared" si="27"/>
        <v>0</v>
      </c>
      <c r="K83" s="179">
        <v>0</v>
      </c>
      <c r="L83" s="80">
        <f t="shared" si="28"/>
        <v>0</v>
      </c>
      <c r="M83" s="179">
        <v>0</v>
      </c>
      <c r="N83" s="80">
        <f t="shared" si="29"/>
        <v>0</v>
      </c>
      <c r="O83" s="179">
        <v>0</v>
      </c>
      <c r="P83" s="80">
        <f t="shared" si="30"/>
        <v>0</v>
      </c>
      <c r="Q83" s="179">
        <v>0</v>
      </c>
      <c r="R83" s="80">
        <f t="shared" si="31"/>
        <v>0</v>
      </c>
      <c r="S83" s="179">
        <v>0</v>
      </c>
      <c r="T83" s="80">
        <f t="shared" si="32"/>
        <v>0</v>
      </c>
      <c r="U83" s="179">
        <v>0</v>
      </c>
      <c r="V83" s="80">
        <f t="shared" si="33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4"/>
        <v>0</v>
      </c>
      <c r="E84" s="179">
        <v>0</v>
      </c>
      <c r="F84" s="80">
        <f t="shared" si="25"/>
        <v>0</v>
      </c>
      <c r="G84" s="179">
        <v>0</v>
      </c>
      <c r="H84" s="80">
        <f t="shared" si="26"/>
        <v>0</v>
      </c>
      <c r="I84" s="179">
        <v>0</v>
      </c>
      <c r="J84" s="80">
        <f t="shared" si="27"/>
        <v>0</v>
      </c>
      <c r="K84" s="179">
        <v>0</v>
      </c>
      <c r="L84" s="80">
        <f t="shared" si="28"/>
        <v>0</v>
      </c>
      <c r="M84" s="179">
        <v>0</v>
      </c>
      <c r="N84" s="80">
        <f t="shared" si="29"/>
        <v>0</v>
      </c>
      <c r="O84" s="179">
        <v>0</v>
      </c>
      <c r="P84" s="80">
        <f t="shared" si="30"/>
        <v>0</v>
      </c>
      <c r="Q84" s="179">
        <v>0</v>
      </c>
      <c r="R84" s="80">
        <f t="shared" si="31"/>
        <v>0</v>
      </c>
      <c r="S84" s="179">
        <v>0</v>
      </c>
      <c r="T84" s="80">
        <f t="shared" si="32"/>
        <v>0</v>
      </c>
      <c r="U84" s="179">
        <v>0</v>
      </c>
      <c r="V84" s="80">
        <f t="shared" si="33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4"/>
        <v>0</v>
      </c>
      <c r="E85" s="179">
        <v>0</v>
      </c>
      <c r="F85" s="80">
        <f t="shared" si="25"/>
        <v>0</v>
      </c>
      <c r="G85" s="179">
        <v>0</v>
      </c>
      <c r="H85" s="80">
        <f t="shared" si="26"/>
        <v>0</v>
      </c>
      <c r="I85" s="179">
        <v>0</v>
      </c>
      <c r="J85" s="80">
        <f t="shared" si="27"/>
        <v>0</v>
      </c>
      <c r="K85" s="179">
        <v>0</v>
      </c>
      <c r="L85" s="80">
        <f t="shared" si="28"/>
        <v>0</v>
      </c>
      <c r="M85" s="179">
        <v>0</v>
      </c>
      <c r="N85" s="80">
        <f t="shared" si="29"/>
        <v>0</v>
      </c>
      <c r="O85" s="179">
        <v>0</v>
      </c>
      <c r="P85" s="80">
        <f t="shared" si="30"/>
        <v>0</v>
      </c>
      <c r="Q85" s="179">
        <v>0</v>
      </c>
      <c r="R85" s="80">
        <f t="shared" si="31"/>
        <v>0</v>
      </c>
      <c r="S85" s="179">
        <v>0</v>
      </c>
      <c r="T85" s="80">
        <f t="shared" si="32"/>
        <v>0</v>
      </c>
      <c r="U85" s="179">
        <v>0</v>
      </c>
      <c r="V85" s="80">
        <f t="shared" si="33"/>
        <v>0</v>
      </c>
      <c r="X85" s="200"/>
    </row>
    <row r="86" spans="1:24" ht="12.75" customHeight="1">
      <c r="A86" s="2" t="s">
        <v>417</v>
      </c>
      <c r="B86" s="35"/>
      <c r="C86" s="179">
        <v>1020</v>
      </c>
      <c r="D86" s="80">
        <f t="shared" si="24"/>
        <v>4.0000000000000001E-3</v>
      </c>
      <c r="E86" s="179">
        <v>1540.0000000000002</v>
      </c>
      <c r="F86" s="80">
        <f t="shared" si="25"/>
        <v>4.000000000000001E-3</v>
      </c>
      <c r="G86" s="179">
        <v>1570.8000000000002</v>
      </c>
      <c r="H86" s="80">
        <f t="shared" si="26"/>
        <v>4.0000000000000001E-3</v>
      </c>
      <c r="I86" s="179">
        <v>1602.2160000000001</v>
      </c>
      <c r="J86" s="80">
        <f t="shared" si="27"/>
        <v>4.0000000000000001E-3</v>
      </c>
      <c r="K86" s="179">
        <v>1634.2603200000001</v>
      </c>
      <c r="L86" s="80">
        <f t="shared" si="28"/>
        <v>4.0000000000000001E-3</v>
      </c>
      <c r="M86" s="179">
        <v>1666.9455264000001</v>
      </c>
      <c r="N86" s="80">
        <f t="shared" si="29"/>
        <v>4.0000000000000001E-3</v>
      </c>
      <c r="O86" s="179">
        <v>1700.2844369280001</v>
      </c>
      <c r="P86" s="80">
        <f t="shared" si="30"/>
        <v>4.0000000000000001E-3</v>
      </c>
      <c r="Q86" s="179">
        <v>1734.2901256665602</v>
      </c>
      <c r="R86" s="80">
        <f t="shared" si="31"/>
        <v>4.0000000000000001E-3</v>
      </c>
      <c r="S86" s="179">
        <v>1768.9759281798913</v>
      </c>
      <c r="T86" s="80">
        <f t="shared" si="32"/>
        <v>4.0000000000000001E-3</v>
      </c>
      <c r="U86" s="179">
        <v>1804.3554467434897</v>
      </c>
      <c r="V86" s="80">
        <f t="shared" si="33"/>
        <v>4.0000000000000001E-3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4"/>
        <v>0</v>
      </c>
      <c r="E87" s="179">
        <v>0</v>
      </c>
      <c r="F87" s="80">
        <f t="shared" si="25"/>
        <v>0</v>
      </c>
      <c r="G87" s="179">
        <v>0</v>
      </c>
      <c r="H87" s="80">
        <f t="shared" si="26"/>
        <v>0</v>
      </c>
      <c r="I87" s="179">
        <v>0</v>
      </c>
      <c r="J87" s="80">
        <f t="shared" si="27"/>
        <v>0</v>
      </c>
      <c r="K87" s="179">
        <v>0</v>
      </c>
      <c r="L87" s="80">
        <f t="shared" si="28"/>
        <v>0</v>
      </c>
      <c r="M87" s="179">
        <v>0</v>
      </c>
      <c r="N87" s="80">
        <f t="shared" si="29"/>
        <v>0</v>
      </c>
      <c r="O87" s="179">
        <v>0</v>
      </c>
      <c r="P87" s="80">
        <f t="shared" si="30"/>
        <v>0</v>
      </c>
      <c r="Q87" s="179">
        <v>0</v>
      </c>
      <c r="R87" s="80">
        <f t="shared" si="31"/>
        <v>0</v>
      </c>
      <c r="S87" s="179">
        <v>0</v>
      </c>
      <c r="T87" s="80">
        <f t="shared" si="32"/>
        <v>0</v>
      </c>
      <c r="U87" s="179">
        <v>0</v>
      </c>
      <c r="V87" s="80">
        <f t="shared" si="33"/>
        <v>0</v>
      </c>
      <c r="X87" s="200"/>
    </row>
    <row r="88" spans="1:24" ht="12.75" customHeight="1">
      <c r="A88" s="2" t="s">
        <v>419</v>
      </c>
      <c r="B88" s="35"/>
      <c r="C88" s="179">
        <v>1300.5000000000002</v>
      </c>
      <c r="D88" s="80">
        <f t="shared" si="24"/>
        <v>5.1000000000000012E-3</v>
      </c>
      <c r="E88" s="179">
        <v>1963.5000000000002</v>
      </c>
      <c r="F88" s="80">
        <f t="shared" si="25"/>
        <v>5.1000000000000004E-3</v>
      </c>
      <c r="G88" s="179">
        <v>2002.7700000000004</v>
      </c>
      <c r="H88" s="80">
        <f t="shared" si="26"/>
        <v>5.1000000000000012E-3</v>
      </c>
      <c r="I88" s="179">
        <v>2042.8254000000004</v>
      </c>
      <c r="J88" s="80">
        <f t="shared" si="27"/>
        <v>5.1000000000000012E-3</v>
      </c>
      <c r="K88" s="179">
        <v>2083.681908</v>
      </c>
      <c r="L88" s="80">
        <f t="shared" si="28"/>
        <v>5.0999999999999995E-3</v>
      </c>
      <c r="M88" s="179">
        <v>2125.3555461600004</v>
      </c>
      <c r="N88" s="80">
        <f t="shared" si="29"/>
        <v>5.1000000000000004E-3</v>
      </c>
      <c r="O88" s="179">
        <v>2167.8626570832002</v>
      </c>
      <c r="P88" s="80">
        <f t="shared" si="30"/>
        <v>5.1000000000000004E-3</v>
      </c>
      <c r="Q88" s="179">
        <v>2211.2199102248646</v>
      </c>
      <c r="R88" s="80">
        <f t="shared" si="31"/>
        <v>5.1000000000000012E-3</v>
      </c>
      <c r="S88" s="179">
        <v>2255.4443084293616</v>
      </c>
      <c r="T88" s="80">
        <f t="shared" si="32"/>
        <v>5.1000000000000004E-3</v>
      </c>
      <c r="U88" s="179">
        <v>2300.5531945979496</v>
      </c>
      <c r="V88" s="80">
        <f t="shared" si="33"/>
        <v>5.1000000000000012E-3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4"/>
        <v>0</v>
      </c>
      <c r="E89" s="179">
        <v>0</v>
      </c>
      <c r="F89" s="80">
        <f t="shared" si="25"/>
        <v>0</v>
      </c>
      <c r="G89" s="179">
        <v>0</v>
      </c>
      <c r="H89" s="80">
        <f t="shared" si="26"/>
        <v>0</v>
      </c>
      <c r="I89" s="179">
        <v>0</v>
      </c>
      <c r="J89" s="80">
        <f t="shared" si="27"/>
        <v>0</v>
      </c>
      <c r="K89" s="179">
        <v>0</v>
      </c>
      <c r="L89" s="80">
        <f t="shared" si="28"/>
        <v>0</v>
      </c>
      <c r="M89" s="179">
        <v>0</v>
      </c>
      <c r="N89" s="80">
        <f t="shared" si="29"/>
        <v>0</v>
      </c>
      <c r="O89" s="179">
        <v>0</v>
      </c>
      <c r="P89" s="80">
        <f t="shared" si="30"/>
        <v>0</v>
      </c>
      <c r="Q89" s="179">
        <v>0</v>
      </c>
      <c r="R89" s="80">
        <f t="shared" si="31"/>
        <v>0</v>
      </c>
      <c r="S89" s="179">
        <v>0</v>
      </c>
      <c r="T89" s="80">
        <f t="shared" si="32"/>
        <v>0</v>
      </c>
      <c r="U89" s="179">
        <v>0</v>
      </c>
      <c r="V89" s="80">
        <f t="shared" si="33"/>
        <v>0</v>
      </c>
      <c r="X89" s="200"/>
    </row>
    <row r="90" spans="1:24" ht="12.75" customHeight="1">
      <c r="A90" s="2" t="s">
        <v>421</v>
      </c>
      <c r="B90" s="35"/>
      <c r="C90" s="179">
        <v>51.000000000000007</v>
      </c>
      <c r="D90" s="80">
        <f t="shared" si="24"/>
        <v>2.0000000000000004E-4</v>
      </c>
      <c r="E90" s="179">
        <v>77.000000000000014</v>
      </c>
      <c r="F90" s="80">
        <f t="shared" si="25"/>
        <v>2.0000000000000004E-4</v>
      </c>
      <c r="G90" s="179">
        <v>78.540000000000006</v>
      </c>
      <c r="H90" s="80">
        <f t="shared" si="26"/>
        <v>2.0000000000000001E-4</v>
      </c>
      <c r="I90" s="179">
        <v>80.110800000000012</v>
      </c>
      <c r="J90" s="80">
        <f t="shared" si="27"/>
        <v>2.0000000000000004E-4</v>
      </c>
      <c r="K90" s="179">
        <v>81.71301600000001</v>
      </c>
      <c r="L90" s="80">
        <f t="shared" si="28"/>
        <v>2.0000000000000001E-4</v>
      </c>
      <c r="M90" s="179">
        <v>83.347276320000006</v>
      </c>
      <c r="N90" s="80">
        <f t="shared" si="29"/>
        <v>2.0000000000000001E-4</v>
      </c>
      <c r="O90" s="179">
        <v>85.014221846400005</v>
      </c>
      <c r="P90" s="80">
        <f t="shared" si="30"/>
        <v>2.0000000000000001E-4</v>
      </c>
      <c r="Q90" s="179">
        <v>86.714506283328021</v>
      </c>
      <c r="R90" s="80">
        <f t="shared" si="31"/>
        <v>2.0000000000000004E-4</v>
      </c>
      <c r="S90" s="179">
        <v>88.448796408994568</v>
      </c>
      <c r="T90" s="80">
        <f t="shared" si="32"/>
        <v>2.0000000000000001E-4</v>
      </c>
      <c r="U90" s="179">
        <v>90.217772337174495</v>
      </c>
      <c r="V90" s="80">
        <f t="shared" si="33"/>
        <v>2.0000000000000004E-4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24"/>
        <v>0</v>
      </c>
      <c r="E91" s="179">
        <v>0</v>
      </c>
      <c r="F91" s="80">
        <f t="shared" si="25"/>
        <v>0</v>
      </c>
      <c r="G91" s="179">
        <v>0</v>
      </c>
      <c r="H91" s="80">
        <f t="shared" si="26"/>
        <v>0</v>
      </c>
      <c r="I91" s="179">
        <v>0</v>
      </c>
      <c r="J91" s="80">
        <f t="shared" si="27"/>
        <v>0</v>
      </c>
      <c r="K91" s="179">
        <v>0</v>
      </c>
      <c r="L91" s="80">
        <f t="shared" si="28"/>
        <v>0</v>
      </c>
      <c r="M91" s="179">
        <v>0</v>
      </c>
      <c r="N91" s="80">
        <f t="shared" si="29"/>
        <v>0</v>
      </c>
      <c r="O91" s="179">
        <v>0</v>
      </c>
      <c r="P91" s="80">
        <f t="shared" si="30"/>
        <v>0</v>
      </c>
      <c r="Q91" s="179">
        <v>0</v>
      </c>
      <c r="R91" s="80">
        <f t="shared" si="31"/>
        <v>0</v>
      </c>
      <c r="S91" s="179">
        <v>0</v>
      </c>
      <c r="T91" s="80">
        <f t="shared" si="32"/>
        <v>0</v>
      </c>
      <c r="U91" s="179">
        <v>0</v>
      </c>
      <c r="V91" s="80">
        <f t="shared" si="33"/>
        <v>0</v>
      </c>
      <c r="X91" s="200"/>
    </row>
    <row r="92" spans="1:24" ht="12.75" customHeight="1">
      <c r="A92" s="2" t="s">
        <v>423</v>
      </c>
      <c r="B92" s="35"/>
      <c r="C92" s="179">
        <v>1326</v>
      </c>
      <c r="D92" s="80">
        <f t="shared" si="24"/>
        <v>5.1999999999999998E-3</v>
      </c>
      <c r="E92" s="179">
        <v>2002</v>
      </c>
      <c r="F92" s="80">
        <f t="shared" si="25"/>
        <v>5.1999999999999998E-3</v>
      </c>
      <c r="G92" s="179">
        <v>2042.0399999999997</v>
      </c>
      <c r="H92" s="80">
        <f t="shared" si="26"/>
        <v>5.1999999999999998E-3</v>
      </c>
      <c r="I92" s="179">
        <v>2082.8807999999999</v>
      </c>
      <c r="J92" s="80">
        <f t="shared" si="27"/>
        <v>5.1999999999999998E-3</v>
      </c>
      <c r="K92" s="179">
        <v>2124.5384159999999</v>
      </c>
      <c r="L92" s="80">
        <f t="shared" si="28"/>
        <v>5.1999999999999998E-3</v>
      </c>
      <c r="M92" s="179">
        <v>2167.0291843199998</v>
      </c>
      <c r="N92" s="80">
        <f t="shared" si="29"/>
        <v>5.1999999999999989E-3</v>
      </c>
      <c r="O92" s="179">
        <v>2210.3697680063997</v>
      </c>
      <c r="P92" s="80">
        <f t="shared" si="30"/>
        <v>5.1999999999999989E-3</v>
      </c>
      <c r="Q92" s="179">
        <v>2254.5771633665281</v>
      </c>
      <c r="R92" s="80">
        <f t="shared" si="31"/>
        <v>5.1999999999999998E-3</v>
      </c>
      <c r="S92" s="179">
        <v>2299.6687066338586</v>
      </c>
      <c r="T92" s="80">
        <f t="shared" si="32"/>
        <v>5.1999999999999998E-3</v>
      </c>
      <c r="U92" s="179">
        <v>2345.6620807665363</v>
      </c>
      <c r="V92" s="80">
        <f t="shared" si="33"/>
        <v>5.1999999999999998E-3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4"/>
        <v>0</v>
      </c>
      <c r="E93" s="179">
        <v>0</v>
      </c>
      <c r="F93" s="80">
        <f t="shared" si="25"/>
        <v>0</v>
      </c>
      <c r="G93" s="179">
        <v>0</v>
      </c>
      <c r="H93" s="80">
        <f t="shared" si="26"/>
        <v>0</v>
      </c>
      <c r="I93" s="179">
        <v>0</v>
      </c>
      <c r="J93" s="80">
        <f t="shared" si="27"/>
        <v>0</v>
      </c>
      <c r="K93" s="179">
        <v>0</v>
      </c>
      <c r="L93" s="80">
        <f t="shared" si="28"/>
        <v>0</v>
      </c>
      <c r="M93" s="179">
        <v>0</v>
      </c>
      <c r="N93" s="80">
        <f t="shared" si="29"/>
        <v>0</v>
      </c>
      <c r="O93" s="179">
        <v>0</v>
      </c>
      <c r="P93" s="80">
        <f t="shared" si="30"/>
        <v>0</v>
      </c>
      <c r="Q93" s="179">
        <v>0</v>
      </c>
      <c r="R93" s="80">
        <f t="shared" si="31"/>
        <v>0</v>
      </c>
      <c r="S93" s="179">
        <v>0</v>
      </c>
      <c r="T93" s="80">
        <f t="shared" si="32"/>
        <v>0</v>
      </c>
      <c r="U93" s="179">
        <v>0</v>
      </c>
      <c r="V93" s="80">
        <f t="shared" si="33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4"/>
        <v>0</v>
      </c>
      <c r="E94" s="179">
        <v>0</v>
      </c>
      <c r="F94" s="80">
        <f t="shared" si="25"/>
        <v>0</v>
      </c>
      <c r="G94" s="179">
        <v>0</v>
      </c>
      <c r="H94" s="80">
        <f t="shared" si="26"/>
        <v>0</v>
      </c>
      <c r="I94" s="179">
        <v>0</v>
      </c>
      <c r="J94" s="80">
        <f t="shared" si="27"/>
        <v>0</v>
      </c>
      <c r="K94" s="179">
        <v>0</v>
      </c>
      <c r="L94" s="80">
        <f t="shared" si="28"/>
        <v>0</v>
      </c>
      <c r="M94" s="179">
        <v>0</v>
      </c>
      <c r="N94" s="80">
        <f t="shared" si="29"/>
        <v>0</v>
      </c>
      <c r="O94" s="179">
        <v>0</v>
      </c>
      <c r="P94" s="80">
        <f t="shared" si="30"/>
        <v>0</v>
      </c>
      <c r="Q94" s="179">
        <v>0</v>
      </c>
      <c r="R94" s="80">
        <f t="shared" si="31"/>
        <v>0</v>
      </c>
      <c r="S94" s="179">
        <v>0</v>
      </c>
      <c r="T94" s="80">
        <f t="shared" si="32"/>
        <v>0</v>
      </c>
      <c r="U94" s="179">
        <v>0</v>
      </c>
      <c r="V94" s="80">
        <f t="shared" si="33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4"/>
        <v>0</v>
      </c>
      <c r="E95" s="179">
        <v>0</v>
      </c>
      <c r="F95" s="80">
        <f t="shared" si="25"/>
        <v>0</v>
      </c>
      <c r="G95" s="179">
        <v>0</v>
      </c>
      <c r="H95" s="80">
        <f t="shared" si="26"/>
        <v>0</v>
      </c>
      <c r="I95" s="179">
        <v>0</v>
      </c>
      <c r="J95" s="80">
        <f t="shared" si="27"/>
        <v>0</v>
      </c>
      <c r="K95" s="179">
        <v>0</v>
      </c>
      <c r="L95" s="80">
        <f t="shared" si="28"/>
        <v>0</v>
      </c>
      <c r="M95" s="179">
        <v>0</v>
      </c>
      <c r="N95" s="80">
        <f t="shared" si="29"/>
        <v>0</v>
      </c>
      <c r="O95" s="179">
        <v>0</v>
      </c>
      <c r="P95" s="80">
        <f t="shared" si="30"/>
        <v>0</v>
      </c>
      <c r="Q95" s="179">
        <v>0</v>
      </c>
      <c r="R95" s="80">
        <f t="shared" si="31"/>
        <v>0</v>
      </c>
      <c r="S95" s="179">
        <v>0</v>
      </c>
      <c r="T95" s="80">
        <f t="shared" si="32"/>
        <v>0</v>
      </c>
      <c r="U95" s="179">
        <v>0</v>
      </c>
      <c r="V95" s="80">
        <f t="shared" si="33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4"/>
        <v>0</v>
      </c>
      <c r="E96" s="179">
        <v>0</v>
      </c>
      <c r="F96" s="80">
        <f t="shared" si="25"/>
        <v>0</v>
      </c>
      <c r="G96" s="179">
        <v>0</v>
      </c>
      <c r="H96" s="80">
        <f t="shared" si="26"/>
        <v>0</v>
      </c>
      <c r="I96" s="179">
        <v>0</v>
      </c>
      <c r="J96" s="80">
        <f t="shared" si="27"/>
        <v>0</v>
      </c>
      <c r="K96" s="179">
        <v>0</v>
      </c>
      <c r="L96" s="80">
        <f t="shared" si="28"/>
        <v>0</v>
      </c>
      <c r="M96" s="179">
        <v>0</v>
      </c>
      <c r="N96" s="80">
        <f t="shared" si="29"/>
        <v>0</v>
      </c>
      <c r="O96" s="179">
        <v>0</v>
      </c>
      <c r="P96" s="80">
        <f t="shared" si="30"/>
        <v>0</v>
      </c>
      <c r="Q96" s="179">
        <v>0</v>
      </c>
      <c r="R96" s="80">
        <f t="shared" si="31"/>
        <v>0</v>
      </c>
      <c r="S96" s="179">
        <v>0</v>
      </c>
      <c r="T96" s="80">
        <f t="shared" si="32"/>
        <v>0</v>
      </c>
      <c r="U96" s="179">
        <v>0</v>
      </c>
      <c r="V96" s="80">
        <f t="shared" si="33"/>
        <v>0</v>
      </c>
      <c r="X96" s="200"/>
    </row>
    <row r="97" spans="1:24" ht="12.75" customHeight="1">
      <c r="A97" s="2" t="s">
        <v>428</v>
      </c>
      <c r="B97" s="35"/>
      <c r="C97" s="179">
        <v>4408.5587999999998</v>
      </c>
      <c r="D97" s="80">
        <f t="shared" si="24"/>
        <v>1.728846588235294E-2</v>
      </c>
      <c r="E97" s="179">
        <v>4902.3173856000003</v>
      </c>
      <c r="F97" s="80">
        <f t="shared" si="25"/>
        <v>1.2733291910649352E-2</v>
      </c>
      <c r="G97" s="179">
        <v>5073.8984940959999</v>
      </c>
      <c r="H97" s="80">
        <f t="shared" si="26"/>
        <v>1.2920546203453018E-2</v>
      </c>
      <c r="I97" s="179">
        <v>5236.2632459070728</v>
      </c>
      <c r="J97" s="80">
        <f t="shared" si="27"/>
        <v>1.3072552629375997E-2</v>
      </c>
      <c r="K97" s="179">
        <v>5367.1698270547495</v>
      </c>
      <c r="L97" s="80">
        <f t="shared" si="28"/>
        <v>1.3136633769716074E-2</v>
      </c>
      <c r="M97" s="179">
        <v>5501.3490727311182</v>
      </c>
      <c r="N97" s="80">
        <f t="shared" si="29"/>
        <v>1.3201029033293113E-2</v>
      </c>
      <c r="O97" s="179">
        <v>5638.8827995493957</v>
      </c>
      <c r="P97" s="80">
        <f t="shared" si="30"/>
        <v>1.3265739959926902E-2</v>
      </c>
      <c r="Q97" s="179">
        <v>5779.8548695381296</v>
      </c>
      <c r="R97" s="80">
        <f t="shared" si="31"/>
        <v>1.3330768096985364E-2</v>
      </c>
      <c r="S97" s="179">
        <v>5924.3512412765822</v>
      </c>
      <c r="T97" s="80">
        <f t="shared" si="32"/>
        <v>1.3396114999421565E-2</v>
      </c>
      <c r="U97" s="179">
        <v>6072.4600223084972</v>
      </c>
      <c r="V97" s="80">
        <f t="shared" si="33"/>
        <v>1.3461782229810886E-2</v>
      </c>
      <c r="X97" s="200"/>
    </row>
    <row r="98" spans="1:24" ht="12.75" customHeight="1">
      <c r="A98" s="117" t="s">
        <v>431</v>
      </c>
      <c r="B98" s="35"/>
      <c r="C98" s="179">
        <v>305.99999999999994</v>
      </c>
      <c r="D98" s="80">
        <f t="shared" si="24"/>
        <v>1.1999999999999997E-3</v>
      </c>
      <c r="E98" s="179">
        <v>462</v>
      </c>
      <c r="F98" s="80">
        <f t="shared" si="25"/>
        <v>1.1999999999999999E-3</v>
      </c>
      <c r="G98" s="179">
        <v>471.23999999999995</v>
      </c>
      <c r="H98" s="80">
        <f t="shared" si="26"/>
        <v>1.1999999999999999E-3</v>
      </c>
      <c r="I98" s="179">
        <v>480.66479999999996</v>
      </c>
      <c r="J98" s="80">
        <f t="shared" si="27"/>
        <v>1.1999999999999999E-3</v>
      </c>
      <c r="K98" s="179">
        <v>490.27809599999989</v>
      </c>
      <c r="L98" s="80">
        <f t="shared" si="28"/>
        <v>1.1999999999999997E-3</v>
      </c>
      <c r="M98" s="179">
        <v>500.08365791999995</v>
      </c>
      <c r="N98" s="80">
        <f t="shared" si="29"/>
        <v>1.1999999999999999E-3</v>
      </c>
      <c r="O98" s="179">
        <v>510.08533107839997</v>
      </c>
      <c r="P98" s="80">
        <f t="shared" si="30"/>
        <v>1.1999999999999999E-3</v>
      </c>
      <c r="Q98" s="179">
        <v>520.28703769996798</v>
      </c>
      <c r="R98" s="80">
        <f t="shared" si="31"/>
        <v>1.1999999999999999E-3</v>
      </c>
      <c r="S98" s="179">
        <v>530.69277845396732</v>
      </c>
      <c r="T98" s="80">
        <f t="shared" si="32"/>
        <v>1.1999999999999999E-3</v>
      </c>
      <c r="U98" s="179">
        <v>541.30663402304685</v>
      </c>
      <c r="V98" s="80">
        <f t="shared" si="33"/>
        <v>1.2000000000000001E-3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4"/>
        <v>0</v>
      </c>
      <c r="E99" s="179">
        <v>0</v>
      </c>
      <c r="F99" s="80">
        <f t="shared" si="25"/>
        <v>0</v>
      </c>
      <c r="G99" s="179">
        <v>0</v>
      </c>
      <c r="H99" s="80">
        <f t="shared" si="26"/>
        <v>0</v>
      </c>
      <c r="I99" s="179">
        <v>0</v>
      </c>
      <c r="J99" s="80">
        <f t="shared" si="27"/>
        <v>0</v>
      </c>
      <c r="K99" s="179">
        <v>0</v>
      </c>
      <c r="L99" s="80">
        <f t="shared" si="28"/>
        <v>0</v>
      </c>
      <c r="M99" s="179">
        <v>0</v>
      </c>
      <c r="N99" s="80">
        <f t="shared" si="29"/>
        <v>0</v>
      </c>
      <c r="O99" s="179">
        <v>0</v>
      </c>
      <c r="P99" s="80">
        <f t="shared" si="30"/>
        <v>0</v>
      </c>
      <c r="Q99" s="179">
        <v>0</v>
      </c>
      <c r="R99" s="80">
        <f t="shared" si="31"/>
        <v>0</v>
      </c>
      <c r="S99" s="179">
        <v>0</v>
      </c>
      <c r="T99" s="80">
        <f t="shared" si="32"/>
        <v>0</v>
      </c>
      <c r="U99" s="179">
        <v>0</v>
      </c>
      <c r="V99" s="80">
        <f t="shared" si="33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4"/>
        <v>0</v>
      </c>
      <c r="E100" s="179">
        <v>0</v>
      </c>
      <c r="F100" s="80">
        <f t="shared" si="25"/>
        <v>0</v>
      </c>
      <c r="G100" s="179">
        <v>0</v>
      </c>
      <c r="H100" s="80">
        <f t="shared" si="26"/>
        <v>0</v>
      </c>
      <c r="I100" s="179">
        <v>0</v>
      </c>
      <c r="J100" s="80">
        <f t="shared" si="27"/>
        <v>0</v>
      </c>
      <c r="K100" s="179">
        <v>0</v>
      </c>
      <c r="L100" s="80">
        <f t="shared" si="28"/>
        <v>0</v>
      </c>
      <c r="M100" s="179">
        <v>0</v>
      </c>
      <c r="N100" s="80">
        <f t="shared" si="29"/>
        <v>0</v>
      </c>
      <c r="O100" s="179">
        <v>0</v>
      </c>
      <c r="P100" s="80">
        <f t="shared" si="30"/>
        <v>0</v>
      </c>
      <c r="Q100" s="179">
        <v>0</v>
      </c>
      <c r="R100" s="80">
        <f t="shared" si="31"/>
        <v>0</v>
      </c>
      <c r="S100" s="179">
        <v>0</v>
      </c>
      <c r="T100" s="80">
        <f t="shared" si="32"/>
        <v>0</v>
      </c>
      <c r="U100" s="179">
        <v>0</v>
      </c>
      <c r="V100" s="80">
        <f t="shared" si="33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4"/>
        <v>0</v>
      </c>
      <c r="E101" s="179"/>
      <c r="F101" s="80">
        <f t="shared" si="25"/>
        <v>0</v>
      </c>
      <c r="G101" s="179"/>
      <c r="H101" s="80">
        <f t="shared" si="26"/>
        <v>0</v>
      </c>
      <c r="I101" s="179">
        <v>0</v>
      </c>
      <c r="J101" s="80">
        <f t="shared" si="27"/>
        <v>0</v>
      </c>
      <c r="K101" s="179">
        <v>0</v>
      </c>
      <c r="L101" s="80">
        <f t="shared" si="28"/>
        <v>0</v>
      </c>
      <c r="M101" s="179">
        <v>0</v>
      </c>
      <c r="N101" s="80">
        <f t="shared" si="29"/>
        <v>0</v>
      </c>
      <c r="O101" s="179">
        <v>0</v>
      </c>
      <c r="P101" s="80">
        <f t="shared" si="30"/>
        <v>0</v>
      </c>
      <c r="Q101" s="179">
        <v>0</v>
      </c>
      <c r="R101" s="80">
        <f t="shared" si="31"/>
        <v>0</v>
      </c>
      <c r="S101" s="179">
        <v>0</v>
      </c>
      <c r="T101" s="80">
        <f t="shared" si="32"/>
        <v>0</v>
      </c>
      <c r="U101" s="179">
        <v>0</v>
      </c>
      <c r="V101" s="80">
        <f t="shared" si="33"/>
        <v>0</v>
      </c>
      <c r="X101" s="200"/>
    </row>
    <row r="102" spans="1:24" ht="12.75" customHeight="1">
      <c r="A102" s="117" t="s">
        <v>433</v>
      </c>
      <c r="B102" s="35"/>
      <c r="C102" s="179">
        <v>2550</v>
      </c>
      <c r="D102" s="80">
        <f t="shared" si="24"/>
        <v>0.01</v>
      </c>
      <c r="E102" s="179">
        <v>3850</v>
      </c>
      <c r="F102" s="80">
        <f t="shared" si="25"/>
        <v>0.01</v>
      </c>
      <c r="G102" s="179">
        <v>3927</v>
      </c>
      <c r="H102" s="80">
        <f t="shared" si="26"/>
        <v>0.01</v>
      </c>
      <c r="I102" s="179">
        <v>4005.5400000000004</v>
      </c>
      <c r="J102" s="80">
        <f t="shared" si="27"/>
        <v>0.01</v>
      </c>
      <c r="K102" s="179">
        <v>4085.6508000000003</v>
      </c>
      <c r="L102" s="80">
        <f t="shared" si="28"/>
        <v>0.01</v>
      </c>
      <c r="M102" s="179">
        <v>4167.363816</v>
      </c>
      <c r="N102" s="80">
        <f t="shared" si="29"/>
        <v>0.01</v>
      </c>
      <c r="O102" s="179">
        <v>4250.7110923200007</v>
      </c>
      <c r="P102" s="80">
        <f t="shared" si="30"/>
        <v>1.0000000000000002E-2</v>
      </c>
      <c r="Q102" s="179">
        <v>4335.7253141664005</v>
      </c>
      <c r="R102" s="80">
        <f t="shared" si="31"/>
        <v>0.01</v>
      </c>
      <c r="S102" s="179">
        <v>4422.4398204497284</v>
      </c>
      <c r="T102" s="80">
        <f t="shared" si="32"/>
        <v>0.01</v>
      </c>
      <c r="U102" s="179">
        <v>4510.8886168587233</v>
      </c>
      <c r="V102" s="80">
        <f t="shared" si="33"/>
        <v>9.9999999999999985E-3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4"/>
        <v>0</v>
      </c>
      <c r="E103" s="179">
        <v>0</v>
      </c>
      <c r="F103" s="80">
        <f t="shared" si="25"/>
        <v>0</v>
      </c>
      <c r="G103" s="179">
        <v>0</v>
      </c>
      <c r="H103" s="80">
        <f t="shared" si="26"/>
        <v>0</v>
      </c>
      <c r="I103" s="179">
        <v>0</v>
      </c>
      <c r="J103" s="80">
        <f t="shared" si="27"/>
        <v>0</v>
      </c>
      <c r="K103" s="179">
        <v>0</v>
      </c>
      <c r="L103" s="80">
        <f t="shared" si="28"/>
        <v>0</v>
      </c>
      <c r="M103" s="179">
        <v>0</v>
      </c>
      <c r="N103" s="80">
        <f t="shared" si="29"/>
        <v>0</v>
      </c>
      <c r="O103" s="179">
        <v>0</v>
      </c>
      <c r="P103" s="80">
        <f t="shared" si="30"/>
        <v>0</v>
      </c>
      <c r="Q103" s="179">
        <v>0</v>
      </c>
      <c r="R103" s="80">
        <f t="shared" si="31"/>
        <v>0</v>
      </c>
      <c r="S103" s="179">
        <v>0</v>
      </c>
      <c r="T103" s="80">
        <f t="shared" si="32"/>
        <v>0</v>
      </c>
      <c r="U103" s="179">
        <v>0</v>
      </c>
      <c r="V103" s="80">
        <f t="shared" si="33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4"/>
        <v>0</v>
      </c>
      <c r="E104" s="179">
        <v>0</v>
      </c>
      <c r="F104" s="80">
        <f t="shared" si="25"/>
        <v>0</v>
      </c>
      <c r="G104" s="179">
        <v>0</v>
      </c>
      <c r="H104" s="80">
        <f t="shared" si="26"/>
        <v>0</v>
      </c>
      <c r="I104" s="179">
        <v>0</v>
      </c>
      <c r="J104" s="80">
        <f t="shared" si="27"/>
        <v>0</v>
      </c>
      <c r="K104" s="179">
        <v>0</v>
      </c>
      <c r="L104" s="80">
        <f t="shared" si="28"/>
        <v>0</v>
      </c>
      <c r="M104" s="179">
        <v>0</v>
      </c>
      <c r="N104" s="80">
        <f t="shared" si="29"/>
        <v>0</v>
      </c>
      <c r="O104" s="179">
        <v>0</v>
      </c>
      <c r="P104" s="80">
        <f t="shared" si="30"/>
        <v>0</v>
      </c>
      <c r="Q104" s="179">
        <v>0</v>
      </c>
      <c r="R104" s="80">
        <f t="shared" si="31"/>
        <v>0</v>
      </c>
      <c r="S104" s="179">
        <v>0</v>
      </c>
      <c r="T104" s="80">
        <f t="shared" si="32"/>
        <v>0</v>
      </c>
      <c r="U104" s="179">
        <v>0</v>
      </c>
      <c r="V104" s="80">
        <f t="shared" si="33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53937.829865038642</v>
      </c>
      <c r="D105" s="83">
        <f t="shared" ref="D105" si="34">IFERROR(C105/C$28,0)</f>
        <v>0.21152090143152408</v>
      </c>
      <c r="E105" s="82">
        <f>SUM(E52:E104)</f>
        <v>77385.235760324038</v>
      </c>
      <c r="F105" s="83">
        <f t="shared" ref="F105" si="35">IFERROR(E105/E$28,0)</f>
        <v>0.20100061236447803</v>
      </c>
      <c r="G105" s="82">
        <f>SUM(G52:G104)</f>
        <v>79456.205080813248</v>
      </c>
      <c r="H105" s="83">
        <f t="shared" ref="H105" si="36">IFERROR(G105/G$28,0)</f>
        <v>0.20233309162417429</v>
      </c>
      <c r="I105" s="82">
        <f>SUM(I52:I104)</f>
        <v>81075.018707652504</v>
      </c>
      <c r="J105" s="83">
        <f t="shared" ref="J105" si="37">IFERROR(I105/I$28,0)</f>
        <v>0.20240721277943174</v>
      </c>
      <c r="K105" s="82">
        <f>SUM(K52:K104)</f>
        <v>82681.178959205427</v>
      </c>
      <c r="L105" s="83">
        <f t="shared" ref="L105" si="38">IFERROR(K105/K$28,0)</f>
        <v>0.20236966644140372</v>
      </c>
      <c r="M105" s="82">
        <f>SUM(M52:M104)</f>
        <v>84353.997189729445</v>
      </c>
      <c r="N105" s="83">
        <f t="shared" ref="N105" si="39">IFERROR(M105/M$28,0)</f>
        <v>0.2024157258981428</v>
      </c>
      <c r="O105" s="82">
        <f>SUM(O52:O104)</f>
        <v>86061.01030657925</v>
      </c>
      <c r="P105" s="83">
        <f t="shared" ref="P105" si="40">IFERROR(O105/O$28,0)</f>
        <v>0.20246261963573703</v>
      </c>
      <c r="Q105" s="82">
        <f>SUM(Q52:Q104)</f>
        <v>87802.790770880965</v>
      </c>
      <c r="R105" s="83">
        <f t="shared" ref="R105" si="41">IFERROR(Q105/Q$28,0)</f>
        <v>0.20251004020941349</v>
      </c>
      <c r="S105" s="82">
        <f>SUM(S52:S104)</f>
        <v>89579.92584567632</v>
      </c>
      <c r="T105" s="83">
        <f t="shared" ref="T105" si="42">IFERROR(S105/S$28,0)</f>
        <v>0.20255770453099511</v>
      </c>
      <c r="U105" s="82">
        <f>SUM(U52:U104)</f>
        <v>91542.140344575571</v>
      </c>
      <c r="V105" s="83">
        <f t="shared" si="33"/>
        <v>0.20293593595384174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1821.6821349613601</v>
      </c>
      <c r="D107" s="83">
        <f>IFERROR(C107/C$28,0)</f>
        <v>7.1438515096523929E-3</v>
      </c>
      <c r="E107" s="82">
        <f>E28-E33-E46-E105</f>
        <v>55018.701583675938</v>
      </c>
      <c r="F107" s="83">
        <f>IFERROR(E107/E$28,0)</f>
        <v>0.14290571839915828</v>
      </c>
      <c r="G107" s="82">
        <f>G28-G33-G46-G105</f>
        <v>53574.020070226732</v>
      </c>
      <c r="H107" s="83">
        <f>IFERROR(G107/G$28,0)</f>
        <v>0.13642480282716254</v>
      </c>
      <c r="I107" s="82">
        <f>I28-I33-I46-I105</f>
        <v>52941.768048220794</v>
      </c>
      <c r="J107" s="83">
        <f>IFERROR(I107/I$28,0)</f>
        <v>0.13217136278309741</v>
      </c>
      <c r="K107" s="82">
        <f>K28-K33-K46-K105</f>
        <v>53296.10508556469</v>
      </c>
      <c r="L107" s="83">
        <f>IFERROR(K107/K$28,0)</f>
        <v>0.13044703939349073</v>
      </c>
      <c r="M107" s="82">
        <f>M28-M33-M46-M105</f>
        <v>53604.998128559906</v>
      </c>
      <c r="N107" s="83">
        <f>IFERROR(M107/M$28,0)</f>
        <v>0.12863047359280499</v>
      </c>
      <c r="O107" s="82">
        <f>O28-O33-O46-O105</f>
        <v>53900.884650515349</v>
      </c>
      <c r="P107" s="83">
        <f>IFERROR(O107/O$28,0)</f>
        <v>0.12680439455859779</v>
      </c>
      <c r="Q107" s="82">
        <f>Q28-Q33-Q46-Q105</f>
        <v>54183.154811105953</v>
      </c>
      <c r="R107" s="83">
        <f>IFERROR(Q107/Q$28,0)</f>
        <v>0.12496906719175629</v>
      </c>
      <c r="S107" s="82">
        <f>S28-S33-S46-S105</f>
        <v>54451.171691844633</v>
      </c>
      <c r="T107" s="83">
        <f>IFERROR(S107/S$28,0)</f>
        <v>0.12312473182802376</v>
      </c>
      <c r="U107" s="82">
        <f>U28-U33-U46-U105</f>
        <v>54555.148013687402</v>
      </c>
      <c r="V107" s="83">
        <f>IFERROR(U107/U$28,0)</f>
        <v>0.12094102215203513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3">IFERROR(C111/C$28,0)</f>
        <v>0</v>
      </c>
      <c r="E111" s="79">
        <f>E59</f>
        <v>0</v>
      </c>
      <c r="F111" s="80">
        <f t="shared" ref="F111:F116" si="44">IFERROR(E111/E$28,0)</f>
        <v>0</v>
      </c>
      <c r="G111" s="79">
        <f>G59</f>
        <v>0</v>
      </c>
      <c r="H111" s="80">
        <f t="shared" ref="H111:H116" si="45">IFERROR(G111/G$28,0)</f>
        <v>0</v>
      </c>
      <c r="I111" s="79">
        <f>I59</f>
        <v>0</v>
      </c>
      <c r="J111" s="80">
        <f t="shared" ref="J111:J116" si="46">IFERROR(I111/I$28,0)</f>
        <v>0</v>
      </c>
      <c r="K111" s="79">
        <f>K59</f>
        <v>0</v>
      </c>
      <c r="L111" s="80">
        <f t="shared" ref="L111:L116" si="47">IFERROR(K111/K$28,0)</f>
        <v>0</v>
      </c>
      <c r="M111" s="79">
        <f>M59</f>
        <v>0</v>
      </c>
      <c r="N111" s="80">
        <f t="shared" ref="N111:N116" si="48">IFERROR(M111/M$28,0)</f>
        <v>0</v>
      </c>
      <c r="O111" s="79">
        <f>O59</f>
        <v>0</v>
      </c>
      <c r="P111" s="80">
        <f t="shared" ref="P111:P116" si="49">IFERROR(O111/O$28,0)</f>
        <v>0</v>
      </c>
      <c r="Q111" s="79">
        <f>Q59</f>
        <v>0</v>
      </c>
      <c r="R111" s="80">
        <f t="shared" ref="R111:R116" si="50">IFERROR(Q111/Q$28,0)</f>
        <v>0</v>
      </c>
      <c r="S111" s="79">
        <f>S59</f>
        <v>0</v>
      </c>
      <c r="T111" s="80">
        <f t="shared" ref="T111:T116" si="51">IFERROR(S111/S$28,0)</f>
        <v>0</v>
      </c>
      <c r="U111" s="79">
        <f>U59</f>
        <v>0</v>
      </c>
      <c r="V111" s="80">
        <f t="shared" ref="V111:V116" si="52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3"/>
        <v>0</v>
      </c>
      <c r="E112" s="79">
        <f>E62</f>
        <v>0</v>
      </c>
      <c r="F112" s="80">
        <f t="shared" si="44"/>
        <v>0</v>
      </c>
      <c r="G112" s="79">
        <f>G62</f>
        <v>0</v>
      </c>
      <c r="H112" s="80">
        <f t="shared" si="45"/>
        <v>0</v>
      </c>
      <c r="I112" s="79">
        <f>I62</f>
        <v>0</v>
      </c>
      <c r="J112" s="80">
        <f t="shared" si="46"/>
        <v>0</v>
      </c>
      <c r="K112" s="79">
        <f>K62</f>
        <v>0</v>
      </c>
      <c r="L112" s="80">
        <f t="shared" si="47"/>
        <v>0</v>
      </c>
      <c r="M112" s="79">
        <f>M62</f>
        <v>0</v>
      </c>
      <c r="N112" s="80">
        <f t="shared" si="48"/>
        <v>0</v>
      </c>
      <c r="O112" s="79">
        <f>O62</f>
        <v>0</v>
      </c>
      <c r="P112" s="80">
        <f t="shared" si="49"/>
        <v>0</v>
      </c>
      <c r="Q112" s="79">
        <f>Q62</f>
        <v>0</v>
      </c>
      <c r="R112" s="80">
        <f t="shared" si="50"/>
        <v>0</v>
      </c>
      <c r="S112" s="79">
        <f>S62</f>
        <v>0</v>
      </c>
      <c r="T112" s="80">
        <f t="shared" si="51"/>
        <v>0</v>
      </c>
      <c r="U112" s="79">
        <f>U62</f>
        <v>0</v>
      </c>
      <c r="V112" s="80">
        <f t="shared" si="52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3"/>
        <v>0</v>
      </c>
      <c r="E113" s="111">
        <v>0</v>
      </c>
      <c r="F113" s="80">
        <f t="shared" si="44"/>
        <v>0</v>
      </c>
      <c r="G113" s="111">
        <v>0</v>
      </c>
      <c r="H113" s="80">
        <f t="shared" si="45"/>
        <v>0</v>
      </c>
      <c r="I113" s="111">
        <v>0</v>
      </c>
      <c r="J113" s="80">
        <f t="shared" si="46"/>
        <v>0</v>
      </c>
      <c r="K113" s="111">
        <v>0</v>
      </c>
      <c r="L113" s="80">
        <f t="shared" si="47"/>
        <v>0</v>
      </c>
      <c r="M113" s="111">
        <v>0</v>
      </c>
      <c r="N113" s="80">
        <f t="shared" si="48"/>
        <v>0</v>
      </c>
      <c r="O113" s="111">
        <v>0</v>
      </c>
      <c r="P113" s="80">
        <f t="shared" si="49"/>
        <v>0</v>
      </c>
      <c r="Q113" s="111">
        <v>0</v>
      </c>
      <c r="R113" s="80">
        <f t="shared" si="50"/>
        <v>0</v>
      </c>
      <c r="S113" s="111">
        <v>0</v>
      </c>
      <c r="T113" s="80">
        <f t="shared" si="51"/>
        <v>0</v>
      </c>
      <c r="U113" s="111">
        <v>0</v>
      </c>
      <c r="V113" s="80">
        <f t="shared" si="52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3"/>
        <v>0</v>
      </c>
      <c r="E114" s="111">
        <v>0</v>
      </c>
      <c r="F114" s="80">
        <f t="shared" si="44"/>
        <v>0</v>
      </c>
      <c r="G114" s="111">
        <v>0</v>
      </c>
      <c r="H114" s="80">
        <f t="shared" si="45"/>
        <v>0</v>
      </c>
      <c r="I114" s="111">
        <v>0</v>
      </c>
      <c r="J114" s="80">
        <f t="shared" si="46"/>
        <v>0</v>
      </c>
      <c r="K114" s="111">
        <v>0</v>
      </c>
      <c r="L114" s="80">
        <f t="shared" si="47"/>
        <v>0</v>
      </c>
      <c r="M114" s="111">
        <v>0</v>
      </c>
      <c r="N114" s="80">
        <f t="shared" si="48"/>
        <v>0</v>
      </c>
      <c r="O114" s="111">
        <v>0</v>
      </c>
      <c r="P114" s="80">
        <f t="shared" si="49"/>
        <v>0</v>
      </c>
      <c r="Q114" s="111">
        <v>0</v>
      </c>
      <c r="R114" s="80">
        <f t="shared" si="50"/>
        <v>0</v>
      </c>
      <c r="S114" s="111">
        <v>0</v>
      </c>
      <c r="T114" s="80">
        <f t="shared" si="51"/>
        <v>0</v>
      </c>
      <c r="U114" s="111">
        <v>0</v>
      </c>
      <c r="V114" s="80">
        <f t="shared" si="52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3"/>
        <v>0</v>
      </c>
      <c r="E115" s="112">
        <v>0</v>
      </c>
      <c r="F115" s="80">
        <f t="shared" si="44"/>
        <v>0</v>
      </c>
      <c r="G115" s="112">
        <v>0</v>
      </c>
      <c r="H115" s="80">
        <f t="shared" si="45"/>
        <v>0</v>
      </c>
      <c r="I115" s="112">
        <v>0</v>
      </c>
      <c r="J115" s="80">
        <f t="shared" si="46"/>
        <v>0</v>
      </c>
      <c r="K115" s="112">
        <v>0</v>
      </c>
      <c r="L115" s="80">
        <f t="shared" si="47"/>
        <v>0</v>
      </c>
      <c r="M115" s="112">
        <v>0</v>
      </c>
      <c r="N115" s="80">
        <f t="shared" si="48"/>
        <v>0</v>
      </c>
      <c r="O115" s="112">
        <v>0</v>
      </c>
      <c r="P115" s="80">
        <f t="shared" si="49"/>
        <v>0</v>
      </c>
      <c r="Q115" s="112">
        <v>0</v>
      </c>
      <c r="R115" s="80">
        <f t="shared" si="50"/>
        <v>0</v>
      </c>
      <c r="S115" s="112">
        <v>0</v>
      </c>
      <c r="T115" s="80">
        <f t="shared" si="51"/>
        <v>0</v>
      </c>
      <c r="U115" s="112">
        <v>0</v>
      </c>
      <c r="V115" s="80">
        <f t="shared" si="52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3"/>
        <v>0</v>
      </c>
      <c r="E116" s="85">
        <f>SUM(E111:E115)</f>
        <v>0</v>
      </c>
      <c r="F116" s="83">
        <f t="shared" si="44"/>
        <v>0</v>
      </c>
      <c r="G116" s="85">
        <f>SUM(G111:G115)</f>
        <v>0</v>
      </c>
      <c r="H116" s="83">
        <f t="shared" si="45"/>
        <v>0</v>
      </c>
      <c r="I116" s="85">
        <f>SUM(I111:I115)</f>
        <v>0</v>
      </c>
      <c r="J116" s="83">
        <f t="shared" si="46"/>
        <v>0</v>
      </c>
      <c r="K116" s="85">
        <f>SUM(K111:K115)</f>
        <v>0</v>
      </c>
      <c r="L116" s="83">
        <f t="shared" si="47"/>
        <v>0</v>
      </c>
      <c r="M116" s="85">
        <f>SUM(M111:M115)</f>
        <v>0</v>
      </c>
      <c r="N116" s="83">
        <f t="shared" si="48"/>
        <v>0</v>
      </c>
      <c r="O116" s="85">
        <f>SUM(O111:O115)</f>
        <v>0</v>
      </c>
      <c r="P116" s="83">
        <f t="shared" si="49"/>
        <v>0</v>
      </c>
      <c r="Q116" s="85">
        <f>SUM(Q111:Q115)</f>
        <v>0</v>
      </c>
      <c r="R116" s="83">
        <f t="shared" si="50"/>
        <v>0</v>
      </c>
      <c r="S116" s="85">
        <f>SUM(S111:S115)</f>
        <v>0</v>
      </c>
      <c r="T116" s="83">
        <f t="shared" si="51"/>
        <v>0</v>
      </c>
      <c r="U116" s="85">
        <f>SUM(U111:U115)</f>
        <v>0</v>
      </c>
      <c r="V116" s="83">
        <f t="shared" si="52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496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7" tint="0.59999389629810485"/>
  </sheetPr>
  <dimension ref="A1:X119"/>
  <sheetViews>
    <sheetView topLeftCell="A18" zoomScale="70" zoomScaleNormal="70" workbookViewId="0" xr3:uid="{FA9D0CF8-F9BB-5117-B023-E36B10EBCA76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39.710937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497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Chic Fil A BBC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/>
      <c r="E8" s="109">
        <v>250</v>
      </c>
      <c r="G8" s="109">
        <f>+E8</f>
        <v>250</v>
      </c>
      <c r="I8" s="109">
        <f>+G8</f>
        <v>250</v>
      </c>
      <c r="K8" s="109">
        <f>+I8</f>
        <v>250</v>
      </c>
      <c r="M8" s="109">
        <f>+K8</f>
        <v>250</v>
      </c>
      <c r="O8" s="109">
        <f>+M8</f>
        <v>250</v>
      </c>
      <c r="Q8" s="109">
        <f>+O8</f>
        <v>250</v>
      </c>
      <c r="S8" s="109">
        <f>+Q8</f>
        <v>250</v>
      </c>
      <c r="U8" s="109">
        <f>+S8</f>
        <v>250</v>
      </c>
    </row>
    <row r="10" spans="1:22" ht="12.75" customHeight="1">
      <c r="A10" s="2" t="s">
        <v>449</v>
      </c>
      <c r="C10" s="109"/>
      <c r="E10" s="209">
        <f>+E14/E8/E12</f>
        <v>333.33333333333331</v>
      </c>
      <c r="F10" s="186"/>
      <c r="G10" s="209">
        <f>+G14/G8/G12</f>
        <v>338.30845771144277</v>
      </c>
      <c r="H10" s="186"/>
      <c r="I10" s="209">
        <f>+I14/I8/I12</f>
        <v>343.36633663366342</v>
      </c>
      <c r="J10" s="186"/>
      <c r="K10" s="209">
        <f>+K14/K8/K12</f>
        <v>348.5083743842365</v>
      </c>
      <c r="L10" s="186"/>
      <c r="M10" s="209">
        <f>+M14/M8/M12</f>
        <v>353.73599999999993</v>
      </c>
      <c r="N10" s="186"/>
      <c r="O10" s="209">
        <f t="shared" ref="O10" si="0">+O14/O8/O12</f>
        <v>359.05066770731707</v>
      </c>
      <c r="P10" s="186"/>
      <c r="Q10" s="209">
        <f t="shared" ref="Q10" si="1">+Q14/Q8/Q12</f>
        <v>364.45385736699029</v>
      </c>
      <c r="R10" s="186"/>
      <c r="S10" s="209">
        <f>+S14/S8/S12</f>
        <v>369.9470749273043</v>
      </c>
      <c r="T10" s="186"/>
      <c r="U10" s="209">
        <f>+U14/U8/U12</f>
        <v>375.53185288534149</v>
      </c>
    </row>
    <row r="12" spans="1:22" ht="12.75" customHeight="1">
      <c r="A12" s="2" t="s">
        <v>450</v>
      </c>
      <c r="C12" s="110"/>
      <c r="E12" s="110">
        <v>6</v>
      </c>
      <c r="G12" s="110">
        <v>6.03</v>
      </c>
      <c r="I12" s="110">
        <v>6.06</v>
      </c>
      <c r="K12" s="110">
        <v>6.09</v>
      </c>
      <c r="M12" s="110">
        <v>6.12</v>
      </c>
      <c r="O12" s="110">
        <v>6.15</v>
      </c>
      <c r="Q12" s="110">
        <v>6.18</v>
      </c>
      <c r="S12" s="110">
        <v>6.21</v>
      </c>
      <c r="U12" s="110">
        <v>6.24</v>
      </c>
    </row>
    <row r="14" spans="1:22" ht="12.75" customHeight="1">
      <c r="A14" s="2" t="s">
        <v>451</v>
      </c>
      <c r="C14" s="121">
        <f>C12*C10*C8</f>
        <v>0</v>
      </c>
      <c r="E14" s="121">
        <v>500000</v>
      </c>
      <c r="G14" s="121">
        <f>+E14*1.02</f>
        <v>510000</v>
      </c>
      <c r="I14" s="121">
        <f>+G14*1.02</f>
        <v>520200</v>
      </c>
      <c r="K14" s="121">
        <f>+I14*1.02</f>
        <v>530604</v>
      </c>
      <c r="M14" s="121">
        <f>+K14*1.02</f>
        <v>541216.07999999996</v>
      </c>
      <c r="O14" s="121">
        <f>+M14*1.02</f>
        <v>552040.40159999998</v>
      </c>
      <c r="Q14" s="121">
        <f>+O14*1.02</f>
        <v>563081.20963199995</v>
      </c>
      <c r="S14" s="121">
        <f>+Q14*1.02</f>
        <v>574342.83382463991</v>
      </c>
      <c r="U14" s="121">
        <f>+S14*1.02</f>
        <v>585829.69050113275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</f>
        <v>0</v>
      </c>
      <c r="D19" s="80">
        <f>IFERROR(C19/C$28,0)</f>
        <v>0</v>
      </c>
      <c r="E19" s="208">
        <f>+E14-E20</f>
        <v>233649.99999999994</v>
      </c>
      <c r="F19" s="80">
        <f>IFERROR(E19/E$28,0)</f>
        <v>0.46729999999999988</v>
      </c>
      <c r="G19" s="208">
        <f>+G14-G20</f>
        <v>238322.99999999994</v>
      </c>
      <c r="H19" s="80">
        <f>IFERROR(G19/G$28,0)</f>
        <v>0.46729999999999988</v>
      </c>
      <c r="I19" s="208">
        <f>+I14-I20</f>
        <v>243089.45999999996</v>
      </c>
      <c r="J19" s="80">
        <f>IFERROR(I19/I$28,0)</f>
        <v>0.46729999999999994</v>
      </c>
      <c r="K19" s="208">
        <f>+K14-K20</f>
        <v>247951.24919999996</v>
      </c>
      <c r="L19" s="80">
        <f>IFERROR(K19/K$28,0)</f>
        <v>0.46729999999999994</v>
      </c>
      <c r="M19" s="208">
        <f>+M14-M20</f>
        <v>252910.27418399992</v>
      </c>
      <c r="N19" s="80">
        <f>IFERROR(M19/M$28,0)</f>
        <v>0.46729999999999988</v>
      </c>
      <c r="O19" s="208">
        <f>+O14-O20</f>
        <v>257968.47966767993</v>
      </c>
      <c r="P19" s="80">
        <f>IFERROR(O19/O$28,0)</f>
        <v>0.46729999999999988</v>
      </c>
      <c r="Q19" s="208">
        <f>+Q14-Q20</f>
        <v>263127.84926103352</v>
      </c>
      <c r="R19" s="80">
        <f>IFERROR(Q19/Q$28,0)</f>
        <v>0.46729999999999988</v>
      </c>
      <c r="S19" s="208">
        <f>+S14-S20</f>
        <v>268390.40624625416</v>
      </c>
      <c r="T19" s="80">
        <f>IFERROR(S19/S$28,0)</f>
        <v>0.46729999999999988</v>
      </c>
      <c r="U19" s="208">
        <f>+U14-U20</f>
        <v>273758.21437117929</v>
      </c>
      <c r="V19" s="80">
        <f>IFERROR(U19/U$28,0)</f>
        <v>0.46729999999999994</v>
      </c>
    </row>
    <row r="20" spans="1:24" ht="12.75" customHeight="1">
      <c r="A20" s="2" t="s">
        <v>357</v>
      </c>
      <c r="B20" s="35"/>
      <c r="C20" s="111">
        <f>+C14*12.38%</f>
        <v>0</v>
      </c>
      <c r="D20" s="80">
        <f>IFERROR(C20/C$28,0)</f>
        <v>0</v>
      </c>
      <c r="E20" s="111">
        <f>+E14*53.27%</f>
        <v>266350.00000000006</v>
      </c>
      <c r="F20" s="80">
        <f>IFERROR(E20/E$28,0)</f>
        <v>0.53270000000000006</v>
      </c>
      <c r="G20" s="111">
        <f t="shared" ref="G20:U21" si="2">E20*1.02</f>
        <v>271677.00000000006</v>
      </c>
      <c r="H20" s="80">
        <f>IFERROR(G20/G$28,0)</f>
        <v>0.53270000000000006</v>
      </c>
      <c r="I20" s="111">
        <f t="shared" si="2"/>
        <v>277110.54000000004</v>
      </c>
      <c r="J20" s="80">
        <f>IFERROR(I20/I$28,0)</f>
        <v>0.53270000000000006</v>
      </c>
      <c r="K20" s="111">
        <f t="shared" si="2"/>
        <v>282652.75080000004</v>
      </c>
      <c r="L20" s="80">
        <f>IFERROR(K20/K$28,0)</f>
        <v>0.53270000000000006</v>
      </c>
      <c r="M20" s="111">
        <f t="shared" si="2"/>
        <v>288305.80581600004</v>
      </c>
      <c r="N20" s="80">
        <f>IFERROR(M20/M$28,0)</f>
        <v>0.53270000000000006</v>
      </c>
      <c r="O20" s="111">
        <f t="shared" si="2"/>
        <v>294071.92193232005</v>
      </c>
      <c r="P20" s="80">
        <f>IFERROR(O20/O$28,0)</f>
        <v>0.53270000000000006</v>
      </c>
      <c r="Q20" s="111">
        <f t="shared" si="2"/>
        <v>299953.36037096643</v>
      </c>
      <c r="R20" s="80">
        <f>IFERROR(Q20/Q$28,0)</f>
        <v>0.53270000000000006</v>
      </c>
      <c r="S20" s="111">
        <f t="shared" si="2"/>
        <v>305952.42757838574</v>
      </c>
      <c r="T20" s="80">
        <f>IFERROR(S20/S$28,0)</f>
        <v>0.53270000000000006</v>
      </c>
      <c r="U20" s="111">
        <f t="shared" si="2"/>
        <v>312071.47612995346</v>
      </c>
      <c r="V20" s="80">
        <f>IFERROR(U20/U$28,0)</f>
        <v>0.53270000000000006</v>
      </c>
    </row>
    <row r="21" spans="1:24" ht="12.75" customHeight="1">
      <c r="A21" s="2" t="s">
        <v>358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2"/>
        <v>0</v>
      </c>
      <c r="H21" s="80">
        <f>IFERROR(G21/G$28,0)</f>
        <v>0</v>
      </c>
      <c r="I21" s="111">
        <f t="shared" si="2"/>
        <v>0</v>
      </c>
      <c r="J21" s="80">
        <f>IFERROR(I21/I$28,0)</f>
        <v>0</v>
      </c>
      <c r="K21" s="111">
        <f t="shared" si="2"/>
        <v>0</v>
      </c>
      <c r="L21" s="80">
        <f>IFERROR(K21/K$28,0)</f>
        <v>0</v>
      </c>
      <c r="M21" s="111">
        <f t="shared" si="2"/>
        <v>0</v>
      </c>
      <c r="N21" s="80">
        <f>IFERROR(M21/M$28,0)</f>
        <v>0</v>
      </c>
      <c r="O21" s="111">
        <f t="shared" si="2"/>
        <v>0</v>
      </c>
      <c r="P21" s="80">
        <f>IFERROR(O21/O$28,0)</f>
        <v>0</v>
      </c>
      <c r="Q21" s="111">
        <f t="shared" si="2"/>
        <v>0</v>
      </c>
      <c r="R21" s="80">
        <f>IFERROR(Q21/Q$28,0)</f>
        <v>0</v>
      </c>
      <c r="S21" s="111">
        <f t="shared" si="2"/>
        <v>0</v>
      </c>
      <c r="T21" s="80">
        <f>IFERROR(S21/S$28,0)</f>
        <v>0</v>
      </c>
      <c r="U21" s="111">
        <f t="shared" si="2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3">IFERROR(C23/C$28,0)</f>
        <v>0</v>
      </c>
      <c r="E23" s="79"/>
      <c r="F23" s="80">
        <f t="shared" ref="F23:F28" si="4">IFERROR(E23/E$28,0)</f>
        <v>0</v>
      </c>
      <c r="G23" s="79"/>
      <c r="H23" s="80">
        <f t="shared" ref="H23:H28" si="5">IFERROR(G23/G$28,0)</f>
        <v>0</v>
      </c>
      <c r="I23" s="79"/>
      <c r="J23" s="80">
        <f t="shared" ref="J23:J28" si="6">IFERROR(I23/I$28,0)</f>
        <v>0</v>
      </c>
      <c r="K23" s="79"/>
      <c r="L23" s="80">
        <f t="shared" ref="L23:L28" si="7">IFERROR(K23/K$28,0)</f>
        <v>0</v>
      </c>
      <c r="M23" s="79"/>
      <c r="N23" s="80">
        <f t="shared" ref="N23:N28" si="8">IFERROR(M23/M$28,0)</f>
        <v>0</v>
      </c>
      <c r="O23" s="79"/>
      <c r="P23" s="80">
        <f t="shared" ref="P23:P28" si="9">IFERROR(O23/O$28,0)</f>
        <v>0</v>
      </c>
      <c r="Q23" s="79"/>
      <c r="R23" s="80">
        <f t="shared" ref="R23:R28" si="10">IFERROR(Q23/Q$28,0)</f>
        <v>0</v>
      </c>
      <c r="S23" s="79"/>
      <c r="T23" s="80">
        <f t="shared" ref="T23:T28" si="11">IFERROR(S23/S$28,0)</f>
        <v>0</v>
      </c>
      <c r="U23" s="79"/>
      <c r="V23" s="80">
        <f t="shared" ref="V23:V28" si="12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3"/>
        <v>0</v>
      </c>
      <c r="E24" s="79"/>
      <c r="F24" s="80">
        <f t="shared" si="4"/>
        <v>0</v>
      </c>
      <c r="G24" s="79"/>
      <c r="H24" s="80">
        <f t="shared" si="5"/>
        <v>0</v>
      </c>
      <c r="I24" s="79"/>
      <c r="J24" s="80">
        <f t="shared" si="6"/>
        <v>0</v>
      </c>
      <c r="K24" s="79"/>
      <c r="L24" s="80">
        <f t="shared" si="7"/>
        <v>0</v>
      </c>
      <c r="M24" s="79"/>
      <c r="N24" s="80">
        <f t="shared" si="8"/>
        <v>0</v>
      </c>
      <c r="O24" s="79"/>
      <c r="P24" s="80">
        <f t="shared" si="9"/>
        <v>0</v>
      </c>
      <c r="Q24" s="79"/>
      <c r="R24" s="80">
        <f t="shared" si="10"/>
        <v>0</v>
      </c>
      <c r="S24" s="79"/>
      <c r="T24" s="80">
        <f t="shared" si="11"/>
        <v>0</v>
      </c>
      <c r="U24" s="79"/>
      <c r="V24" s="80">
        <f t="shared" si="12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3"/>
        <v>0</v>
      </c>
      <c r="E25" s="111"/>
      <c r="F25" s="80">
        <f t="shared" si="4"/>
        <v>0</v>
      </c>
      <c r="G25" s="111"/>
      <c r="H25" s="80">
        <f t="shared" si="5"/>
        <v>0</v>
      </c>
      <c r="I25" s="111"/>
      <c r="J25" s="80">
        <f t="shared" si="6"/>
        <v>0</v>
      </c>
      <c r="K25" s="111"/>
      <c r="L25" s="80">
        <f t="shared" si="7"/>
        <v>0</v>
      </c>
      <c r="M25" s="111"/>
      <c r="N25" s="80">
        <f t="shared" si="8"/>
        <v>0</v>
      </c>
      <c r="O25" s="111"/>
      <c r="P25" s="80">
        <f t="shared" si="9"/>
        <v>0</v>
      </c>
      <c r="Q25" s="111"/>
      <c r="R25" s="80">
        <f t="shared" si="10"/>
        <v>0</v>
      </c>
      <c r="S25" s="111"/>
      <c r="T25" s="80">
        <f t="shared" si="11"/>
        <v>0</v>
      </c>
      <c r="U25" s="111"/>
      <c r="V25" s="80">
        <f t="shared" si="12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3"/>
        <v>0</v>
      </c>
      <c r="E26" s="79"/>
      <c r="F26" s="80">
        <f t="shared" si="4"/>
        <v>0</v>
      </c>
      <c r="G26" s="79"/>
      <c r="H26" s="80">
        <f t="shared" si="5"/>
        <v>0</v>
      </c>
      <c r="I26" s="79"/>
      <c r="J26" s="80">
        <f t="shared" si="6"/>
        <v>0</v>
      </c>
      <c r="K26" s="79"/>
      <c r="L26" s="80">
        <f t="shared" si="7"/>
        <v>0</v>
      </c>
      <c r="M26" s="79"/>
      <c r="N26" s="80">
        <f t="shared" si="8"/>
        <v>0</v>
      </c>
      <c r="O26" s="79"/>
      <c r="P26" s="80">
        <f t="shared" si="9"/>
        <v>0</v>
      </c>
      <c r="Q26" s="79"/>
      <c r="R26" s="80">
        <f t="shared" si="10"/>
        <v>0</v>
      </c>
      <c r="S26" s="79"/>
      <c r="T26" s="80">
        <f t="shared" si="11"/>
        <v>0</v>
      </c>
      <c r="U26" s="79"/>
      <c r="V26" s="80">
        <f t="shared" si="12"/>
        <v>0</v>
      </c>
    </row>
    <row r="27" spans="1:24" ht="12.75" customHeight="1">
      <c r="A27" s="2" t="s">
        <v>364</v>
      </c>
      <c r="B27" s="35"/>
      <c r="C27" s="112"/>
      <c r="D27" s="80">
        <f t="shared" si="3"/>
        <v>0</v>
      </c>
      <c r="E27" s="112"/>
      <c r="F27" s="80">
        <f t="shared" si="4"/>
        <v>0</v>
      </c>
      <c r="G27" s="112"/>
      <c r="H27" s="80">
        <f t="shared" si="5"/>
        <v>0</v>
      </c>
      <c r="I27" s="112"/>
      <c r="J27" s="80">
        <f t="shared" si="6"/>
        <v>0</v>
      </c>
      <c r="K27" s="112"/>
      <c r="L27" s="80">
        <f t="shared" si="7"/>
        <v>0</v>
      </c>
      <c r="M27" s="112"/>
      <c r="N27" s="80">
        <f t="shared" si="8"/>
        <v>0</v>
      </c>
      <c r="O27" s="112"/>
      <c r="P27" s="80">
        <f t="shared" si="9"/>
        <v>0</v>
      </c>
      <c r="Q27" s="112"/>
      <c r="R27" s="80">
        <f t="shared" si="10"/>
        <v>0</v>
      </c>
      <c r="S27" s="112"/>
      <c r="T27" s="80">
        <f t="shared" si="11"/>
        <v>0</v>
      </c>
      <c r="U27" s="112"/>
      <c r="V27" s="80">
        <f t="shared" si="12"/>
        <v>0</v>
      </c>
    </row>
    <row r="28" spans="1:24" ht="12.75" customHeight="1">
      <c r="A28" s="1" t="s">
        <v>365</v>
      </c>
      <c r="B28" s="53"/>
      <c r="C28" s="82">
        <f>SUM(C19:C27)</f>
        <v>0</v>
      </c>
      <c r="D28" s="83">
        <f t="shared" si="3"/>
        <v>0</v>
      </c>
      <c r="E28" s="82">
        <f>SUM(E19:E27)</f>
        <v>500000</v>
      </c>
      <c r="F28" s="83">
        <f t="shared" si="4"/>
        <v>1</v>
      </c>
      <c r="G28" s="82">
        <f>SUM(G19:G27)</f>
        <v>510000</v>
      </c>
      <c r="H28" s="83">
        <f t="shared" si="5"/>
        <v>1</v>
      </c>
      <c r="I28" s="82">
        <f>SUM(I19:I27)</f>
        <v>520200</v>
      </c>
      <c r="J28" s="83">
        <f t="shared" si="6"/>
        <v>1</v>
      </c>
      <c r="K28" s="82">
        <f>SUM(K19:K27)</f>
        <v>530604</v>
      </c>
      <c r="L28" s="83">
        <f t="shared" si="7"/>
        <v>1</v>
      </c>
      <c r="M28" s="82">
        <f>SUM(M19:M27)</f>
        <v>541216.07999999996</v>
      </c>
      <c r="N28" s="83">
        <f t="shared" si="8"/>
        <v>1</v>
      </c>
      <c r="O28" s="82">
        <f>SUM(O19:O27)</f>
        <v>552040.40159999998</v>
      </c>
      <c r="P28" s="83">
        <f t="shared" si="9"/>
        <v>1</v>
      </c>
      <c r="Q28" s="82">
        <f>SUM(Q19:Q27)</f>
        <v>563081.20963199995</v>
      </c>
      <c r="R28" s="83">
        <f t="shared" si="10"/>
        <v>1</v>
      </c>
      <c r="S28" s="82">
        <f>SUM(S19:S27)</f>
        <v>574342.83382463991</v>
      </c>
      <c r="T28" s="83">
        <f t="shared" si="11"/>
        <v>1</v>
      </c>
      <c r="U28" s="82">
        <f>SUM(U19:U27)</f>
        <v>585829.69050113275</v>
      </c>
      <c r="V28" s="83">
        <f t="shared" si="12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0.315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0</v>
      </c>
      <c r="D31" s="80">
        <f>IFERROR(C31/C$28,0)</f>
        <v>0</v>
      </c>
      <c r="E31" s="179">
        <f>$C$30*E14</f>
        <v>157500</v>
      </c>
      <c r="F31" s="80">
        <f>IFERROR(E31/E$28,0)</f>
        <v>0.315</v>
      </c>
      <c r="G31" s="179">
        <f>$C$30*G14</f>
        <v>160650</v>
      </c>
      <c r="H31" s="80">
        <f>IFERROR(G31/G$28,0)</f>
        <v>0.315</v>
      </c>
      <c r="I31" s="179">
        <f>$C$30*I14</f>
        <v>163863</v>
      </c>
      <c r="J31" s="80">
        <f>IFERROR(I31/I$28,0)</f>
        <v>0.315</v>
      </c>
      <c r="K31" s="179">
        <f>$C$30*K14</f>
        <v>167140.26</v>
      </c>
      <c r="L31" s="80">
        <f>IFERROR(K31/K$28,0)</f>
        <v>0.315</v>
      </c>
      <c r="M31" s="179">
        <f>$C$30*M14</f>
        <v>170483.06519999998</v>
      </c>
      <c r="N31" s="80">
        <f>IFERROR(M31/M$28,0)</f>
        <v>0.315</v>
      </c>
      <c r="O31" s="179">
        <f>$C$30*O14</f>
        <v>173892.72650399999</v>
      </c>
      <c r="P31" s="80">
        <f>IFERROR(O31/O$28,0)</f>
        <v>0.315</v>
      </c>
      <c r="Q31" s="179">
        <f>$C$30*Q14</f>
        <v>177370.58103407998</v>
      </c>
      <c r="R31" s="80">
        <f>IFERROR(Q31/Q$28,0)</f>
        <v>0.315</v>
      </c>
      <c r="S31" s="179">
        <f>$C$30*S14</f>
        <v>180917.99265476156</v>
      </c>
      <c r="T31" s="80">
        <f>IFERROR(S31/S$28,0)</f>
        <v>0.315</v>
      </c>
      <c r="U31" s="179">
        <f>$C$30*U14</f>
        <v>184536.35250785682</v>
      </c>
      <c r="V31" s="80">
        <f>IFERROR(U31/U$28,0)</f>
        <v>0.315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0</v>
      </c>
      <c r="D33" s="83">
        <f>IFERROR(C33/C$28,0)</f>
        <v>0</v>
      </c>
      <c r="E33" s="82">
        <f>SUM(E31:E32)</f>
        <v>157500</v>
      </c>
      <c r="F33" s="83">
        <f>IFERROR(E33/E$28,0)</f>
        <v>0.315</v>
      </c>
      <c r="G33" s="82">
        <f>SUM(G31:G32)</f>
        <v>160650</v>
      </c>
      <c r="H33" s="83">
        <f>IFERROR(G33/G$28,0)</f>
        <v>0.315</v>
      </c>
      <c r="I33" s="82">
        <f>SUM(I31:I32)</f>
        <v>163863</v>
      </c>
      <c r="J33" s="83">
        <f>IFERROR(I33/I$28,0)</f>
        <v>0.315</v>
      </c>
      <c r="K33" s="82">
        <f>SUM(K31:K32)</f>
        <v>167140.26</v>
      </c>
      <c r="L33" s="83">
        <f>IFERROR(K33/K$28,0)</f>
        <v>0.315</v>
      </c>
      <c r="M33" s="82">
        <f>SUM(M31:M32)</f>
        <v>170483.06519999998</v>
      </c>
      <c r="N33" s="83">
        <f>IFERROR(M33/M$28,0)</f>
        <v>0.315</v>
      </c>
      <c r="O33" s="82">
        <f>SUM(O31:O32)</f>
        <v>173892.72650399999</v>
      </c>
      <c r="P33" s="83">
        <f>IFERROR(O33/O$28,0)</f>
        <v>0.315</v>
      </c>
      <c r="Q33" s="82">
        <f>SUM(Q31:Q32)</f>
        <v>177370.58103407998</v>
      </c>
      <c r="R33" s="83">
        <f>IFERROR(Q33/Q$28,0)</f>
        <v>0.315</v>
      </c>
      <c r="S33" s="82">
        <f>SUM(S31:S32)</f>
        <v>180917.99265476156</v>
      </c>
      <c r="T33" s="83">
        <f>IFERROR(S33/S$28,0)</f>
        <v>0.315</v>
      </c>
      <c r="U33" s="82">
        <f>SUM(U31:U32)</f>
        <v>184536.35250785682</v>
      </c>
      <c r="V33" s="83">
        <f>IFERROR(U33/U$28,0)</f>
        <v>0.315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/>
      <c r="D36" s="80">
        <f t="shared" ref="D36:D46" si="13">IFERROR(C36/C$28,0)</f>
        <v>0</v>
      </c>
      <c r="E36" s="179">
        <v>71735.649999999994</v>
      </c>
      <c r="F36" s="80">
        <f t="shared" ref="F36:F46" si="14">IFERROR(E36/E$28,0)</f>
        <v>0.1434713</v>
      </c>
      <c r="G36" s="179">
        <f>+E36*1.025</f>
        <v>73529.041249999995</v>
      </c>
      <c r="H36" s="80">
        <f t="shared" ref="H36:H46" si="15">IFERROR(G36/G$28,0)</f>
        <v>0.1441745906862745</v>
      </c>
      <c r="I36" s="179">
        <f>+G36*1.025</f>
        <v>75367.267281249995</v>
      </c>
      <c r="J36" s="80">
        <f t="shared" ref="J36:J46" si="16">IFERROR(I36/I$28,0)</f>
        <v>0.1448813288759131</v>
      </c>
      <c r="K36" s="179">
        <f>+I36*1.025</f>
        <v>77251.448963281233</v>
      </c>
      <c r="L36" s="80">
        <f t="shared" ref="L36:L46" si="17">IFERROR(K36/K$28,0)</f>
        <v>0.14559153146844206</v>
      </c>
      <c r="M36" s="179">
        <f>+K36*1.025</f>
        <v>79182.735187363258</v>
      </c>
      <c r="N36" s="80">
        <f t="shared" ref="N36:N46" si="18">IFERROR(M36/M$28,0)</f>
        <v>0.14630521544622854</v>
      </c>
      <c r="O36" s="179">
        <f>+M36*1.025</f>
        <v>81162.303567047333</v>
      </c>
      <c r="P36" s="80">
        <f t="shared" ref="P36:P46" si="19">IFERROR(O36/O$28,0)</f>
        <v>0.1470223978748865</v>
      </c>
      <c r="Q36" s="179">
        <f>+O36*1.025</f>
        <v>83191.361156223502</v>
      </c>
      <c r="R36" s="80">
        <f t="shared" ref="R36:R46" si="20">IFERROR(Q36/Q$28,0)</f>
        <v>0.14774309590368495</v>
      </c>
      <c r="S36" s="179">
        <f>+Q36*1.025</f>
        <v>85271.145185129077</v>
      </c>
      <c r="T36" s="80">
        <f t="shared" ref="T36:T46" si="21">IFERROR(S36/S$28,0)</f>
        <v>0.14846732676595792</v>
      </c>
      <c r="U36" s="179">
        <f>+S36*1.025</f>
        <v>87402.923814757291</v>
      </c>
      <c r="V36" s="80">
        <f t="shared" ref="V36:V46" si="22">IFERROR(U36/U$28,0)</f>
        <v>0.1491951077795165</v>
      </c>
    </row>
    <row r="37" spans="1:22" ht="12.75" customHeight="1">
      <c r="A37" s="2" t="s">
        <v>372</v>
      </c>
      <c r="B37" s="35"/>
      <c r="C37" s="179"/>
      <c r="D37" s="80">
        <f t="shared" si="13"/>
        <v>0</v>
      </c>
      <c r="E37" s="179">
        <v>78000</v>
      </c>
      <c r="F37" s="80">
        <f t="shared" si="14"/>
        <v>0.156</v>
      </c>
      <c r="G37" s="179">
        <f>+E37*1.035</f>
        <v>80730</v>
      </c>
      <c r="H37" s="80">
        <f t="shared" si="15"/>
        <v>0.15829411764705884</v>
      </c>
      <c r="I37" s="179">
        <f>+G37*1.032</f>
        <v>83313.36</v>
      </c>
      <c r="J37" s="80">
        <f t="shared" si="16"/>
        <v>0.16015640138408305</v>
      </c>
      <c r="K37" s="179">
        <f>+I37*1.025</f>
        <v>85396.193999999989</v>
      </c>
      <c r="L37" s="80">
        <f t="shared" si="17"/>
        <v>0.16094148178302461</v>
      </c>
      <c r="M37" s="179">
        <f>+K37*1.025</f>
        <v>87531.09884999998</v>
      </c>
      <c r="N37" s="80">
        <f t="shared" si="18"/>
        <v>0.16173041061529433</v>
      </c>
      <c r="O37" s="179">
        <f>+M37*1.025</f>
        <v>89719.376321249976</v>
      </c>
      <c r="P37" s="80">
        <f t="shared" si="19"/>
        <v>0.16252320674576146</v>
      </c>
      <c r="Q37" s="179">
        <f>+O37*1.025</f>
        <v>91962.360729281223</v>
      </c>
      <c r="R37" s="80">
        <f t="shared" si="20"/>
        <v>0.16331988913177009</v>
      </c>
      <c r="S37" s="179">
        <f>+Q37*1.025</f>
        <v>94261.419747513239</v>
      </c>
      <c r="T37" s="80">
        <f t="shared" si="21"/>
        <v>0.16412047682359249</v>
      </c>
      <c r="U37" s="179">
        <f>+S37*1.025</f>
        <v>96617.955241201067</v>
      </c>
      <c r="V37" s="80">
        <f t="shared" si="22"/>
        <v>0.16492498896488458</v>
      </c>
    </row>
    <row r="38" spans="1:22" ht="12.75" customHeight="1">
      <c r="A38" s="2" t="s">
        <v>373</v>
      </c>
      <c r="B38" s="35"/>
      <c r="C38" s="179"/>
      <c r="D38" s="80">
        <f t="shared" si="13"/>
        <v>0</v>
      </c>
      <c r="E38" s="179">
        <f t="shared" ref="E38:E39" si="23">+C38*1.112</f>
        <v>0</v>
      </c>
      <c r="F38" s="80">
        <f t="shared" si="14"/>
        <v>0</v>
      </c>
      <c r="G38" s="179">
        <f>+E38*1.035</f>
        <v>0</v>
      </c>
      <c r="H38" s="80">
        <f t="shared" si="15"/>
        <v>0</v>
      </c>
      <c r="I38" s="179">
        <f>+G38*1.032</f>
        <v>0</v>
      </c>
      <c r="J38" s="80">
        <f t="shared" si="16"/>
        <v>0</v>
      </c>
      <c r="K38" s="179">
        <f>+I38*1.025</f>
        <v>0</v>
      </c>
      <c r="L38" s="80">
        <f t="shared" si="17"/>
        <v>0</v>
      </c>
      <c r="M38" s="179">
        <f>+K38*1.025</f>
        <v>0</v>
      </c>
      <c r="N38" s="80">
        <f t="shared" si="18"/>
        <v>0</v>
      </c>
      <c r="O38" s="179">
        <f>+M38*1.025</f>
        <v>0</v>
      </c>
      <c r="P38" s="80">
        <f t="shared" si="19"/>
        <v>0</v>
      </c>
      <c r="Q38" s="179">
        <f>+O38*1.025</f>
        <v>0</v>
      </c>
      <c r="R38" s="80">
        <f t="shared" si="20"/>
        <v>0</v>
      </c>
      <c r="S38" s="179">
        <f>+Q38*1.025</f>
        <v>0</v>
      </c>
      <c r="T38" s="80">
        <f t="shared" si="21"/>
        <v>0</v>
      </c>
      <c r="U38" s="179">
        <f>+S38*1.025</f>
        <v>0</v>
      </c>
      <c r="V38" s="80">
        <f t="shared" si="22"/>
        <v>0</v>
      </c>
    </row>
    <row r="39" spans="1:22" ht="12.75" customHeight="1">
      <c r="A39" s="2" t="s">
        <v>374</v>
      </c>
      <c r="B39" s="35"/>
      <c r="C39" s="179"/>
      <c r="D39" s="80">
        <f t="shared" si="13"/>
        <v>0</v>
      </c>
      <c r="E39" s="179">
        <f t="shared" si="23"/>
        <v>0</v>
      </c>
      <c r="F39" s="80">
        <f t="shared" si="14"/>
        <v>0</v>
      </c>
      <c r="G39" s="179">
        <f>+E39*1.035</f>
        <v>0</v>
      </c>
      <c r="H39" s="80">
        <f t="shared" si="15"/>
        <v>0</v>
      </c>
      <c r="I39" s="179">
        <f>+G39*1.032</f>
        <v>0</v>
      </c>
      <c r="J39" s="80">
        <f t="shared" si="16"/>
        <v>0</v>
      </c>
      <c r="K39" s="179">
        <f>+I39*1.025</f>
        <v>0</v>
      </c>
      <c r="L39" s="80">
        <f t="shared" si="17"/>
        <v>0</v>
      </c>
      <c r="M39" s="179">
        <f>+K39*1.025</f>
        <v>0</v>
      </c>
      <c r="N39" s="80">
        <f t="shared" si="18"/>
        <v>0</v>
      </c>
      <c r="O39" s="179">
        <f>+M39*1.025</f>
        <v>0</v>
      </c>
      <c r="P39" s="80">
        <f t="shared" si="19"/>
        <v>0</v>
      </c>
      <c r="Q39" s="179">
        <f>+O39*1.025</f>
        <v>0</v>
      </c>
      <c r="R39" s="80">
        <f t="shared" si="20"/>
        <v>0</v>
      </c>
      <c r="S39" s="179">
        <f>+Q39*1.025</f>
        <v>0</v>
      </c>
      <c r="T39" s="80">
        <f t="shared" si="21"/>
        <v>0</v>
      </c>
      <c r="U39" s="179">
        <f>+S39*1.025</f>
        <v>0</v>
      </c>
      <c r="V39" s="80">
        <f t="shared" si="22"/>
        <v>0</v>
      </c>
    </row>
    <row r="40" spans="1:22" ht="12.75" customHeight="1">
      <c r="A40" s="2" t="s">
        <v>375</v>
      </c>
      <c r="B40" s="35"/>
      <c r="C40" s="179"/>
      <c r="D40" s="80">
        <f t="shared" si="13"/>
        <v>0</v>
      </c>
      <c r="E40" s="179">
        <f>E36*0.124</f>
        <v>8895.2205999999987</v>
      </c>
      <c r="F40" s="80">
        <f t="shared" si="14"/>
        <v>1.7790441199999996E-2</v>
      </c>
      <c r="G40" s="179">
        <f>G36*0.124</f>
        <v>9117.6011149999995</v>
      </c>
      <c r="H40" s="80">
        <f t="shared" si="15"/>
        <v>1.7877649245098038E-2</v>
      </c>
      <c r="I40" s="179">
        <f>I36*0.124</f>
        <v>9345.5411428749994</v>
      </c>
      <c r="J40" s="80">
        <f t="shared" si="16"/>
        <v>1.7965284780613225E-2</v>
      </c>
      <c r="K40" s="179">
        <f>K36*0.124</f>
        <v>9579.1796714468728</v>
      </c>
      <c r="L40" s="80">
        <f t="shared" si="17"/>
        <v>1.8053349902086815E-2</v>
      </c>
      <c r="M40" s="179">
        <f>M36*0.124</f>
        <v>9818.6591632330437</v>
      </c>
      <c r="N40" s="80">
        <f t="shared" si="18"/>
        <v>1.8141846715332338E-2</v>
      </c>
      <c r="O40" s="179">
        <f>O36*0.124</f>
        <v>10064.125642313869</v>
      </c>
      <c r="P40" s="80">
        <f t="shared" si="19"/>
        <v>1.8230777336485926E-2</v>
      </c>
      <c r="Q40" s="179">
        <f>Q36*0.124</f>
        <v>10315.728783371715</v>
      </c>
      <c r="R40" s="80">
        <f t="shared" si="20"/>
        <v>1.8320143892056936E-2</v>
      </c>
      <c r="S40" s="179">
        <f>S36*0.124</f>
        <v>10573.622002956006</v>
      </c>
      <c r="T40" s="80">
        <f t="shared" si="21"/>
        <v>1.8409948518978782E-2</v>
      </c>
      <c r="U40" s="179">
        <f>U36*0.124</f>
        <v>10837.962553029904</v>
      </c>
      <c r="V40" s="80">
        <f t="shared" si="22"/>
        <v>1.8500193364660043E-2</v>
      </c>
    </row>
    <row r="41" spans="1:22" ht="12.75" customHeight="1">
      <c r="A41" s="2" t="s">
        <v>376</v>
      </c>
      <c r="B41" s="35"/>
      <c r="C41" s="179"/>
      <c r="D41" s="80">
        <f t="shared" si="13"/>
        <v>0</v>
      </c>
      <c r="E41" s="179">
        <f>E37*0.124</f>
        <v>9672</v>
      </c>
      <c r="F41" s="80">
        <f t="shared" si="14"/>
        <v>1.9344E-2</v>
      </c>
      <c r="G41" s="179">
        <f>G37*0.124</f>
        <v>10010.52</v>
      </c>
      <c r="H41" s="80">
        <f t="shared" si="15"/>
        <v>1.9628470588235296E-2</v>
      </c>
      <c r="I41" s="179">
        <f>I37*0.124</f>
        <v>10330.85664</v>
      </c>
      <c r="J41" s="80">
        <f t="shared" si="16"/>
        <v>1.9859393771626297E-2</v>
      </c>
      <c r="K41" s="179">
        <f>K37*0.124</f>
        <v>10589.128055999998</v>
      </c>
      <c r="L41" s="80">
        <f t="shared" si="17"/>
        <v>1.9956743741095049E-2</v>
      </c>
      <c r="M41" s="179">
        <f>M37*0.124</f>
        <v>10853.856257399997</v>
      </c>
      <c r="N41" s="80">
        <f t="shared" si="18"/>
        <v>2.0054570916296498E-2</v>
      </c>
      <c r="O41" s="179">
        <f>O37*0.124</f>
        <v>11125.202663834996</v>
      </c>
      <c r="P41" s="80">
        <f t="shared" si="19"/>
        <v>2.0152877636474418E-2</v>
      </c>
      <c r="Q41" s="179">
        <f>Q37*0.124</f>
        <v>11403.332730430871</v>
      </c>
      <c r="R41" s="80">
        <f t="shared" si="20"/>
        <v>2.0251666252339491E-2</v>
      </c>
      <c r="S41" s="179">
        <f>S37*0.124</f>
        <v>11688.416048691641</v>
      </c>
      <c r="T41" s="80">
        <f t="shared" si="21"/>
        <v>2.0350939126125466E-2</v>
      </c>
      <c r="U41" s="179">
        <f>U37*0.124</f>
        <v>11980.626449908932</v>
      </c>
      <c r="V41" s="80">
        <f t="shared" si="22"/>
        <v>2.0450698631645687E-2</v>
      </c>
    </row>
    <row r="42" spans="1:22" ht="12.75" customHeight="1">
      <c r="A42" s="2" t="s">
        <v>377</v>
      </c>
      <c r="B42" s="35"/>
      <c r="C42" s="179"/>
      <c r="D42" s="80">
        <f t="shared" si="13"/>
        <v>0</v>
      </c>
      <c r="E42" s="179"/>
      <c r="F42" s="80">
        <f t="shared" si="14"/>
        <v>0</v>
      </c>
      <c r="G42" s="179"/>
      <c r="H42" s="80">
        <f t="shared" si="15"/>
        <v>0</v>
      </c>
      <c r="I42" s="179"/>
      <c r="J42" s="80">
        <f t="shared" si="16"/>
        <v>0</v>
      </c>
      <c r="K42" s="179"/>
      <c r="L42" s="80">
        <f t="shared" si="17"/>
        <v>0</v>
      </c>
      <c r="M42" s="179"/>
      <c r="N42" s="80">
        <f t="shared" si="18"/>
        <v>0</v>
      </c>
      <c r="O42" s="179"/>
      <c r="P42" s="80">
        <f t="shared" si="19"/>
        <v>0</v>
      </c>
      <c r="Q42" s="179"/>
      <c r="R42" s="80">
        <f t="shared" si="20"/>
        <v>0</v>
      </c>
      <c r="S42" s="179"/>
      <c r="T42" s="80">
        <f t="shared" si="21"/>
        <v>0</v>
      </c>
      <c r="U42" s="179"/>
      <c r="V42" s="80">
        <f t="shared" si="22"/>
        <v>0</v>
      </c>
    </row>
    <row r="43" spans="1:22" ht="12.75" customHeight="1">
      <c r="A43" s="2" t="s">
        <v>378</v>
      </c>
      <c r="B43" s="35"/>
      <c r="C43" s="179"/>
      <c r="D43" s="80">
        <f t="shared" si="13"/>
        <v>0</v>
      </c>
      <c r="E43" s="179"/>
      <c r="F43" s="80">
        <f t="shared" si="14"/>
        <v>0</v>
      </c>
      <c r="G43" s="179"/>
      <c r="H43" s="80">
        <f t="shared" si="15"/>
        <v>0</v>
      </c>
      <c r="I43" s="179"/>
      <c r="J43" s="80">
        <f t="shared" si="16"/>
        <v>0</v>
      </c>
      <c r="K43" s="179"/>
      <c r="L43" s="80">
        <f t="shared" si="17"/>
        <v>0</v>
      </c>
      <c r="M43" s="179"/>
      <c r="N43" s="80">
        <f t="shared" si="18"/>
        <v>0</v>
      </c>
      <c r="O43" s="179"/>
      <c r="P43" s="80">
        <f t="shared" si="19"/>
        <v>0</v>
      </c>
      <c r="Q43" s="179"/>
      <c r="R43" s="80">
        <f t="shared" si="20"/>
        <v>0</v>
      </c>
      <c r="S43" s="179"/>
      <c r="T43" s="80">
        <f t="shared" si="21"/>
        <v>0</v>
      </c>
      <c r="U43" s="179"/>
      <c r="V43" s="80">
        <f t="shared" si="22"/>
        <v>0</v>
      </c>
    </row>
    <row r="44" spans="1:22" ht="12.75" customHeight="1">
      <c r="A44" s="2" t="s">
        <v>379</v>
      </c>
      <c r="B44" s="35"/>
      <c r="C44" s="179"/>
      <c r="D44" s="80">
        <f t="shared" si="13"/>
        <v>0</v>
      </c>
      <c r="E44" s="179"/>
      <c r="F44" s="80">
        <f t="shared" si="14"/>
        <v>0</v>
      </c>
      <c r="G44" s="179"/>
      <c r="H44" s="80">
        <f t="shared" si="15"/>
        <v>0</v>
      </c>
      <c r="I44" s="179"/>
      <c r="J44" s="80">
        <f t="shared" si="16"/>
        <v>0</v>
      </c>
      <c r="K44" s="179"/>
      <c r="L44" s="80">
        <f t="shared" si="17"/>
        <v>0</v>
      </c>
      <c r="M44" s="179"/>
      <c r="N44" s="80">
        <f t="shared" si="18"/>
        <v>0</v>
      </c>
      <c r="O44" s="179"/>
      <c r="P44" s="80">
        <f t="shared" si="19"/>
        <v>0</v>
      </c>
      <c r="Q44" s="179"/>
      <c r="R44" s="80">
        <f t="shared" si="20"/>
        <v>0</v>
      </c>
      <c r="S44" s="179"/>
      <c r="T44" s="80">
        <f t="shared" si="21"/>
        <v>0</v>
      </c>
      <c r="U44" s="179"/>
      <c r="V44" s="80">
        <f t="shared" si="22"/>
        <v>0</v>
      </c>
    </row>
    <row r="45" spans="1:22" ht="12.75" customHeight="1">
      <c r="A45" s="2" t="s">
        <v>380</v>
      </c>
      <c r="B45" s="35"/>
      <c r="C45" s="182"/>
      <c r="D45" s="80">
        <f t="shared" si="13"/>
        <v>0</v>
      </c>
      <c r="E45" s="182">
        <f>SUM(E36:E39)*0.094</f>
        <v>14075.151099999999</v>
      </c>
      <c r="F45" s="80">
        <f t="shared" si="14"/>
        <v>2.8150302199999998E-2</v>
      </c>
      <c r="G45" s="182">
        <f>SUM(G36:G39)*0.094</f>
        <v>14500.349877500001</v>
      </c>
      <c r="H45" s="80">
        <f t="shared" si="15"/>
        <v>2.8432058583333336E-2</v>
      </c>
      <c r="I45" s="182">
        <f>SUM(I36:I39)*0.094</f>
        <v>14915.9789644375</v>
      </c>
      <c r="J45" s="80">
        <f t="shared" si="16"/>
        <v>2.8673546644439638E-2</v>
      </c>
      <c r="K45" s="182">
        <f>SUM(K36:K39)*0.094</f>
        <v>15288.878438548434</v>
      </c>
      <c r="L45" s="80">
        <f t="shared" si="17"/>
        <v>2.8814103245637865E-2</v>
      </c>
      <c r="M45" s="182">
        <f>SUM(M36:M39)*0.094</f>
        <v>15671.100399512145</v>
      </c>
      <c r="N45" s="80">
        <f t="shared" si="18"/>
        <v>2.8955348849783152E-2</v>
      </c>
      <c r="O45" s="182">
        <f>SUM(O36:O39)*0.094</f>
        <v>16062.877909499946</v>
      </c>
      <c r="P45" s="80">
        <f t="shared" si="19"/>
        <v>2.9097286834340905E-2</v>
      </c>
      <c r="Q45" s="182">
        <f>SUM(Q36:Q39)*0.094</f>
        <v>16464.449857237443</v>
      </c>
      <c r="R45" s="80">
        <f t="shared" si="20"/>
        <v>2.9239920593332771E-2</v>
      </c>
      <c r="S45" s="182">
        <f>SUM(S36:S39)*0.094</f>
        <v>16876.06110366838</v>
      </c>
      <c r="T45" s="80">
        <f t="shared" si="21"/>
        <v>2.938325353741774E-2</v>
      </c>
      <c r="U45" s="182">
        <f>SUM(U36:U39)*0.094</f>
        <v>17297.962631260085</v>
      </c>
      <c r="V45" s="80">
        <f t="shared" si="22"/>
        <v>2.9527289093973699E-2</v>
      </c>
    </row>
    <row r="46" spans="1:22" ht="12.75" customHeight="1">
      <c r="A46" s="1" t="s">
        <v>381</v>
      </c>
      <c r="B46" s="53"/>
      <c r="C46" s="82">
        <f>SUM(C36:C45)</f>
        <v>0</v>
      </c>
      <c r="D46" s="83">
        <f t="shared" si="13"/>
        <v>0</v>
      </c>
      <c r="E46" s="82">
        <f>SUM(E36:E45)</f>
        <v>182378.02169999998</v>
      </c>
      <c r="F46" s="83">
        <f t="shared" si="14"/>
        <v>0.36475604339999995</v>
      </c>
      <c r="G46" s="82">
        <f>SUM(G36:G45)</f>
        <v>187887.5122425</v>
      </c>
      <c r="H46" s="83">
        <f t="shared" si="15"/>
        <v>0.36840688675</v>
      </c>
      <c r="I46" s="82">
        <f>SUM(I36:I45)</f>
        <v>193273.00402856251</v>
      </c>
      <c r="J46" s="83">
        <f t="shared" si="16"/>
        <v>0.37153595545667534</v>
      </c>
      <c r="K46" s="82">
        <f>SUM(K36:K45)</f>
        <v>198104.82912927654</v>
      </c>
      <c r="L46" s="83">
        <f t="shared" si="17"/>
        <v>0.37335721014028644</v>
      </c>
      <c r="M46" s="82">
        <f>SUM(M36:M45)</f>
        <v>203057.44985750844</v>
      </c>
      <c r="N46" s="83">
        <f t="shared" si="18"/>
        <v>0.37518739254293493</v>
      </c>
      <c r="O46" s="82">
        <f>SUM(O36:O45)</f>
        <v>208133.88610394613</v>
      </c>
      <c r="P46" s="83">
        <f t="shared" si="19"/>
        <v>0.37702654642794925</v>
      </c>
      <c r="Q46" s="82">
        <f>SUM(Q36:Q45)</f>
        <v>213337.23325654474</v>
      </c>
      <c r="R46" s="83">
        <f t="shared" si="20"/>
        <v>0.37887471577318421</v>
      </c>
      <c r="S46" s="82">
        <f>SUM(S36:S45)</f>
        <v>218670.66408795834</v>
      </c>
      <c r="T46" s="83">
        <f t="shared" si="21"/>
        <v>0.38073194477207239</v>
      </c>
      <c r="U46" s="82">
        <f>SUM(U36:U45)</f>
        <v>224137.43069015729</v>
      </c>
      <c r="V46" s="83">
        <f t="shared" si="22"/>
        <v>0.38259827783468053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4">IFERROR(C52/C$28,0)</f>
        <v>0</v>
      </c>
      <c r="E52" s="179">
        <v>0</v>
      </c>
      <c r="F52" s="80">
        <f t="shared" ref="F52:F104" si="25">IFERROR(E52/E$28,0)</f>
        <v>0</v>
      </c>
      <c r="G52" s="179">
        <v>0</v>
      </c>
      <c r="H52" s="80">
        <f t="shared" ref="H52:H104" si="26">IFERROR(G52/G$28,0)</f>
        <v>0</v>
      </c>
      <c r="I52" s="179">
        <v>0</v>
      </c>
      <c r="J52" s="80">
        <f t="shared" ref="J52:J104" si="27">IFERROR(I52/I$28,0)</f>
        <v>0</v>
      </c>
      <c r="K52" s="179">
        <v>0</v>
      </c>
      <c r="L52" s="80">
        <f t="shared" ref="L52:L104" si="28">IFERROR(K52/K$28,0)</f>
        <v>0</v>
      </c>
      <c r="M52" s="179">
        <v>0</v>
      </c>
      <c r="N52" s="80">
        <f t="shared" ref="N52:N104" si="29">IFERROR(M52/M$28,0)</f>
        <v>0</v>
      </c>
      <c r="O52" s="179">
        <v>0</v>
      </c>
      <c r="P52" s="80">
        <f t="shared" ref="P52:P104" si="30">IFERROR(O52/O$28,0)</f>
        <v>0</v>
      </c>
      <c r="Q52" s="179">
        <v>0</v>
      </c>
      <c r="R52" s="80">
        <f t="shared" ref="R52:R104" si="31">IFERROR(Q52/Q$28,0)</f>
        <v>0</v>
      </c>
      <c r="S52" s="179">
        <v>0</v>
      </c>
      <c r="T52" s="80">
        <f t="shared" ref="T52:T104" si="32">IFERROR(S52/S$28,0)</f>
        <v>0</v>
      </c>
      <c r="U52" s="179">
        <v>0</v>
      </c>
      <c r="V52" s="80">
        <f t="shared" ref="V52:V105" si="33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4"/>
        <v>0</v>
      </c>
      <c r="E53" s="179">
        <v>0</v>
      </c>
      <c r="F53" s="80">
        <f t="shared" si="25"/>
        <v>0</v>
      </c>
      <c r="G53" s="179">
        <v>0</v>
      </c>
      <c r="H53" s="80">
        <f t="shared" si="26"/>
        <v>0</v>
      </c>
      <c r="I53" s="179">
        <v>0</v>
      </c>
      <c r="J53" s="80">
        <f t="shared" si="27"/>
        <v>0</v>
      </c>
      <c r="K53" s="179">
        <v>0</v>
      </c>
      <c r="L53" s="80">
        <f t="shared" si="28"/>
        <v>0</v>
      </c>
      <c r="M53" s="179">
        <v>0</v>
      </c>
      <c r="N53" s="80">
        <f t="shared" si="29"/>
        <v>0</v>
      </c>
      <c r="O53" s="179">
        <v>0</v>
      </c>
      <c r="P53" s="80">
        <f t="shared" si="30"/>
        <v>0</v>
      </c>
      <c r="Q53" s="179">
        <v>0</v>
      </c>
      <c r="R53" s="80">
        <f t="shared" si="31"/>
        <v>0</v>
      </c>
      <c r="S53" s="179">
        <v>0</v>
      </c>
      <c r="T53" s="80">
        <f t="shared" si="32"/>
        <v>0</v>
      </c>
      <c r="U53" s="179">
        <v>0</v>
      </c>
      <c r="V53" s="80">
        <f t="shared" si="33"/>
        <v>0</v>
      </c>
      <c r="X53" s="200"/>
    </row>
    <row r="54" spans="1:24" ht="12.75" customHeight="1">
      <c r="A54" s="2" t="s">
        <v>385</v>
      </c>
      <c r="B54" s="35"/>
      <c r="C54" s="179">
        <v>0</v>
      </c>
      <c r="D54" s="80">
        <f t="shared" si="24"/>
        <v>0</v>
      </c>
      <c r="E54" s="179">
        <v>350</v>
      </c>
      <c r="F54" s="80">
        <f t="shared" si="25"/>
        <v>6.9999999999999999E-4</v>
      </c>
      <c r="G54" s="179">
        <v>357</v>
      </c>
      <c r="H54" s="80">
        <f t="shared" si="26"/>
        <v>6.9999999999999999E-4</v>
      </c>
      <c r="I54" s="179">
        <v>364.14</v>
      </c>
      <c r="J54" s="80">
        <f t="shared" si="27"/>
        <v>6.9999999999999999E-4</v>
      </c>
      <c r="K54" s="179">
        <v>371.4228</v>
      </c>
      <c r="L54" s="80">
        <f t="shared" si="28"/>
        <v>6.9999999999999999E-4</v>
      </c>
      <c r="M54" s="179">
        <v>378.85125599999992</v>
      </c>
      <c r="N54" s="80">
        <f t="shared" si="29"/>
        <v>6.9999999999999988E-4</v>
      </c>
      <c r="O54" s="179">
        <v>386.42828111999995</v>
      </c>
      <c r="P54" s="80">
        <f t="shared" si="30"/>
        <v>6.9999999999999988E-4</v>
      </c>
      <c r="Q54" s="179">
        <v>394.15684674239998</v>
      </c>
      <c r="R54" s="80">
        <f t="shared" si="31"/>
        <v>6.9999999999999999E-4</v>
      </c>
      <c r="S54" s="179">
        <v>402.03998367724796</v>
      </c>
      <c r="T54" s="80">
        <f t="shared" si="32"/>
        <v>6.9999999999999999E-4</v>
      </c>
      <c r="U54" s="179">
        <v>410.08078335079296</v>
      </c>
      <c r="V54" s="80">
        <f t="shared" si="33"/>
        <v>7.000000000000001E-4</v>
      </c>
      <c r="X54" s="200"/>
    </row>
    <row r="55" spans="1:24" ht="12.75" customHeight="1">
      <c r="A55" s="2" t="s">
        <v>386</v>
      </c>
      <c r="B55" s="35"/>
      <c r="C55" s="179">
        <v>0</v>
      </c>
      <c r="D55" s="80">
        <f t="shared" si="24"/>
        <v>0</v>
      </c>
      <c r="E55" s="179">
        <v>50000</v>
      </c>
      <c r="F55" s="80">
        <f t="shared" si="25"/>
        <v>0.1</v>
      </c>
      <c r="G55" s="179">
        <v>51000</v>
      </c>
      <c r="H55" s="80">
        <f t="shared" si="26"/>
        <v>0.1</v>
      </c>
      <c r="I55" s="179">
        <v>52020</v>
      </c>
      <c r="J55" s="80">
        <f t="shared" si="27"/>
        <v>0.1</v>
      </c>
      <c r="K55" s="179">
        <v>53060.4</v>
      </c>
      <c r="L55" s="80">
        <f t="shared" si="28"/>
        <v>0.1</v>
      </c>
      <c r="M55" s="179">
        <v>54121.608</v>
      </c>
      <c r="N55" s="80">
        <f t="shared" si="29"/>
        <v>0.1</v>
      </c>
      <c r="O55" s="179">
        <v>55204.040160000004</v>
      </c>
      <c r="P55" s="80">
        <f t="shared" si="30"/>
        <v>0.1</v>
      </c>
      <c r="Q55" s="179">
        <v>56308.120963199995</v>
      </c>
      <c r="R55" s="80">
        <f t="shared" si="31"/>
        <v>0.1</v>
      </c>
      <c r="S55" s="179">
        <v>57434.283382463997</v>
      </c>
      <c r="T55" s="80">
        <f t="shared" si="32"/>
        <v>0.1</v>
      </c>
      <c r="U55" s="179">
        <v>58582.969050113279</v>
      </c>
      <c r="V55" s="80">
        <f t="shared" si="33"/>
        <v>0.1</v>
      </c>
      <c r="X55" s="200"/>
    </row>
    <row r="56" spans="1:24" ht="12.75" customHeight="1">
      <c r="A56" s="2" t="s">
        <v>387</v>
      </c>
      <c r="B56" s="35"/>
      <c r="C56" s="179">
        <v>0</v>
      </c>
      <c r="D56" s="80">
        <f t="shared" si="24"/>
        <v>0</v>
      </c>
      <c r="E56" s="179">
        <v>255.00000000000006</v>
      </c>
      <c r="F56" s="80">
        <f t="shared" si="25"/>
        <v>5.1000000000000015E-4</v>
      </c>
      <c r="G56" s="179">
        <v>260.10000000000002</v>
      </c>
      <c r="H56" s="80">
        <f t="shared" si="26"/>
        <v>5.1000000000000004E-4</v>
      </c>
      <c r="I56" s="179">
        <v>265.30200000000002</v>
      </c>
      <c r="J56" s="80">
        <f t="shared" si="27"/>
        <v>5.1000000000000004E-4</v>
      </c>
      <c r="K56" s="179">
        <v>270.60804000000002</v>
      </c>
      <c r="L56" s="80">
        <f t="shared" si="28"/>
        <v>5.1000000000000004E-4</v>
      </c>
      <c r="M56" s="179">
        <v>276.02020079999994</v>
      </c>
      <c r="N56" s="80">
        <f t="shared" si="29"/>
        <v>5.0999999999999993E-4</v>
      </c>
      <c r="O56" s="179">
        <v>281.54060481599998</v>
      </c>
      <c r="P56" s="80">
        <f t="shared" si="30"/>
        <v>5.1000000000000004E-4</v>
      </c>
      <c r="Q56" s="179">
        <v>287.17141691232001</v>
      </c>
      <c r="R56" s="80">
        <f t="shared" si="31"/>
        <v>5.1000000000000004E-4</v>
      </c>
      <c r="S56" s="179">
        <v>292.91484525056637</v>
      </c>
      <c r="T56" s="80">
        <f t="shared" si="32"/>
        <v>5.1000000000000004E-4</v>
      </c>
      <c r="U56" s="179">
        <v>298.77314215557772</v>
      </c>
      <c r="V56" s="80">
        <f t="shared" si="33"/>
        <v>5.1000000000000004E-4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4"/>
        <v>0</v>
      </c>
      <c r="E57" s="179">
        <v>0</v>
      </c>
      <c r="F57" s="80">
        <f t="shared" si="25"/>
        <v>0</v>
      </c>
      <c r="G57" s="179">
        <v>0</v>
      </c>
      <c r="H57" s="80">
        <f t="shared" si="26"/>
        <v>0</v>
      </c>
      <c r="I57" s="179">
        <v>0</v>
      </c>
      <c r="J57" s="80">
        <f t="shared" si="27"/>
        <v>0</v>
      </c>
      <c r="K57" s="179">
        <v>0</v>
      </c>
      <c r="L57" s="80">
        <f t="shared" si="28"/>
        <v>0</v>
      </c>
      <c r="M57" s="179">
        <v>0</v>
      </c>
      <c r="N57" s="80">
        <f t="shared" si="29"/>
        <v>0</v>
      </c>
      <c r="O57" s="179">
        <v>0</v>
      </c>
      <c r="P57" s="80">
        <f t="shared" si="30"/>
        <v>0</v>
      </c>
      <c r="Q57" s="179">
        <v>0</v>
      </c>
      <c r="R57" s="80">
        <f t="shared" si="31"/>
        <v>0</v>
      </c>
      <c r="S57" s="179">
        <v>0</v>
      </c>
      <c r="T57" s="80">
        <f t="shared" si="32"/>
        <v>0</v>
      </c>
      <c r="U57" s="179">
        <v>0</v>
      </c>
      <c r="V57" s="80">
        <f t="shared" si="33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4"/>
        <v>0</v>
      </c>
      <c r="E58" s="179">
        <v>0</v>
      </c>
      <c r="F58" s="80">
        <f t="shared" si="25"/>
        <v>0</v>
      </c>
      <c r="G58" s="179">
        <v>0</v>
      </c>
      <c r="H58" s="80">
        <f t="shared" si="26"/>
        <v>0</v>
      </c>
      <c r="I58" s="179">
        <v>0</v>
      </c>
      <c r="J58" s="80">
        <f t="shared" si="27"/>
        <v>0</v>
      </c>
      <c r="K58" s="179">
        <v>0</v>
      </c>
      <c r="L58" s="80">
        <f t="shared" si="28"/>
        <v>0</v>
      </c>
      <c r="M58" s="179">
        <v>0</v>
      </c>
      <c r="N58" s="80">
        <f t="shared" si="29"/>
        <v>0</v>
      </c>
      <c r="O58" s="179">
        <v>0</v>
      </c>
      <c r="P58" s="80">
        <f t="shared" si="30"/>
        <v>0</v>
      </c>
      <c r="Q58" s="179">
        <v>0</v>
      </c>
      <c r="R58" s="80">
        <f t="shared" si="31"/>
        <v>0</v>
      </c>
      <c r="S58" s="179">
        <v>0</v>
      </c>
      <c r="T58" s="80">
        <f t="shared" si="32"/>
        <v>0</v>
      </c>
      <c r="U58" s="179">
        <v>0</v>
      </c>
      <c r="V58" s="80">
        <f t="shared" si="33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4"/>
        <v>0</v>
      </c>
      <c r="E59" s="179">
        <v>0</v>
      </c>
      <c r="F59" s="80">
        <f t="shared" si="25"/>
        <v>0</v>
      </c>
      <c r="G59" s="179">
        <v>0</v>
      </c>
      <c r="H59" s="80">
        <f t="shared" si="26"/>
        <v>0</v>
      </c>
      <c r="I59" s="179">
        <v>0</v>
      </c>
      <c r="J59" s="80">
        <f t="shared" si="27"/>
        <v>0</v>
      </c>
      <c r="K59" s="179">
        <v>0</v>
      </c>
      <c r="L59" s="80">
        <f t="shared" si="28"/>
        <v>0</v>
      </c>
      <c r="M59" s="179">
        <v>0</v>
      </c>
      <c r="N59" s="80">
        <f t="shared" si="29"/>
        <v>0</v>
      </c>
      <c r="O59" s="179">
        <v>0</v>
      </c>
      <c r="P59" s="80">
        <f t="shared" si="30"/>
        <v>0</v>
      </c>
      <c r="Q59" s="179">
        <v>0</v>
      </c>
      <c r="R59" s="80">
        <f t="shared" si="31"/>
        <v>0</v>
      </c>
      <c r="S59" s="179">
        <v>0</v>
      </c>
      <c r="T59" s="80">
        <f t="shared" si="32"/>
        <v>0</v>
      </c>
      <c r="U59" s="179">
        <v>0</v>
      </c>
      <c r="V59" s="80">
        <f t="shared" si="33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4"/>
        <v>0</v>
      </c>
      <c r="E60" s="179">
        <v>0</v>
      </c>
      <c r="F60" s="80">
        <f t="shared" si="25"/>
        <v>0</v>
      </c>
      <c r="G60" s="179">
        <v>0</v>
      </c>
      <c r="H60" s="80">
        <f t="shared" si="26"/>
        <v>0</v>
      </c>
      <c r="I60" s="179">
        <v>0</v>
      </c>
      <c r="J60" s="80">
        <f t="shared" si="27"/>
        <v>0</v>
      </c>
      <c r="K60" s="179">
        <v>0</v>
      </c>
      <c r="L60" s="80">
        <f t="shared" si="28"/>
        <v>0</v>
      </c>
      <c r="M60" s="179">
        <v>0</v>
      </c>
      <c r="N60" s="80">
        <f t="shared" si="29"/>
        <v>0</v>
      </c>
      <c r="O60" s="179">
        <v>0</v>
      </c>
      <c r="P60" s="80">
        <f t="shared" si="30"/>
        <v>0</v>
      </c>
      <c r="Q60" s="179">
        <v>0</v>
      </c>
      <c r="R60" s="80">
        <f t="shared" si="31"/>
        <v>0</v>
      </c>
      <c r="S60" s="179">
        <v>0</v>
      </c>
      <c r="T60" s="80">
        <f t="shared" si="32"/>
        <v>0</v>
      </c>
      <c r="U60" s="179">
        <v>0</v>
      </c>
      <c r="V60" s="80">
        <f t="shared" si="33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4"/>
        <v>0</v>
      </c>
      <c r="E61" s="179">
        <v>0</v>
      </c>
      <c r="F61" s="80">
        <f t="shared" si="25"/>
        <v>0</v>
      </c>
      <c r="G61" s="179">
        <v>0</v>
      </c>
      <c r="H61" s="80">
        <f t="shared" si="26"/>
        <v>0</v>
      </c>
      <c r="I61" s="179">
        <v>0</v>
      </c>
      <c r="J61" s="80">
        <f t="shared" si="27"/>
        <v>0</v>
      </c>
      <c r="K61" s="179">
        <v>0</v>
      </c>
      <c r="L61" s="80">
        <f t="shared" si="28"/>
        <v>0</v>
      </c>
      <c r="M61" s="179">
        <v>0</v>
      </c>
      <c r="N61" s="80">
        <f t="shared" si="29"/>
        <v>0</v>
      </c>
      <c r="O61" s="179">
        <v>0</v>
      </c>
      <c r="P61" s="80">
        <f t="shared" si="30"/>
        <v>0</v>
      </c>
      <c r="Q61" s="179">
        <v>0</v>
      </c>
      <c r="R61" s="80">
        <f t="shared" si="31"/>
        <v>0</v>
      </c>
      <c r="S61" s="179">
        <v>0</v>
      </c>
      <c r="T61" s="80">
        <f t="shared" si="32"/>
        <v>0</v>
      </c>
      <c r="U61" s="179">
        <v>0</v>
      </c>
      <c r="V61" s="80">
        <f t="shared" si="33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4"/>
        <v>0</v>
      </c>
      <c r="E62" s="179">
        <v>0</v>
      </c>
      <c r="F62" s="80">
        <f t="shared" si="25"/>
        <v>0</v>
      </c>
      <c r="G62" s="179">
        <v>0</v>
      </c>
      <c r="H62" s="80">
        <f t="shared" si="26"/>
        <v>0</v>
      </c>
      <c r="I62" s="179">
        <v>0</v>
      </c>
      <c r="J62" s="80">
        <f t="shared" si="27"/>
        <v>0</v>
      </c>
      <c r="K62" s="179">
        <v>0</v>
      </c>
      <c r="L62" s="80">
        <f t="shared" si="28"/>
        <v>0</v>
      </c>
      <c r="M62" s="179">
        <v>0</v>
      </c>
      <c r="N62" s="80">
        <f t="shared" si="29"/>
        <v>0</v>
      </c>
      <c r="O62" s="179">
        <v>0</v>
      </c>
      <c r="P62" s="80">
        <f t="shared" si="30"/>
        <v>0</v>
      </c>
      <c r="Q62" s="179">
        <v>0</v>
      </c>
      <c r="R62" s="80">
        <f t="shared" si="31"/>
        <v>0</v>
      </c>
      <c r="S62" s="179">
        <v>0</v>
      </c>
      <c r="T62" s="80">
        <f t="shared" si="32"/>
        <v>0</v>
      </c>
      <c r="U62" s="179">
        <v>0</v>
      </c>
      <c r="V62" s="80">
        <f t="shared" si="33"/>
        <v>0</v>
      </c>
      <c r="X62" s="200"/>
    </row>
    <row r="63" spans="1:24" ht="12.75" customHeight="1">
      <c r="A63" s="2" t="s">
        <v>394</v>
      </c>
      <c r="B63" s="35"/>
      <c r="C63" s="179">
        <v>0</v>
      </c>
      <c r="D63" s="80">
        <f t="shared" si="24"/>
        <v>0</v>
      </c>
      <c r="E63" s="179">
        <v>3878.6602269143154</v>
      </c>
      <c r="F63" s="80">
        <f t="shared" si="25"/>
        <v>7.7573204538286308E-3</v>
      </c>
      <c r="G63" s="179">
        <v>4540.2981645678774</v>
      </c>
      <c r="H63" s="80">
        <f t="shared" si="26"/>
        <v>8.9025454207213289E-3</v>
      </c>
      <c r="I63" s="179">
        <v>4590.5882100590134</v>
      </c>
      <c r="J63" s="80">
        <f t="shared" si="27"/>
        <v>8.8246601500557732E-3</v>
      </c>
      <c r="K63" s="179">
        <v>4628.4760277281721</v>
      </c>
      <c r="L63" s="80">
        <f t="shared" si="28"/>
        <v>8.723032671687685E-3</v>
      </c>
      <c r="M63" s="179">
        <v>4711.1219147822676</v>
      </c>
      <c r="N63" s="80">
        <f t="shared" si="29"/>
        <v>8.7046968648497435E-3</v>
      </c>
      <c r="O63" s="179">
        <v>4795.5085448851232</v>
      </c>
      <c r="P63" s="80">
        <f t="shared" si="30"/>
        <v>8.686879675810168E-3</v>
      </c>
      <c r="Q63" s="179">
        <v>4881.5042276949798</v>
      </c>
      <c r="R63" s="80">
        <f t="shared" si="31"/>
        <v>8.6692721124281037E-3</v>
      </c>
      <c r="S63" s="179">
        <v>4968.9784486515391</v>
      </c>
      <c r="T63" s="80">
        <f t="shared" si="32"/>
        <v>8.6515895315735451E-3</v>
      </c>
      <c r="U63" s="179">
        <v>5251.4674017535945</v>
      </c>
      <c r="V63" s="80">
        <f t="shared" si="33"/>
        <v>8.9641537240308933E-3</v>
      </c>
      <c r="X63" s="200"/>
    </row>
    <row r="64" spans="1:24" ht="12.75" customHeight="1">
      <c r="A64" s="2" t="s">
        <v>395</v>
      </c>
      <c r="B64" s="35"/>
      <c r="C64" s="179">
        <v>0</v>
      </c>
      <c r="D64" s="80">
        <f t="shared" si="24"/>
        <v>0</v>
      </c>
      <c r="E64" s="179">
        <v>2400</v>
      </c>
      <c r="F64" s="80">
        <f t="shared" si="25"/>
        <v>4.7999999999999996E-3</v>
      </c>
      <c r="G64" s="179">
        <v>2448</v>
      </c>
      <c r="H64" s="80">
        <f t="shared" si="26"/>
        <v>4.7999999999999996E-3</v>
      </c>
      <c r="I64" s="179">
        <v>2496.9599999999996</v>
      </c>
      <c r="J64" s="80">
        <f t="shared" si="27"/>
        <v>4.7999999999999996E-3</v>
      </c>
      <c r="K64" s="179">
        <v>2546.8991999999994</v>
      </c>
      <c r="L64" s="80">
        <f t="shared" si="28"/>
        <v>4.7999999999999987E-3</v>
      </c>
      <c r="M64" s="179">
        <v>2597.8371839999995</v>
      </c>
      <c r="N64" s="80">
        <f t="shared" si="29"/>
        <v>4.7999999999999996E-3</v>
      </c>
      <c r="O64" s="179">
        <v>2649.7939276799993</v>
      </c>
      <c r="P64" s="80">
        <f t="shared" si="30"/>
        <v>4.7999999999999987E-3</v>
      </c>
      <c r="Q64" s="179">
        <v>2702.7898062335994</v>
      </c>
      <c r="R64" s="80">
        <f t="shared" si="31"/>
        <v>4.7999999999999996E-3</v>
      </c>
      <c r="S64" s="179">
        <v>2756.8456023582717</v>
      </c>
      <c r="T64" s="80">
        <f t="shared" si="32"/>
        <v>4.8000000000000004E-3</v>
      </c>
      <c r="U64" s="179">
        <v>2811.9825144054371</v>
      </c>
      <c r="V64" s="80">
        <f t="shared" si="33"/>
        <v>4.7999999999999996E-3</v>
      </c>
      <c r="X64" s="200"/>
    </row>
    <row r="65" spans="1:24" ht="12.75" customHeight="1">
      <c r="A65" s="2" t="s">
        <v>396</v>
      </c>
      <c r="B65" s="35"/>
      <c r="C65" s="179">
        <v>0</v>
      </c>
      <c r="D65" s="80">
        <f t="shared" si="24"/>
        <v>0</v>
      </c>
      <c r="E65" s="179">
        <v>250.00000000000003</v>
      </c>
      <c r="F65" s="80">
        <f t="shared" si="25"/>
        <v>5.0000000000000001E-4</v>
      </c>
      <c r="G65" s="179">
        <v>255.00000000000003</v>
      </c>
      <c r="H65" s="80">
        <f t="shared" si="26"/>
        <v>5.0000000000000001E-4</v>
      </c>
      <c r="I65" s="179">
        <v>260.10000000000002</v>
      </c>
      <c r="J65" s="80">
        <f t="shared" si="27"/>
        <v>5.0000000000000001E-4</v>
      </c>
      <c r="K65" s="179">
        <v>265.30200000000002</v>
      </c>
      <c r="L65" s="80">
        <f t="shared" si="28"/>
        <v>5.0000000000000001E-4</v>
      </c>
      <c r="M65" s="179">
        <v>270.60803999999996</v>
      </c>
      <c r="N65" s="80">
        <f t="shared" si="29"/>
        <v>5.0000000000000001E-4</v>
      </c>
      <c r="O65" s="179">
        <v>276.0202008</v>
      </c>
      <c r="P65" s="80">
        <f t="shared" si="30"/>
        <v>5.0000000000000001E-4</v>
      </c>
      <c r="Q65" s="179">
        <v>281.54060481599998</v>
      </c>
      <c r="R65" s="80">
        <f t="shared" si="31"/>
        <v>5.0000000000000001E-4</v>
      </c>
      <c r="S65" s="179">
        <v>287.17141691231996</v>
      </c>
      <c r="T65" s="80">
        <f t="shared" si="32"/>
        <v>5.0000000000000001E-4</v>
      </c>
      <c r="U65" s="179">
        <v>292.91484525056637</v>
      </c>
      <c r="V65" s="80">
        <f t="shared" si="33"/>
        <v>5.0000000000000001E-4</v>
      </c>
      <c r="X65" s="200"/>
    </row>
    <row r="66" spans="1:24" ht="12.75" customHeight="1">
      <c r="A66" s="2" t="s">
        <v>397</v>
      </c>
      <c r="B66" s="35"/>
      <c r="C66" s="179">
        <v>0</v>
      </c>
      <c r="D66" s="80">
        <f t="shared" si="24"/>
        <v>0</v>
      </c>
      <c r="E66" s="179">
        <v>1400</v>
      </c>
      <c r="F66" s="80">
        <f t="shared" si="25"/>
        <v>2.8E-3</v>
      </c>
      <c r="G66" s="179">
        <v>1428</v>
      </c>
      <c r="H66" s="80">
        <f t="shared" si="26"/>
        <v>2.8E-3</v>
      </c>
      <c r="I66" s="179">
        <v>1456.56</v>
      </c>
      <c r="J66" s="80">
        <f t="shared" si="27"/>
        <v>2.8E-3</v>
      </c>
      <c r="K66" s="179">
        <v>1485.6912</v>
      </c>
      <c r="L66" s="80">
        <f t="shared" si="28"/>
        <v>2.8E-3</v>
      </c>
      <c r="M66" s="179">
        <v>1515.4050239999997</v>
      </c>
      <c r="N66" s="80">
        <f t="shared" si="29"/>
        <v>2.7999999999999995E-3</v>
      </c>
      <c r="O66" s="179">
        <v>1545.7131244799998</v>
      </c>
      <c r="P66" s="80">
        <f t="shared" si="30"/>
        <v>2.7999999999999995E-3</v>
      </c>
      <c r="Q66" s="179">
        <v>1576.6273869695999</v>
      </c>
      <c r="R66" s="80">
        <f t="shared" si="31"/>
        <v>2.8E-3</v>
      </c>
      <c r="S66" s="179">
        <v>1608.1599347089918</v>
      </c>
      <c r="T66" s="80">
        <f t="shared" si="32"/>
        <v>2.8E-3</v>
      </c>
      <c r="U66" s="179">
        <v>1640.3231334031718</v>
      </c>
      <c r="V66" s="80">
        <f t="shared" si="33"/>
        <v>2.8000000000000004E-3</v>
      </c>
      <c r="X66" s="200"/>
    </row>
    <row r="67" spans="1:24" ht="12.75" customHeight="1">
      <c r="A67" s="2" t="s">
        <v>398</v>
      </c>
      <c r="B67" s="35"/>
      <c r="C67" s="179">
        <v>0</v>
      </c>
      <c r="D67" s="80">
        <f t="shared" si="24"/>
        <v>0</v>
      </c>
      <c r="E67" s="179">
        <v>7500</v>
      </c>
      <c r="F67" s="80">
        <f t="shared" si="25"/>
        <v>1.4999999999999999E-2</v>
      </c>
      <c r="G67" s="179">
        <v>7650</v>
      </c>
      <c r="H67" s="80">
        <f t="shared" si="26"/>
        <v>1.4999999999999999E-2</v>
      </c>
      <c r="I67" s="179">
        <v>7803</v>
      </c>
      <c r="J67" s="80">
        <f t="shared" si="27"/>
        <v>1.4999999999999999E-2</v>
      </c>
      <c r="K67" s="179">
        <v>7959.06</v>
      </c>
      <c r="L67" s="80">
        <f t="shared" si="28"/>
        <v>1.5000000000000001E-2</v>
      </c>
      <c r="M67" s="179">
        <v>8118.2411999999986</v>
      </c>
      <c r="N67" s="80">
        <f t="shared" si="29"/>
        <v>1.4999999999999998E-2</v>
      </c>
      <c r="O67" s="179">
        <v>8280.6060239999988</v>
      </c>
      <c r="P67" s="80">
        <f t="shared" si="30"/>
        <v>1.4999999999999998E-2</v>
      </c>
      <c r="Q67" s="179">
        <v>8446.2181444800008</v>
      </c>
      <c r="R67" s="80">
        <f t="shared" si="31"/>
        <v>1.5000000000000003E-2</v>
      </c>
      <c r="S67" s="179">
        <v>8615.1425073695991</v>
      </c>
      <c r="T67" s="80">
        <f t="shared" si="32"/>
        <v>1.5000000000000001E-2</v>
      </c>
      <c r="U67" s="179">
        <v>8787.4453575169919</v>
      </c>
      <c r="V67" s="80">
        <f t="shared" si="33"/>
        <v>1.5000000000000001E-2</v>
      </c>
      <c r="X67" s="200"/>
    </row>
    <row r="68" spans="1:24" ht="12.75" customHeight="1">
      <c r="A68" s="2" t="s">
        <v>399</v>
      </c>
      <c r="B68" s="35"/>
      <c r="C68" s="179">
        <v>0</v>
      </c>
      <c r="D68" s="80">
        <f t="shared" si="24"/>
        <v>0</v>
      </c>
      <c r="E68" s="179">
        <v>850</v>
      </c>
      <c r="F68" s="80">
        <f t="shared" si="25"/>
        <v>1.6999999999999999E-3</v>
      </c>
      <c r="G68" s="179">
        <v>867</v>
      </c>
      <c r="H68" s="80">
        <f t="shared" si="26"/>
        <v>1.6999999999999999E-3</v>
      </c>
      <c r="I68" s="179">
        <v>884.34</v>
      </c>
      <c r="J68" s="80">
        <f t="shared" si="27"/>
        <v>1.7000000000000001E-3</v>
      </c>
      <c r="K68" s="179">
        <v>902.02679999999998</v>
      </c>
      <c r="L68" s="80">
        <f t="shared" si="28"/>
        <v>1.6999999999999999E-3</v>
      </c>
      <c r="M68" s="179">
        <v>920.06733599999984</v>
      </c>
      <c r="N68" s="80">
        <f t="shared" si="29"/>
        <v>1.6999999999999999E-3</v>
      </c>
      <c r="O68" s="179">
        <v>938.46868271999983</v>
      </c>
      <c r="P68" s="80">
        <f t="shared" si="30"/>
        <v>1.6999999999999997E-3</v>
      </c>
      <c r="Q68" s="179">
        <v>957.2380563744</v>
      </c>
      <c r="R68" s="80">
        <f t="shared" si="31"/>
        <v>1.7000000000000001E-3</v>
      </c>
      <c r="S68" s="179">
        <v>976.38281750188787</v>
      </c>
      <c r="T68" s="80">
        <f t="shared" si="32"/>
        <v>1.7000000000000001E-3</v>
      </c>
      <c r="U68" s="179">
        <v>995.91047385192564</v>
      </c>
      <c r="V68" s="80">
        <f t="shared" si="33"/>
        <v>1.6999999999999999E-3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4"/>
        <v>0</v>
      </c>
      <c r="E69" s="179">
        <v>0</v>
      </c>
      <c r="F69" s="80">
        <f t="shared" si="25"/>
        <v>0</v>
      </c>
      <c r="G69" s="179">
        <v>0</v>
      </c>
      <c r="H69" s="80">
        <f t="shared" si="26"/>
        <v>0</v>
      </c>
      <c r="I69" s="179">
        <v>0</v>
      </c>
      <c r="J69" s="80">
        <f t="shared" si="27"/>
        <v>0</v>
      </c>
      <c r="K69" s="179">
        <v>0</v>
      </c>
      <c r="L69" s="80">
        <f t="shared" si="28"/>
        <v>0</v>
      </c>
      <c r="M69" s="179">
        <v>0</v>
      </c>
      <c r="N69" s="80">
        <f t="shared" si="29"/>
        <v>0</v>
      </c>
      <c r="O69" s="179">
        <v>0</v>
      </c>
      <c r="P69" s="80">
        <f t="shared" si="30"/>
        <v>0</v>
      </c>
      <c r="Q69" s="179">
        <v>0</v>
      </c>
      <c r="R69" s="80">
        <f t="shared" si="31"/>
        <v>0</v>
      </c>
      <c r="S69" s="179">
        <v>0</v>
      </c>
      <c r="T69" s="80">
        <f t="shared" si="32"/>
        <v>0</v>
      </c>
      <c r="U69" s="179">
        <v>0</v>
      </c>
      <c r="V69" s="80">
        <f t="shared" si="33"/>
        <v>0</v>
      </c>
      <c r="X69" s="200"/>
    </row>
    <row r="70" spans="1:24" ht="12.75" customHeight="1">
      <c r="A70" s="2" t="s">
        <v>401</v>
      </c>
      <c r="B70" s="35"/>
      <c r="C70" s="179">
        <v>0</v>
      </c>
      <c r="D70" s="80">
        <f t="shared" si="24"/>
        <v>0</v>
      </c>
      <c r="E70" s="179">
        <v>50.000000000000007</v>
      </c>
      <c r="F70" s="80">
        <f t="shared" si="25"/>
        <v>1.0000000000000002E-4</v>
      </c>
      <c r="G70" s="179">
        <v>51</v>
      </c>
      <c r="H70" s="80">
        <f t="shared" si="26"/>
        <v>1E-4</v>
      </c>
      <c r="I70" s="179">
        <v>52.02</v>
      </c>
      <c r="J70" s="80">
        <f t="shared" si="27"/>
        <v>1E-4</v>
      </c>
      <c r="K70" s="179">
        <v>53.060400000000001</v>
      </c>
      <c r="L70" s="80">
        <f t="shared" si="28"/>
        <v>1E-4</v>
      </c>
      <c r="M70" s="179">
        <v>54.121607999999995</v>
      </c>
      <c r="N70" s="80">
        <f t="shared" si="29"/>
        <v>1E-4</v>
      </c>
      <c r="O70" s="179">
        <v>55.204040159999998</v>
      </c>
      <c r="P70" s="80">
        <f t="shared" si="30"/>
        <v>1E-4</v>
      </c>
      <c r="Q70" s="179">
        <v>56.308120963200004</v>
      </c>
      <c r="R70" s="80">
        <f t="shared" si="31"/>
        <v>1.0000000000000002E-4</v>
      </c>
      <c r="S70" s="179">
        <v>57.434283382464002</v>
      </c>
      <c r="T70" s="80">
        <f t="shared" si="32"/>
        <v>1.0000000000000002E-4</v>
      </c>
      <c r="U70" s="179">
        <v>58.582969050113284</v>
      </c>
      <c r="V70" s="80">
        <f t="shared" si="33"/>
        <v>1.0000000000000002E-4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4"/>
        <v>0</v>
      </c>
      <c r="E71" s="179">
        <v>0</v>
      </c>
      <c r="F71" s="80">
        <f t="shared" si="25"/>
        <v>0</v>
      </c>
      <c r="G71" s="179">
        <v>0</v>
      </c>
      <c r="H71" s="80">
        <f t="shared" si="26"/>
        <v>0</v>
      </c>
      <c r="I71" s="179">
        <v>0</v>
      </c>
      <c r="J71" s="80">
        <f t="shared" si="27"/>
        <v>0</v>
      </c>
      <c r="K71" s="179">
        <v>0</v>
      </c>
      <c r="L71" s="80">
        <f t="shared" si="28"/>
        <v>0</v>
      </c>
      <c r="M71" s="179">
        <v>0</v>
      </c>
      <c r="N71" s="80">
        <f t="shared" si="29"/>
        <v>0</v>
      </c>
      <c r="O71" s="179">
        <v>0</v>
      </c>
      <c r="P71" s="80">
        <f t="shared" si="30"/>
        <v>0</v>
      </c>
      <c r="Q71" s="179">
        <v>0</v>
      </c>
      <c r="R71" s="80">
        <f t="shared" si="31"/>
        <v>0</v>
      </c>
      <c r="S71" s="179">
        <v>0</v>
      </c>
      <c r="T71" s="80">
        <f t="shared" si="32"/>
        <v>0</v>
      </c>
      <c r="U71" s="179">
        <v>0</v>
      </c>
      <c r="V71" s="80">
        <f t="shared" si="33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4"/>
        <v>0</v>
      </c>
      <c r="E72" s="179">
        <v>0</v>
      </c>
      <c r="F72" s="80">
        <f t="shared" si="25"/>
        <v>0</v>
      </c>
      <c r="G72" s="179">
        <v>0</v>
      </c>
      <c r="H72" s="80">
        <f t="shared" si="26"/>
        <v>0</v>
      </c>
      <c r="I72" s="179">
        <v>0</v>
      </c>
      <c r="J72" s="80">
        <f t="shared" si="27"/>
        <v>0</v>
      </c>
      <c r="K72" s="179">
        <v>0</v>
      </c>
      <c r="L72" s="80">
        <f t="shared" si="28"/>
        <v>0</v>
      </c>
      <c r="M72" s="179">
        <v>0</v>
      </c>
      <c r="N72" s="80">
        <f t="shared" si="29"/>
        <v>0</v>
      </c>
      <c r="O72" s="179">
        <v>0</v>
      </c>
      <c r="P72" s="80">
        <f t="shared" si="30"/>
        <v>0</v>
      </c>
      <c r="Q72" s="179">
        <v>0</v>
      </c>
      <c r="R72" s="80">
        <f t="shared" si="31"/>
        <v>0</v>
      </c>
      <c r="S72" s="179">
        <v>0</v>
      </c>
      <c r="T72" s="80">
        <f t="shared" si="32"/>
        <v>0</v>
      </c>
      <c r="U72" s="179">
        <v>0</v>
      </c>
      <c r="V72" s="80">
        <f t="shared" si="33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4"/>
        <v>0</v>
      </c>
      <c r="E73" s="179">
        <v>0</v>
      </c>
      <c r="F73" s="80">
        <f t="shared" si="25"/>
        <v>0</v>
      </c>
      <c r="G73" s="179">
        <v>0</v>
      </c>
      <c r="H73" s="80">
        <f t="shared" si="26"/>
        <v>0</v>
      </c>
      <c r="I73" s="179">
        <v>0</v>
      </c>
      <c r="J73" s="80">
        <f t="shared" si="27"/>
        <v>0</v>
      </c>
      <c r="K73" s="179">
        <v>0</v>
      </c>
      <c r="L73" s="80">
        <f t="shared" si="28"/>
        <v>0</v>
      </c>
      <c r="M73" s="179">
        <v>0</v>
      </c>
      <c r="N73" s="80">
        <f t="shared" si="29"/>
        <v>0</v>
      </c>
      <c r="O73" s="179">
        <v>0</v>
      </c>
      <c r="P73" s="80">
        <f t="shared" si="30"/>
        <v>0</v>
      </c>
      <c r="Q73" s="179">
        <v>0</v>
      </c>
      <c r="R73" s="80">
        <f t="shared" si="31"/>
        <v>0</v>
      </c>
      <c r="S73" s="179">
        <v>0</v>
      </c>
      <c r="T73" s="80">
        <f t="shared" si="32"/>
        <v>0</v>
      </c>
      <c r="U73" s="179">
        <v>0</v>
      </c>
      <c r="V73" s="80">
        <f t="shared" si="33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4"/>
        <v>0</v>
      </c>
      <c r="E74" s="179">
        <v>0</v>
      </c>
      <c r="F74" s="80">
        <f t="shared" si="25"/>
        <v>0</v>
      </c>
      <c r="G74" s="179">
        <v>0</v>
      </c>
      <c r="H74" s="80">
        <f t="shared" si="26"/>
        <v>0</v>
      </c>
      <c r="I74" s="179">
        <v>0</v>
      </c>
      <c r="J74" s="80">
        <f t="shared" si="27"/>
        <v>0</v>
      </c>
      <c r="K74" s="179">
        <v>0</v>
      </c>
      <c r="L74" s="80">
        <f t="shared" si="28"/>
        <v>0</v>
      </c>
      <c r="M74" s="179">
        <v>0</v>
      </c>
      <c r="N74" s="80">
        <f t="shared" si="29"/>
        <v>0</v>
      </c>
      <c r="O74" s="179">
        <v>0</v>
      </c>
      <c r="P74" s="80">
        <f t="shared" si="30"/>
        <v>0</v>
      </c>
      <c r="Q74" s="179">
        <v>0</v>
      </c>
      <c r="R74" s="80">
        <f t="shared" si="31"/>
        <v>0</v>
      </c>
      <c r="S74" s="179">
        <v>0</v>
      </c>
      <c r="T74" s="80">
        <f t="shared" si="32"/>
        <v>0</v>
      </c>
      <c r="U74" s="179">
        <v>0</v>
      </c>
      <c r="V74" s="80">
        <f t="shared" si="33"/>
        <v>0</v>
      </c>
      <c r="X74" s="200"/>
    </row>
    <row r="75" spans="1:24" ht="12.75" customHeight="1">
      <c r="A75" s="2" t="s">
        <v>406</v>
      </c>
      <c r="B75" s="35"/>
      <c r="C75" s="179">
        <v>0</v>
      </c>
      <c r="D75" s="80">
        <f t="shared" si="24"/>
        <v>0</v>
      </c>
      <c r="E75" s="179">
        <v>2500</v>
      </c>
      <c r="F75" s="80">
        <f t="shared" si="25"/>
        <v>5.0000000000000001E-3</v>
      </c>
      <c r="G75" s="179">
        <v>2550</v>
      </c>
      <c r="H75" s="80">
        <f t="shared" si="26"/>
        <v>5.0000000000000001E-3</v>
      </c>
      <c r="I75" s="179">
        <v>2601.0000000000005</v>
      </c>
      <c r="J75" s="80">
        <f t="shared" si="27"/>
        <v>5.000000000000001E-3</v>
      </c>
      <c r="K75" s="179">
        <v>2653.0200000000004</v>
      </c>
      <c r="L75" s="80">
        <f t="shared" si="28"/>
        <v>5.000000000000001E-3</v>
      </c>
      <c r="M75" s="179">
        <v>2706.0803999999994</v>
      </c>
      <c r="N75" s="80">
        <f t="shared" si="29"/>
        <v>4.9999999999999992E-3</v>
      </c>
      <c r="O75" s="179">
        <v>2760.2020080000002</v>
      </c>
      <c r="P75" s="80">
        <f t="shared" si="30"/>
        <v>5.0000000000000001E-3</v>
      </c>
      <c r="Q75" s="179">
        <v>2815.40604816</v>
      </c>
      <c r="R75" s="80">
        <f t="shared" si="31"/>
        <v>5.0000000000000001E-3</v>
      </c>
      <c r="S75" s="179">
        <v>2871.7141691232</v>
      </c>
      <c r="T75" s="80">
        <f t="shared" si="32"/>
        <v>5.000000000000001E-3</v>
      </c>
      <c r="U75" s="179">
        <v>2929.1484525056635</v>
      </c>
      <c r="V75" s="80">
        <f t="shared" si="33"/>
        <v>4.9999999999999992E-3</v>
      </c>
      <c r="X75" s="200"/>
    </row>
    <row r="76" spans="1:24" ht="12.75" customHeight="1">
      <c r="A76" s="2" t="s">
        <v>407</v>
      </c>
      <c r="B76" s="35"/>
      <c r="C76" s="179">
        <v>0</v>
      </c>
      <c r="D76" s="80">
        <f t="shared" si="24"/>
        <v>0</v>
      </c>
      <c r="E76" s="179">
        <v>200.00000000000003</v>
      </c>
      <c r="F76" s="80">
        <f t="shared" si="25"/>
        <v>4.0000000000000007E-4</v>
      </c>
      <c r="G76" s="179">
        <v>204</v>
      </c>
      <c r="H76" s="80">
        <f t="shared" si="26"/>
        <v>4.0000000000000002E-4</v>
      </c>
      <c r="I76" s="179">
        <v>208.08</v>
      </c>
      <c r="J76" s="80">
        <f t="shared" si="27"/>
        <v>4.0000000000000002E-4</v>
      </c>
      <c r="K76" s="179">
        <v>212.24160000000001</v>
      </c>
      <c r="L76" s="80">
        <f t="shared" si="28"/>
        <v>4.0000000000000002E-4</v>
      </c>
      <c r="M76" s="179">
        <v>216.48643199999998</v>
      </c>
      <c r="N76" s="80">
        <f t="shared" si="29"/>
        <v>4.0000000000000002E-4</v>
      </c>
      <c r="O76" s="179">
        <v>220.81616063999999</v>
      </c>
      <c r="P76" s="80">
        <f t="shared" si="30"/>
        <v>4.0000000000000002E-4</v>
      </c>
      <c r="Q76" s="179">
        <v>225.23248385280002</v>
      </c>
      <c r="R76" s="80">
        <f t="shared" si="31"/>
        <v>4.0000000000000007E-4</v>
      </c>
      <c r="S76" s="179">
        <v>229.73713352985601</v>
      </c>
      <c r="T76" s="80">
        <f t="shared" si="32"/>
        <v>4.0000000000000007E-4</v>
      </c>
      <c r="U76" s="179">
        <v>234.33187620045314</v>
      </c>
      <c r="V76" s="80">
        <f t="shared" si="33"/>
        <v>4.0000000000000007E-4</v>
      </c>
      <c r="X76" s="200"/>
    </row>
    <row r="77" spans="1:24" ht="12.75" customHeight="1">
      <c r="A77" s="2" t="s">
        <v>408</v>
      </c>
      <c r="B77" s="35"/>
      <c r="C77" s="179">
        <v>0</v>
      </c>
      <c r="D77" s="80">
        <f t="shared" si="24"/>
        <v>0</v>
      </c>
      <c r="E77" s="179">
        <v>650</v>
      </c>
      <c r="F77" s="80">
        <f t="shared" si="25"/>
        <v>1.2999999999999999E-3</v>
      </c>
      <c r="G77" s="179">
        <v>662.99999999999989</v>
      </c>
      <c r="H77" s="80">
        <f t="shared" si="26"/>
        <v>1.2999999999999997E-3</v>
      </c>
      <c r="I77" s="179">
        <v>676.26</v>
      </c>
      <c r="J77" s="80">
        <f t="shared" si="27"/>
        <v>1.2999999999999999E-3</v>
      </c>
      <c r="K77" s="179">
        <v>689.78519999999992</v>
      </c>
      <c r="L77" s="80">
        <f t="shared" si="28"/>
        <v>1.2999999999999999E-3</v>
      </c>
      <c r="M77" s="179">
        <v>703.58090399999992</v>
      </c>
      <c r="N77" s="80">
        <f t="shared" si="29"/>
        <v>1.2999999999999999E-3</v>
      </c>
      <c r="O77" s="179">
        <v>717.65252207999993</v>
      </c>
      <c r="P77" s="80">
        <f t="shared" si="30"/>
        <v>1.2999999999999999E-3</v>
      </c>
      <c r="Q77" s="179">
        <v>732.00557252160002</v>
      </c>
      <c r="R77" s="80">
        <f t="shared" si="31"/>
        <v>1.3000000000000002E-3</v>
      </c>
      <c r="S77" s="179">
        <v>746.64568397203186</v>
      </c>
      <c r="T77" s="80">
        <f t="shared" si="32"/>
        <v>1.2999999999999999E-3</v>
      </c>
      <c r="U77" s="179">
        <v>761.57859765147259</v>
      </c>
      <c r="V77" s="80">
        <f t="shared" si="33"/>
        <v>1.2999999999999999E-3</v>
      </c>
      <c r="X77" s="200"/>
    </row>
    <row r="78" spans="1:24" ht="12.75" customHeight="1">
      <c r="A78" s="2" t="s">
        <v>409</v>
      </c>
      <c r="B78" s="35"/>
      <c r="C78" s="179">
        <v>0</v>
      </c>
      <c r="D78" s="80">
        <f t="shared" si="24"/>
        <v>0</v>
      </c>
      <c r="E78" s="179">
        <v>11000</v>
      </c>
      <c r="F78" s="80">
        <f t="shared" si="25"/>
        <v>2.1999999999999999E-2</v>
      </c>
      <c r="G78" s="179">
        <v>11220</v>
      </c>
      <c r="H78" s="80">
        <f t="shared" si="26"/>
        <v>2.1999999999999999E-2</v>
      </c>
      <c r="I78" s="179">
        <v>11444.4</v>
      </c>
      <c r="J78" s="80">
        <f t="shared" si="27"/>
        <v>2.1999999999999999E-2</v>
      </c>
      <c r="K78" s="179">
        <v>11673.287999999999</v>
      </c>
      <c r="L78" s="80">
        <f t="shared" si="28"/>
        <v>2.1999999999999999E-2</v>
      </c>
      <c r="M78" s="179">
        <v>11906.753759999998</v>
      </c>
      <c r="N78" s="80">
        <f t="shared" si="29"/>
        <v>2.1999999999999999E-2</v>
      </c>
      <c r="O78" s="179">
        <v>12144.888835199998</v>
      </c>
      <c r="P78" s="80">
        <f t="shared" si="30"/>
        <v>2.1999999999999995E-2</v>
      </c>
      <c r="Q78" s="179">
        <v>12387.786611903997</v>
      </c>
      <c r="R78" s="80">
        <f t="shared" si="31"/>
        <v>2.1999999999999995E-2</v>
      </c>
      <c r="S78" s="179">
        <v>12635.542344142077</v>
      </c>
      <c r="T78" s="80">
        <f t="shared" si="32"/>
        <v>2.1999999999999999E-2</v>
      </c>
      <c r="U78" s="179">
        <v>12888.253191024922</v>
      </c>
      <c r="V78" s="80">
        <f t="shared" si="33"/>
        <v>2.2000000000000002E-2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4"/>
        <v>0</v>
      </c>
      <c r="E79" s="179">
        <v>0</v>
      </c>
      <c r="F79" s="80">
        <f t="shared" si="25"/>
        <v>0</v>
      </c>
      <c r="G79" s="179">
        <v>0</v>
      </c>
      <c r="H79" s="80">
        <f t="shared" si="26"/>
        <v>0</v>
      </c>
      <c r="I79" s="179">
        <v>0</v>
      </c>
      <c r="J79" s="80">
        <f t="shared" si="27"/>
        <v>0</v>
      </c>
      <c r="K79" s="179">
        <v>0</v>
      </c>
      <c r="L79" s="80">
        <f t="shared" si="28"/>
        <v>0</v>
      </c>
      <c r="M79" s="179">
        <v>0</v>
      </c>
      <c r="N79" s="80">
        <f t="shared" si="29"/>
        <v>0</v>
      </c>
      <c r="O79" s="179">
        <v>0</v>
      </c>
      <c r="P79" s="80">
        <f t="shared" si="30"/>
        <v>0</v>
      </c>
      <c r="Q79" s="179">
        <v>0</v>
      </c>
      <c r="R79" s="80">
        <f t="shared" si="31"/>
        <v>0</v>
      </c>
      <c r="S79" s="179">
        <v>0</v>
      </c>
      <c r="T79" s="80">
        <f t="shared" si="32"/>
        <v>0</v>
      </c>
      <c r="U79" s="179">
        <v>0</v>
      </c>
      <c r="V79" s="80">
        <f t="shared" si="33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4"/>
        <v>0</v>
      </c>
      <c r="E80" s="179">
        <v>0</v>
      </c>
      <c r="F80" s="80">
        <f t="shared" si="25"/>
        <v>0</v>
      </c>
      <c r="G80" s="179">
        <v>0</v>
      </c>
      <c r="H80" s="80">
        <f t="shared" si="26"/>
        <v>0</v>
      </c>
      <c r="I80" s="179">
        <v>0</v>
      </c>
      <c r="J80" s="80">
        <f t="shared" si="27"/>
        <v>0</v>
      </c>
      <c r="K80" s="179">
        <v>0</v>
      </c>
      <c r="L80" s="80">
        <f t="shared" si="28"/>
        <v>0</v>
      </c>
      <c r="M80" s="179">
        <v>0</v>
      </c>
      <c r="N80" s="80">
        <f t="shared" si="29"/>
        <v>0</v>
      </c>
      <c r="O80" s="179">
        <v>0</v>
      </c>
      <c r="P80" s="80">
        <f t="shared" si="30"/>
        <v>0</v>
      </c>
      <c r="Q80" s="179">
        <v>0</v>
      </c>
      <c r="R80" s="80">
        <f t="shared" si="31"/>
        <v>0</v>
      </c>
      <c r="S80" s="179">
        <v>0</v>
      </c>
      <c r="T80" s="80">
        <f t="shared" si="32"/>
        <v>0</v>
      </c>
      <c r="U80" s="179">
        <v>0</v>
      </c>
      <c r="V80" s="80">
        <f t="shared" si="33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4"/>
        <v>0</v>
      </c>
      <c r="E81" s="179">
        <v>0</v>
      </c>
      <c r="F81" s="80">
        <f t="shared" si="25"/>
        <v>0</v>
      </c>
      <c r="G81" s="179">
        <v>0</v>
      </c>
      <c r="H81" s="80">
        <f t="shared" si="26"/>
        <v>0</v>
      </c>
      <c r="I81" s="179">
        <v>0</v>
      </c>
      <c r="J81" s="80">
        <f t="shared" si="27"/>
        <v>0</v>
      </c>
      <c r="K81" s="179">
        <v>0</v>
      </c>
      <c r="L81" s="80">
        <f t="shared" si="28"/>
        <v>0</v>
      </c>
      <c r="M81" s="179">
        <v>0</v>
      </c>
      <c r="N81" s="80">
        <f t="shared" si="29"/>
        <v>0</v>
      </c>
      <c r="O81" s="179">
        <v>0</v>
      </c>
      <c r="P81" s="80">
        <f t="shared" si="30"/>
        <v>0</v>
      </c>
      <c r="Q81" s="179">
        <v>0</v>
      </c>
      <c r="R81" s="80">
        <f t="shared" si="31"/>
        <v>0</v>
      </c>
      <c r="S81" s="179">
        <v>0</v>
      </c>
      <c r="T81" s="80">
        <f t="shared" si="32"/>
        <v>0</v>
      </c>
      <c r="U81" s="179">
        <v>0</v>
      </c>
      <c r="V81" s="80">
        <f t="shared" si="33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4"/>
        <v>0</v>
      </c>
      <c r="E82" s="179">
        <v>0</v>
      </c>
      <c r="F82" s="80">
        <f t="shared" si="25"/>
        <v>0</v>
      </c>
      <c r="G82" s="179">
        <v>0</v>
      </c>
      <c r="H82" s="80">
        <f t="shared" si="26"/>
        <v>0</v>
      </c>
      <c r="I82" s="179">
        <v>0</v>
      </c>
      <c r="J82" s="80">
        <f t="shared" si="27"/>
        <v>0</v>
      </c>
      <c r="K82" s="179">
        <v>0</v>
      </c>
      <c r="L82" s="80">
        <f t="shared" si="28"/>
        <v>0</v>
      </c>
      <c r="M82" s="179">
        <v>0</v>
      </c>
      <c r="N82" s="80">
        <f t="shared" si="29"/>
        <v>0</v>
      </c>
      <c r="O82" s="179">
        <v>0</v>
      </c>
      <c r="P82" s="80">
        <f t="shared" si="30"/>
        <v>0</v>
      </c>
      <c r="Q82" s="179">
        <v>0</v>
      </c>
      <c r="R82" s="80">
        <f t="shared" si="31"/>
        <v>0</v>
      </c>
      <c r="S82" s="179">
        <v>0</v>
      </c>
      <c r="T82" s="80">
        <f t="shared" si="32"/>
        <v>0</v>
      </c>
      <c r="U82" s="179">
        <v>0</v>
      </c>
      <c r="V82" s="80">
        <f t="shared" si="33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4"/>
        <v>0</v>
      </c>
      <c r="E83" s="179">
        <v>0</v>
      </c>
      <c r="F83" s="80">
        <f t="shared" si="25"/>
        <v>0</v>
      </c>
      <c r="G83" s="179">
        <v>0</v>
      </c>
      <c r="H83" s="80">
        <f t="shared" si="26"/>
        <v>0</v>
      </c>
      <c r="I83" s="179">
        <v>0</v>
      </c>
      <c r="J83" s="80">
        <f t="shared" si="27"/>
        <v>0</v>
      </c>
      <c r="K83" s="179">
        <v>0</v>
      </c>
      <c r="L83" s="80">
        <f t="shared" si="28"/>
        <v>0</v>
      </c>
      <c r="M83" s="179">
        <v>0</v>
      </c>
      <c r="N83" s="80">
        <f t="shared" si="29"/>
        <v>0</v>
      </c>
      <c r="O83" s="179">
        <v>0</v>
      </c>
      <c r="P83" s="80">
        <f t="shared" si="30"/>
        <v>0</v>
      </c>
      <c r="Q83" s="179">
        <v>0</v>
      </c>
      <c r="R83" s="80">
        <f t="shared" si="31"/>
        <v>0</v>
      </c>
      <c r="S83" s="179">
        <v>0</v>
      </c>
      <c r="T83" s="80">
        <f t="shared" si="32"/>
        <v>0</v>
      </c>
      <c r="U83" s="179">
        <v>0</v>
      </c>
      <c r="V83" s="80">
        <f t="shared" si="33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4"/>
        <v>0</v>
      </c>
      <c r="E84" s="179">
        <v>0</v>
      </c>
      <c r="F84" s="80">
        <f t="shared" si="25"/>
        <v>0</v>
      </c>
      <c r="G84" s="179">
        <v>0</v>
      </c>
      <c r="H84" s="80">
        <f t="shared" si="26"/>
        <v>0</v>
      </c>
      <c r="I84" s="179">
        <v>0</v>
      </c>
      <c r="J84" s="80">
        <f t="shared" si="27"/>
        <v>0</v>
      </c>
      <c r="K84" s="179">
        <v>0</v>
      </c>
      <c r="L84" s="80">
        <f t="shared" si="28"/>
        <v>0</v>
      </c>
      <c r="M84" s="179">
        <v>0</v>
      </c>
      <c r="N84" s="80">
        <f t="shared" si="29"/>
        <v>0</v>
      </c>
      <c r="O84" s="179">
        <v>0</v>
      </c>
      <c r="P84" s="80">
        <f t="shared" si="30"/>
        <v>0</v>
      </c>
      <c r="Q84" s="179">
        <v>0</v>
      </c>
      <c r="R84" s="80">
        <f t="shared" si="31"/>
        <v>0</v>
      </c>
      <c r="S84" s="179">
        <v>0</v>
      </c>
      <c r="T84" s="80">
        <f t="shared" si="32"/>
        <v>0</v>
      </c>
      <c r="U84" s="179">
        <v>0</v>
      </c>
      <c r="V84" s="80">
        <f t="shared" si="33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4"/>
        <v>0</v>
      </c>
      <c r="E85" s="179">
        <v>0</v>
      </c>
      <c r="F85" s="80">
        <f t="shared" si="25"/>
        <v>0</v>
      </c>
      <c r="G85" s="179">
        <v>0</v>
      </c>
      <c r="H85" s="80">
        <f t="shared" si="26"/>
        <v>0</v>
      </c>
      <c r="I85" s="179">
        <v>0</v>
      </c>
      <c r="J85" s="80">
        <f t="shared" si="27"/>
        <v>0</v>
      </c>
      <c r="K85" s="179">
        <v>0</v>
      </c>
      <c r="L85" s="80">
        <f t="shared" si="28"/>
        <v>0</v>
      </c>
      <c r="M85" s="179">
        <v>0</v>
      </c>
      <c r="N85" s="80">
        <f t="shared" si="29"/>
        <v>0</v>
      </c>
      <c r="O85" s="179">
        <v>0</v>
      </c>
      <c r="P85" s="80">
        <f t="shared" si="30"/>
        <v>0</v>
      </c>
      <c r="Q85" s="179">
        <v>0</v>
      </c>
      <c r="R85" s="80">
        <f t="shared" si="31"/>
        <v>0</v>
      </c>
      <c r="S85" s="179">
        <v>0</v>
      </c>
      <c r="T85" s="80">
        <f t="shared" si="32"/>
        <v>0</v>
      </c>
      <c r="U85" s="179">
        <v>0</v>
      </c>
      <c r="V85" s="80">
        <f t="shared" si="33"/>
        <v>0</v>
      </c>
      <c r="X85" s="200"/>
    </row>
    <row r="86" spans="1:24" ht="12.75" customHeight="1">
      <c r="A86" s="2" t="s">
        <v>417</v>
      </c>
      <c r="B86" s="35"/>
      <c r="C86" s="179">
        <v>0</v>
      </c>
      <c r="D86" s="80">
        <f t="shared" si="24"/>
        <v>0</v>
      </c>
      <c r="E86" s="179">
        <v>2000.0000000000002</v>
      </c>
      <c r="F86" s="80">
        <f t="shared" si="25"/>
        <v>4.0000000000000001E-3</v>
      </c>
      <c r="G86" s="179">
        <v>2040.0000000000002</v>
      </c>
      <c r="H86" s="80">
        <f t="shared" si="26"/>
        <v>4.0000000000000001E-3</v>
      </c>
      <c r="I86" s="179">
        <v>2080.8000000000002</v>
      </c>
      <c r="J86" s="80">
        <f t="shared" si="27"/>
        <v>4.0000000000000001E-3</v>
      </c>
      <c r="K86" s="179">
        <v>2122.4160000000002</v>
      </c>
      <c r="L86" s="80">
        <f t="shared" si="28"/>
        <v>4.0000000000000001E-3</v>
      </c>
      <c r="M86" s="179">
        <v>2164.8643199999997</v>
      </c>
      <c r="N86" s="80">
        <f t="shared" si="29"/>
        <v>4.0000000000000001E-3</v>
      </c>
      <c r="O86" s="179">
        <v>2208.1616064</v>
      </c>
      <c r="P86" s="80">
        <f t="shared" si="30"/>
        <v>4.0000000000000001E-3</v>
      </c>
      <c r="Q86" s="179">
        <v>2252.3248385279999</v>
      </c>
      <c r="R86" s="80">
        <f t="shared" si="31"/>
        <v>4.0000000000000001E-3</v>
      </c>
      <c r="S86" s="179">
        <v>2297.3713352985596</v>
      </c>
      <c r="T86" s="80">
        <f t="shared" si="32"/>
        <v>4.0000000000000001E-3</v>
      </c>
      <c r="U86" s="179">
        <v>2343.318762004531</v>
      </c>
      <c r="V86" s="80">
        <f t="shared" si="33"/>
        <v>4.0000000000000001E-3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4"/>
        <v>0</v>
      </c>
      <c r="E87" s="179">
        <v>0</v>
      </c>
      <c r="F87" s="80">
        <f t="shared" si="25"/>
        <v>0</v>
      </c>
      <c r="G87" s="179">
        <v>0</v>
      </c>
      <c r="H87" s="80">
        <f t="shared" si="26"/>
        <v>0</v>
      </c>
      <c r="I87" s="179">
        <v>0</v>
      </c>
      <c r="J87" s="80">
        <f t="shared" si="27"/>
        <v>0</v>
      </c>
      <c r="K87" s="179">
        <v>0</v>
      </c>
      <c r="L87" s="80">
        <f t="shared" si="28"/>
        <v>0</v>
      </c>
      <c r="M87" s="179">
        <v>0</v>
      </c>
      <c r="N87" s="80">
        <f t="shared" si="29"/>
        <v>0</v>
      </c>
      <c r="O87" s="179">
        <v>0</v>
      </c>
      <c r="P87" s="80">
        <f t="shared" si="30"/>
        <v>0</v>
      </c>
      <c r="Q87" s="179">
        <v>0</v>
      </c>
      <c r="R87" s="80">
        <f t="shared" si="31"/>
        <v>0</v>
      </c>
      <c r="S87" s="179">
        <v>0</v>
      </c>
      <c r="T87" s="80">
        <f t="shared" si="32"/>
        <v>0</v>
      </c>
      <c r="U87" s="179">
        <v>0</v>
      </c>
      <c r="V87" s="80">
        <f t="shared" si="33"/>
        <v>0</v>
      </c>
      <c r="X87" s="200"/>
    </row>
    <row r="88" spans="1:24" ht="12.75" customHeight="1">
      <c r="A88" s="2" t="s">
        <v>419</v>
      </c>
      <c r="B88" s="35"/>
      <c r="C88" s="179">
        <v>0</v>
      </c>
      <c r="D88" s="80">
        <f t="shared" si="24"/>
        <v>0</v>
      </c>
      <c r="E88" s="179">
        <v>2550.0000000000005</v>
      </c>
      <c r="F88" s="80">
        <f t="shared" si="25"/>
        <v>5.1000000000000012E-3</v>
      </c>
      <c r="G88" s="179">
        <v>2601.0000000000005</v>
      </c>
      <c r="H88" s="80">
        <f t="shared" si="26"/>
        <v>5.1000000000000012E-3</v>
      </c>
      <c r="I88" s="179">
        <v>2653.0200000000004</v>
      </c>
      <c r="J88" s="80">
        <f t="shared" si="27"/>
        <v>5.1000000000000012E-3</v>
      </c>
      <c r="K88" s="179">
        <v>2706.0804000000003</v>
      </c>
      <c r="L88" s="80">
        <f t="shared" si="28"/>
        <v>5.1000000000000004E-3</v>
      </c>
      <c r="M88" s="179">
        <v>2760.2020080000002</v>
      </c>
      <c r="N88" s="80">
        <f t="shared" si="29"/>
        <v>5.1000000000000004E-3</v>
      </c>
      <c r="O88" s="179">
        <v>2815.40604816</v>
      </c>
      <c r="P88" s="80">
        <f t="shared" si="30"/>
        <v>5.1000000000000004E-3</v>
      </c>
      <c r="Q88" s="179">
        <v>2871.7141691232</v>
      </c>
      <c r="R88" s="80">
        <f t="shared" si="31"/>
        <v>5.1000000000000004E-3</v>
      </c>
      <c r="S88" s="179">
        <v>2929.148452505664</v>
      </c>
      <c r="T88" s="80">
        <f t="shared" si="32"/>
        <v>5.1000000000000004E-3</v>
      </c>
      <c r="U88" s="179">
        <v>2987.7314215557776</v>
      </c>
      <c r="V88" s="80">
        <f t="shared" si="33"/>
        <v>5.1000000000000012E-3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4"/>
        <v>0</v>
      </c>
      <c r="E89" s="179">
        <v>0</v>
      </c>
      <c r="F89" s="80">
        <f t="shared" si="25"/>
        <v>0</v>
      </c>
      <c r="G89" s="179">
        <v>0</v>
      </c>
      <c r="H89" s="80">
        <f t="shared" si="26"/>
        <v>0</v>
      </c>
      <c r="I89" s="179">
        <v>0</v>
      </c>
      <c r="J89" s="80">
        <f t="shared" si="27"/>
        <v>0</v>
      </c>
      <c r="K89" s="179">
        <v>0</v>
      </c>
      <c r="L89" s="80">
        <f t="shared" si="28"/>
        <v>0</v>
      </c>
      <c r="M89" s="179">
        <v>0</v>
      </c>
      <c r="N89" s="80">
        <f t="shared" si="29"/>
        <v>0</v>
      </c>
      <c r="O89" s="179">
        <v>0</v>
      </c>
      <c r="P89" s="80">
        <f t="shared" si="30"/>
        <v>0</v>
      </c>
      <c r="Q89" s="179">
        <v>0</v>
      </c>
      <c r="R89" s="80">
        <f t="shared" si="31"/>
        <v>0</v>
      </c>
      <c r="S89" s="179">
        <v>0</v>
      </c>
      <c r="T89" s="80">
        <f t="shared" si="32"/>
        <v>0</v>
      </c>
      <c r="U89" s="179">
        <v>0</v>
      </c>
      <c r="V89" s="80">
        <f t="shared" si="33"/>
        <v>0</v>
      </c>
      <c r="X89" s="200"/>
    </row>
    <row r="90" spans="1:24" ht="12.75" customHeight="1">
      <c r="A90" s="2" t="s">
        <v>421</v>
      </c>
      <c r="B90" s="35"/>
      <c r="C90" s="179">
        <v>0</v>
      </c>
      <c r="D90" s="80">
        <f t="shared" si="24"/>
        <v>0</v>
      </c>
      <c r="E90" s="179">
        <v>100.00000000000001</v>
      </c>
      <c r="F90" s="80">
        <f t="shared" si="25"/>
        <v>2.0000000000000004E-4</v>
      </c>
      <c r="G90" s="179">
        <v>102</v>
      </c>
      <c r="H90" s="80">
        <f t="shared" si="26"/>
        <v>2.0000000000000001E-4</v>
      </c>
      <c r="I90" s="179">
        <v>104.04</v>
      </c>
      <c r="J90" s="80">
        <f t="shared" si="27"/>
        <v>2.0000000000000001E-4</v>
      </c>
      <c r="K90" s="179">
        <v>106.1208</v>
      </c>
      <c r="L90" s="80">
        <f t="shared" si="28"/>
        <v>2.0000000000000001E-4</v>
      </c>
      <c r="M90" s="179">
        <v>108.24321599999999</v>
      </c>
      <c r="N90" s="80">
        <f t="shared" si="29"/>
        <v>2.0000000000000001E-4</v>
      </c>
      <c r="O90" s="179">
        <v>110.40808032</v>
      </c>
      <c r="P90" s="80">
        <f t="shared" si="30"/>
        <v>2.0000000000000001E-4</v>
      </c>
      <c r="Q90" s="179">
        <v>112.61624192640001</v>
      </c>
      <c r="R90" s="80">
        <f t="shared" si="31"/>
        <v>2.0000000000000004E-4</v>
      </c>
      <c r="S90" s="179">
        <v>114.868566764928</v>
      </c>
      <c r="T90" s="80">
        <f t="shared" si="32"/>
        <v>2.0000000000000004E-4</v>
      </c>
      <c r="U90" s="179">
        <v>117.16593810022657</v>
      </c>
      <c r="V90" s="80">
        <f t="shared" si="33"/>
        <v>2.0000000000000004E-4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24"/>
        <v>0</v>
      </c>
      <c r="E91" s="179">
        <v>0</v>
      </c>
      <c r="F91" s="80">
        <f t="shared" si="25"/>
        <v>0</v>
      </c>
      <c r="G91" s="179">
        <v>0</v>
      </c>
      <c r="H91" s="80">
        <f t="shared" si="26"/>
        <v>0</v>
      </c>
      <c r="I91" s="179">
        <v>0</v>
      </c>
      <c r="J91" s="80">
        <f t="shared" si="27"/>
        <v>0</v>
      </c>
      <c r="K91" s="179">
        <v>0</v>
      </c>
      <c r="L91" s="80">
        <f t="shared" si="28"/>
        <v>0</v>
      </c>
      <c r="M91" s="179">
        <v>0</v>
      </c>
      <c r="N91" s="80">
        <f t="shared" si="29"/>
        <v>0</v>
      </c>
      <c r="O91" s="179">
        <v>0</v>
      </c>
      <c r="P91" s="80">
        <f t="shared" si="30"/>
        <v>0</v>
      </c>
      <c r="Q91" s="179">
        <v>0</v>
      </c>
      <c r="R91" s="80">
        <f t="shared" si="31"/>
        <v>0</v>
      </c>
      <c r="S91" s="179">
        <v>0</v>
      </c>
      <c r="T91" s="80">
        <f t="shared" si="32"/>
        <v>0</v>
      </c>
      <c r="U91" s="179">
        <v>0</v>
      </c>
      <c r="V91" s="80">
        <f t="shared" si="33"/>
        <v>0</v>
      </c>
      <c r="X91" s="200"/>
    </row>
    <row r="92" spans="1:24" ht="12.75" customHeight="1">
      <c r="A92" s="2" t="s">
        <v>423</v>
      </c>
      <c r="B92" s="35"/>
      <c r="C92" s="179">
        <v>0</v>
      </c>
      <c r="D92" s="80">
        <f t="shared" si="24"/>
        <v>0</v>
      </c>
      <c r="E92" s="179">
        <v>2600</v>
      </c>
      <c r="F92" s="80">
        <f t="shared" si="25"/>
        <v>5.1999999999999998E-3</v>
      </c>
      <c r="G92" s="179">
        <v>2651.9999999999995</v>
      </c>
      <c r="H92" s="80">
        <f t="shared" si="26"/>
        <v>5.1999999999999989E-3</v>
      </c>
      <c r="I92" s="179">
        <v>2705.04</v>
      </c>
      <c r="J92" s="80">
        <f t="shared" si="27"/>
        <v>5.1999999999999998E-3</v>
      </c>
      <c r="K92" s="179">
        <v>2759.1407999999997</v>
      </c>
      <c r="L92" s="80">
        <f t="shared" si="28"/>
        <v>5.1999999999999998E-3</v>
      </c>
      <c r="M92" s="179">
        <v>2814.3236159999997</v>
      </c>
      <c r="N92" s="80">
        <f t="shared" si="29"/>
        <v>5.1999999999999998E-3</v>
      </c>
      <c r="O92" s="179">
        <v>2870.6100883199997</v>
      </c>
      <c r="P92" s="80">
        <f t="shared" si="30"/>
        <v>5.1999999999999998E-3</v>
      </c>
      <c r="Q92" s="179">
        <v>2928.0222900864001</v>
      </c>
      <c r="R92" s="80">
        <f t="shared" si="31"/>
        <v>5.2000000000000006E-3</v>
      </c>
      <c r="S92" s="179">
        <v>2986.5827358881274</v>
      </c>
      <c r="T92" s="80">
        <f t="shared" si="32"/>
        <v>5.1999999999999998E-3</v>
      </c>
      <c r="U92" s="179">
        <v>3046.3143906058904</v>
      </c>
      <c r="V92" s="80">
        <f t="shared" si="33"/>
        <v>5.1999999999999998E-3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4"/>
        <v>0</v>
      </c>
      <c r="E93" s="179">
        <v>0</v>
      </c>
      <c r="F93" s="80">
        <f t="shared" si="25"/>
        <v>0</v>
      </c>
      <c r="G93" s="179">
        <v>0</v>
      </c>
      <c r="H93" s="80">
        <f t="shared" si="26"/>
        <v>0</v>
      </c>
      <c r="I93" s="179">
        <v>0</v>
      </c>
      <c r="J93" s="80">
        <f t="shared" si="27"/>
        <v>0</v>
      </c>
      <c r="K93" s="179">
        <v>0</v>
      </c>
      <c r="L93" s="80">
        <f t="shared" si="28"/>
        <v>0</v>
      </c>
      <c r="M93" s="179">
        <v>0</v>
      </c>
      <c r="N93" s="80">
        <f t="shared" si="29"/>
        <v>0</v>
      </c>
      <c r="O93" s="179">
        <v>0</v>
      </c>
      <c r="P93" s="80">
        <f t="shared" si="30"/>
        <v>0</v>
      </c>
      <c r="Q93" s="179">
        <v>0</v>
      </c>
      <c r="R93" s="80">
        <f t="shared" si="31"/>
        <v>0</v>
      </c>
      <c r="S93" s="179">
        <v>0</v>
      </c>
      <c r="T93" s="80">
        <f t="shared" si="32"/>
        <v>0</v>
      </c>
      <c r="U93" s="179">
        <v>0</v>
      </c>
      <c r="V93" s="80">
        <f t="shared" si="33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4"/>
        <v>0</v>
      </c>
      <c r="E94" s="179">
        <v>0</v>
      </c>
      <c r="F94" s="80">
        <f t="shared" si="25"/>
        <v>0</v>
      </c>
      <c r="G94" s="179">
        <v>0</v>
      </c>
      <c r="H94" s="80">
        <f t="shared" si="26"/>
        <v>0</v>
      </c>
      <c r="I94" s="179">
        <v>0</v>
      </c>
      <c r="J94" s="80">
        <f t="shared" si="27"/>
        <v>0</v>
      </c>
      <c r="K94" s="179">
        <v>0</v>
      </c>
      <c r="L94" s="80">
        <f t="shared" si="28"/>
        <v>0</v>
      </c>
      <c r="M94" s="179">
        <v>0</v>
      </c>
      <c r="N94" s="80">
        <f t="shared" si="29"/>
        <v>0</v>
      </c>
      <c r="O94" s="179">
        <v>0</v>
      </c>
      <c r="P94" s="80">
        <f t="shared" si="30"/>
        <v>0</v>
      </c>
      <c r="Q94" s="179">
        <v>0</v>
      </c>
      <c r="R94" s="80">
        <f t="shared" si="31"/>
        <v>0</v>
      </c>
      <c r="S94" s="179">
        <v>0</v>
      </c>
      <c r="T94" s="80">
        <f t="shared" si="32"/>
        <v>0</v>
      </c>
      <c r="U94" s="179">
        <v>0</v>
      </c>
      <c r="V94" s="80">
        <f t="shared" si="33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4"/>
        <v>0</v>
      </c>
      <c r="E95" s="179">
        <v>0</v>
      </c>
      <c r="F95" s="80">
        <f t="shared" si="25"/>
        <v>0</v>
      </c>
      <c r="G95" s="179">
        <v>0</v>
      </c>
      <c r="H95" s="80">
        <f t="shared" si="26"/>
        <v>0</v>
      </c>
      <c r="I95" s="179">
        <v>0</v>
      </c>
      <c r="J95" s="80">
        <f t="shared" si="27"/>
        <v>0</v>
      </c>
      <c r="K95" s="179">
        <v>0</v>
      </c>
      <c r="L95" s="80">
        <f t="shared" si="28"/>
        <v>0</v>
      </c>
      <c r="M95" s="179">
        <v>0</v>
      </c>
      <c r="N95" s="80">
        <f t="shared" si="29"/>
        <v>0</v>
      </c>
      <c r="O95" s="179">
        <v>0</v>
      </c>
      <c r="P95" s="80">
        <f t="shared" si="30"/>
        <v>0</v>
      </c>
      <c r="Q95" s="179">
        <v>0</v>
      </c>
      <c r="R95" s="80">
        <f t="shared" si="31"/>
        <v>0</v>
      </c>
      <c r="S95" s="179">
        <v>0</v>
      </c>
      <c r="T95" s="80">
        <f t="shared" si="32"/>
        <v>0</v>
      </c>
      <c r="U95" s="179">
        <v>0</v>
      </c>
      <c r="V95" s="80">
        <f t="shared" si="33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4"/>
        <v>0</v>
      </c>
      <c r="E96" s="179">
        <v>0</v>
      </c>
      <c r="F96" s="80">
        <f t="shared" si="25"/>
        <v>0</v>
      </c>
      <c r="G96" s="179">
        <v>0</v>
      </c>
      <c r="H96" s="80">
        <f t="shared" si="26"/>
        <v>0</v>
      </c>
      <c r="I96" s="179">
        <v>0</v>
      </c>
      <c r="J96" s="80">
        <f t="shared" si="27"/>
        <v>0</v>
      </c>
      <c r="K96" s="179">
        <v>0</v>
      </c>
      <c r="L96" s="80">
        <f t="shared" si="28"/>
        <v>0</v>
      </c>
      <c r="M96" s="179">
        <v>0</v>
      </c>
      <c r="N96" s="80">
        <f t="shared" si="29"/>
        <v>0</v>
      </c>
      <c r="O96" s="179">
        <v>0</v>
      </c>
      <c r="P96" s="80">
        <f t="shared" si="30"/>
        <v>0</v>
      </c>
      <c r="Q96" s="179">
        <v>0</v>
      </c>
      <c r="R96" s="80">
        <f t="shared" si="31"/>
        <v>0</v>
      </c>
      <c r="S96" s="179">
        <v>0</v>
      </c>
      <c r="T96" s="80">
        <f t="shared" si="32"/>
        <v>0</v>
      </c>
      <c r="U96" s="179">
        <v>0</v>
      </c>
      <c r="V96" s="80">
        <f t="shared" si="33"/>
        <v>0</v>
      </c>
      <c r="X96" s="200"/>
    </row>
    <row r="97" spans="1:24" ht="12.75" customHeight="1">
      <c r="A97" s="2" t="s">
        <v>428</v>
      </c>
      <c r="B97" s="35"/>
      <c r="C97" s="179">
        <v>0</v>
      </c>
      <c r="D97" s="80">
        <f t="shared" si="24"/>
        <v>0</v>
      </c>
      <c r="E97" s="179">
        <v>6633.2892949999996</v>
      </c>
      <c r="F97" s="80">
        <f t="shared" si="25"/>
        <v>1.326657859E-2</v>
      </c>
      <c r="G97" s="179">
        <v>6833.6755273750005</v>
      </c>
      <c r="H97" s="80">
        <f t="shared" si="26"/>
        <v>1.3399363779166668E-2</v>
      </c>
      <c r="I97" s="179">
        <v>7029.5517885593745</v>
      </c>
      <c r="J97" s="80">
        <f t="shared" si="27"/>
        <v>1.3513171450517829E-2</v>
      </c>
      <c r="K97" s="179">
        <v>7205.2905832733577</v>
      </c>
      <c r="L97" s="80">
        <f t="shared" si="28"/>
        <v>1.3579412487039973E-2</v>
      </c>
      <c r="M97" s="179">
        <v>7385.4228478551913</v>
      </c>
      <c r="N97" s="80">
        <f t="shared" si="29"/>
        <v>1.3645978234525463E-2</v>
      </c>
      <c r="O97" s="179">
        <v>7570.058419051571</v>
      </c>
      <c r="P97" s="80">
        <f t="shared" si="30"/>
        <v>1.3712870284694706E-2</v>
      </c>
      <c r="Q97" s="179">
        <v>7759.3098795278593</v>
      </c>
      <c r="R97" s="80">
        <f t="shared" si="31"/>
        <v>1.3780090237070658E-2</v>
      </c>
      <c r="S97" s="179">
        <v>7953.292626516055</v>
      </c>
      <c r="T97" s="80">
        <f t="shared" si="32"/>
        <v>1.3847639699017082E-2</v>
      </c>
      <c r="U97" s="179">
        <v>8152.1249421789553</v>
      </c>
      <c r="V97" s="80">
        <f t="shared" si="33"/>
        <v>1.3915520285776967E-2</v>
      </c>
      <c r="X97" s="200"/>
    </row>
    <row r="98" spans="1:24" ht="12.75" customHeight="1">
      <c r="A98" s="117" t="s">
        <v>431</v>
      </c>
      <c r="B98" s="35"/>
      <c r="C98" s="179">
        <v>0</v>
      </c>
      <c r="D98" s="80">
        <f t="shared" si="24"/>
        <v>0</v>
      </c>
      <c r="E98" s="179">
        <v>600</v>
      </c>
      <c r="F98" s="80">
        <f t="shared" si="25"/>
        <v>1.1999999999999999E-3</v>
      </c>
      <c r="G98" s="179">
        <v>612</v>
      </c>
      <c r="H98" s="80">
        <f t="shared" si="26"/>
        <v>1.1999999999999999E-3</v>
      </c>
      <c r="I98" s="179">
        <v>624.2399999999999</v>
      </c>
      <c r="J98" s="80">
        <f t="shared" si="27"/>
        <v>1.1999999999999999E-3</v>
      </c>
      <c r="K98" s="179">
        <v>636.72479999999985</v>
      </c>
      <c r="L98" s="80">
        <f t="shared" si="28"/>
        <v>1.1999999999999997E-3</v>
      </c>
      <c r="M98" s="179">
        <v>649.45929599999988</v>
      </c>
      <c r="N98" s="80">
        <f t="shared" si="29"/>
        <v>1.1999999999999999E-3</v>
      </c>
      <c r="O98" s="179">
        <v>662.44848191999984</v>
      </c>
      <c r="P98" s="80">
        <f t="shared" si="30"/>
        <v>1.1999999999999997E-3</v>
      </c>
      <c r="Q98" s="179">
        <v>675.69745155839985</v>
      </c>
      <c r="R98" s="80">
        <f t="shared" si="31"/>
        <v>1.1999999999999999E-3</v>
      </c>
      <c r="S98" s="179">
        <v>689.21140058956792</v>
      </c>
      <c r="T98" s="80">
        <f t="shared" si="32"/>
        <v>1.2000000000000001E-3</v>
      </c>
      <c r="U98" s="179">
        <v>702.99562860135927</v>
      </c>
      <c r="V98" s="80">
        <f t="shared" si="33"/>
        <v>1.1999999999999999E-3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4"/>
        <v>0</v>
      </c>
      <c r="E99" s="179">
        <v>0</v>
      </c>
      <c r="F99" s="80">
        <f t="shared" si="25"/>
        <v>0</v>
      </c>
      <c r="G99" s="179">
        <v>0</v>
      </c>
      <c r="H99" s="80">
        <f t="shared" si="26"/>
        <v>0</v>
      </c>
      <c r="I99" s="179">
        <v>0</v>
      </c>
      <c r="J99" s="80">
        <f t="shared" si="27"/>
        <v>0</v>
      </c>
      <c r="K99" s="179">
        <v>0</v>
      </c>
      <c r="L99" s="80">
        <f t="shared" si="28"/>
        <v>0</v>
      </c>
      <c r="M99" s="179">
        <v>0</v>
      </c>
      <c r="N99" s="80">
        <f t="shared" si="29"/>
        <v>0</v>
      </c>
      <c r="O99" s="179">
        <v>0</v>
      </c>
      <c r="P99" s="80">
        <f t="shared" si="30"/>
        <v>0</v>
      </c>
      <c r="Q99" s="179">
        <v>0</v>
      </c>
      <c r="R99" s="80">
        <f t="shared" si="31"/>
        <v>0</v>
      </c>
      <c r="S99" s="179">
        <v>0</v>
      </c>
      <c r="T99" s="80">
        <f t="shared" si="32"/>
        <v>0</v>
      </c>
      <c r="U99" s="179">
        <v>0</v>
      </c>
      <c r="V99" s="80">
        <f t="shared" si="33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4"/>
        <v>0</v>
      </c>
      <c r="E100" s="179">
        <v>0</v>
      </c>
      <c r="F100" s="80">
        <f t="shared" si="25"/>
        <v>0</v>
      </c>
      <c r="G100" s="179">
        <v>0</v>
      </c>
      <c r="H100" s="80">
        <f t="shared" si="26"/>
        <v>0</v>
      </c>
      <c r="I100" s="179">
        <v>0</v>
      </c>
      <c r="J100" s="80">
        <f t="shared" si="27"/>
        <v>0</v>
      </c>
      <c r="K100" s="179">
        <v>0</v>
      </c>
      <c r="L100" s="80">
        <f t="shared" si="28"/>
        <v>0</v>
      </c>
      <c r="M100" s="179">
        <v>0</v>
      </c>
      <c r="N100" s="80">
        <f t="shared" si="29"/>
        <v>0</v>
      </c>
      <c r="O100" s="179">
        <v>0</v>
      </c>
      <c r="P100" s="80">
        <f t="shared" si="30"/>
        <v>0</v>
      </c>
      <c r="Q100" s="179">
        <v>0</v>
      </c>
      <c r="R100" s="80">
        <f t="shared" si="31"/>
        <v>0</v>
      </c>
      <c r="S100" s="179">
        <v>0</v>
      </c>
      <c r="T100" s="80">
        <f t="shared" si="32"/>
        <v>0</v>
      </c>
      <c r="U100" s="179">
        <v>0</v>
      </c>
      <c r="V100" s="80">
        <f t="shared" si="33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4"/>
        <v>0</v>
      </c>
      <c r="E101" s="179"/>
      <c r="F101" s="80">
        <f t="shared" si="25"/>
        <v>0</v>
      </c>
      <c r="G101" s="179"/>
      <c r="H101" s="80">
        <f t="shared" si="26"/>
        <v>0</v>
      </c>
      <c r="I101" s="179">
        <v>0</v>
      </c>
      <c r="J101" s="80">
        <f t="shared" si="27"/>
        <v>0</v>
      </c>
      <c r="K101" s="179">
        <v>0</v>
      </c>
      <c r="L101" s="80">
        <f t="shared" si="28"/>
        <v>0</v>
      </c>
      <c r="M101" s="179">
        <v>0</v>
      </c>
      <c r="N101" s="80">
        <f t="shared" si="29"/>
        <v>0</v>
      </c>
      <c r="O101" s="179">
        <v>0</v>
      </c>
      <c r="P101" s="80">
        <f t="shared" si="30"/>
        <v>0</v>
      </c>
      <c r="Q101" s="179">
        <v>0</v>
      </c>
      <c r="R101" s="80">
        <f t="shared" si="31"/>
        <v>0</v>
      </c>
      <c r="S101" s="179">
        <v>0</v>
      </c>
      <c r="T101" s="80">
        <f t="shared" si="32"/>
        <v>0</v>
      </c>
      <c r="U101" s="179">
        <v>0</v>
      </c>
      <c r="V101" s="80">
        <f t="shared" si="33"/>
        <v>0</v>
      </c>
      <c r="X101" s="200"/>
    </row>
    <row r="102" spans="1:24" ht="12.75" customHeight="1">
      <c r="A102" s="117" t="s">
        <v>433</v>
      </c>
      <c r="B102" s="35"/>
      <c r="C102" s="179">
        <v>0</v>
      </c>
      <c r="D102" s="80">
        <f t="shared" si="24"/>
        <v>0</v>
      </c>
      <c r="E102" s="179">
        <v>5000</v>
      </c>
      <c r="F102" s="80">
        <f t="shared" si="25"/>
        <v>0.01</v>
      </c>
      <c r="G102" s="179">
        <v>5100</v>
      </c>
      <c r="H102" s="80">
        <f t="shared" si="26"/>
        <v>0.01</v>
      </c>
      <c r="I102" s="179">
        <v>5202.0000000000009</v>
      </c>
      <c r="J102" s="80">
        <f t="shared" si="27"/>
        <v>1.0000000000000002E-2</v>
      </c>
      <c r="K102" s="179">
        <v>5306.0400000000009</v>
      </c>
      <c r="L102" s="80">
        <f t="shared" si="28"/>
        <v>1.0000000000000002E-2</v>
      </c>
      <c r="M102" s="179">
        <v>5412.1607999999987</v>
      </c>
      <c r="N102" s="80">
        <f t="shared" si="29"/>
        <v>9.9999999999999985E-3</v>
      </c>
      <c r="O102" s="179">
        <v>5520.4040160000004</v>
      </c>
      <c r="P102" s="80">
        <f t="shared" si="30"/>
        <v>0.01</v>
      </c>
      <c r="Q102" s="179">
        <v>5630.8120963199999</v>
      </c>
      <c r="R102" s="80">
        <f t="shared" si="31"/>
        <v>0.01</v>
      </c>
      <c r="S102" s="179">
        <v>5743.4283382464</v>
      </c>
      <c r="T102" s="80">
        <f t="shared" si="32"/>
        <v>1.0000000000000002E-2</v>
      </c>
      <c r="U102" s="179">
        <v>5858.296905011327</v>
      </c>
      <c r="V102" s="80">
        <f t="shared" si="33"/>
        <v>9.9999999999999985E-3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4"/>
        <v>0</v>
      </c>
      <c r="E103" s="179">
        <v>0</v>
      </c>
      <c r="F103" s="80">
        <f t="shared" si="25"/>
        <v>0</v>
      </c>
      <c r="G103" s="179">
        <v>0</v>
      </c>
      <c r="H103" s="80">
        <f t="shared" si="26"/>
        <v>0</v>
      </c>
      <c r="I103" s="179">
        <v>0</v>
      </c>
      <c r="J103" s="80">
        <f t="shared" si="27"/>
        <v>0</v>
      </c>
      <c r="K103" s="179">
        <v>0</v>
      </c>
      <c r="L103" s="80">
        <f t="shared" si="28"/>
        <v>0</v>
      </c>
      <c r="M103" s="179">
        <v>0</v>
      </c>
      <c r="N103" s="80">
        <f t="shared" si="29"/>
        <v>0</v>
      </c>
      <c r="O103" s="179">
        <v>0</v>
      </c>
      <c r="P103" s="80">
        <f t="shared" si="30"/>
        <v>0</v>
      </c>
      <c r="Q103" s="179">
        <v>0</v>
      </c>
      <c r="R103" s="80">
        <f t="shared" si="31"/>
        <v>0</v>
      </c>
      <c r="S103" s="179">
        <v>0</v>
      </c>
      <c r="T103" s="80">
        <f t="shared" si="32"/>
        <v>0</v>
      </c>
      <c r="U103" s="179">
        <v>0</v>
      </c>
      <c r="V103" s="80">
        <f t="shared" si="33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4"/>
        <v>0</v>
      </c>
      <c r="E104" s="179">
        <v>0</v>
      </c>
      <c r="F104" s="80">
        <f t="shared" si="25"/>
        <v>0</v>
      </c>
      <c r="G104" s="179">
        <v>0</v>
      </c>
      <c r="H104" s="80">
        <f t="shared" si="26"/>
        <v>0</v>
      </c>
      <c r="I104" s="179">
        <v>0</v>
      </c>
      <c r="J104" s="80">
        <f t="shared" si="27"/>
        <v>0</v>
      </c>
      <c r="K104" s="179">
        <v>0</v>
      </c>
      <c r="L104" s="80">
        <f t="shared" si="28"/>
        <v>0</v>
      </c>
      <c r="M104" s="179">
        <v>0</v>
      </c>
      <c r="N104" s="80">
        <f t="shared" si="29"/>
        <v>0</v>
      </c>
      <c r="O104" s="179">
        <v>0</v>
      </c>
      <c r="P104" s="80">
        <f t="shared" si="30"/>
        <v>0</v>
      </c>
      <c r="Q104" s="179">
        <v>0</v>
      </c>
      <c r="R104" s="80">
        <f t="shared" si="31"/>
        <v>0</v>
      </c>
      <c r="S104" s="179">
        <v>0</v>
      </c>
      <c r="T104" s="80">
        <f t="shared" si="32"/>
        <v>0</v>
      </c>
      <c r="U104" s="179">
        <v>0</v>
      </c>
      <c r="V104" s="80">
        <f t="shared" si="33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0</v>
      </c>
      <c r="D105" s="83">
        <f t="shared" ref="D105" si="34">IFERROR(C105/C$28,0)</f>
        <v>0</v>
      </c>
      <c r="E105" s="82">
        <f>SUM(E52:E104)</f>
        <v>100766.94952191431</v>
      </c>
      <c r="F105" s="83">
        <f t="shared" ref="F105" si="35">IFERROR(E105/E$28,0)</f>
        <v>0.20153389904382862</v>
      </c>
      <c r="G105" s="82">
        <f>SUM(G52:G104)</f>
        <v>103434.07369194287</v>
      </c>
      <c r="H105" s="83">
        <f t="shared" ref="H105" si="36">IFERROR(G105/G$28,0)</f>
        <v>0.20281190919988798</v>
      </c>
      <c r="I105" s="82">
        <f>SUM(I52:I104)</f>
        <v>105521.44199861838</v>
      </c>
      <c r="J105" s="83">
        <f t="shared" ref="J105" si="37">IFERROR(I105/I$28,0)</f>
        <v>0.2028478316005736</v>
      </c>
      <c r="K105" s="82">
        <f>SUM(K52:K104)</f>
        <v>107613.09465100153</v>
      </c>
      <c r="L105" s="83">
        <f t="shared" ref="L105" si="38">IFERROR(K105/K$28,0)</f>
        <v>0.20281244515872768</v>
      </c>
      <c r="M105" s="82">
        <f>SUM(M52:M104)</f>
        <v>109791.45936343745</v>
      </c>
      <c r="N105" s="83">
        <f t="shared" ref="N105" si="39">IFERROR(M105/M$28,0)</f>
        <v>0.20286067509937519</v>
      </c>
      <c r="O105" s="82">
        <f>SUM(O52:O104)</f>
        <v>112014.37985675268</v>
      </c>
      <c r="P105" s="83">
        <f t="shared" ref="P105" si="40">IFERROR(O105/O$28,0)</f>
        <v>0.20290974996050487</v>
      </c>
      <c r="Q105" s="82">
        <f>SUM(Q52:Q104)</f>
        <v>114282.60325789516</v>
      </c>
      <c r="R105" s="83">
        <f t="shared" ref="R105" si="41">IFERROR(Q105/Q$28,0)</f>
        <v>0.20295936234949877</v>
      </c>
      <c r="S105" s="82">
        <f>SUM(S52:S104)</f>
        <v>116596.89600885333</v>
      </c>
      <c r="T105" s="83">
        <f t="shared" ref="T105" si="42">IFERROR(S105/S$28,0)</f>
        <v>0.20300922923059062</v>
      </c>
      <c r="U105" s="82">
        <f>SUM(U52:U104)</f>
        <v>119151.70977629203</v>
      </c>
      <c r="V105" s="83">
        <f t="shared" si="33"/>
        <v>0.20338967400980787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0</v>
      </c>
      <c r="D107" s="83">
        <f>IFERROR(C107/C$28,0)</f>
        <v>0</v>
      </c>
      <c r="E107" s="82">
        <f>E28-E33-E46-E105</f>
        <v>59355.028778085703</v>
      </c>
      <c r="F107" s="83">
        <f>IFERROR(E107/E$28,0)</f>
        <v>0.11871005755617141</v>
      </c>
      <c r="G107" s="82">
        <f>G28-G33-G46-G105</f>
        <v>58028.414065557125</v>
      </c>
      <c r="H107" s="83">
        <f>IFERROR(G107/G$28,0)</f>
        <v>0.11378120405011201</v>
      </c>
      <c r="I107" s="82">
        <f>I28-I33-I46-I105</f>
        <v>57542.553972819107</v>
      </c>
      <c r="J107" s="83">
        <f>IFERROR(I107/I$28,0)</f>
        <v>0.11061621294275108</v>
      </c>
      <c r="K107" s="82">
        <f>K28-K33-K46-K105</f>
        <v>57745.816219721921</v>
      </c>
      <c r="L107" s="83">
        <f>IFERROR(K107/K$28,0)</f>
        <v>0.1088303447009859</v>
      </c>
      <c r="M107" s="82">
        <f>M28-M33-M46-M105</f>
        <v>57884.105579054114</v>
      </c>
      <c r="N107" s="83">
        <f>IFERROR(M107/M$28,0)</f>
        <v>0.10695193235768996</v>
      </c>
      <c r="O107" s="82">
        <f>O28-O33-O46-O105</f>
        <v>57999.409135301146</v>
      </c>
      <c r="P107" s="83">
        <f>IFERROR(O107/O$28,0)</f>
        <v>0.10506370361154586</v>
      </c>
      <c r="Q107" s="82">
        <f>Q28-Q33-Q46-Q105</f>
        <v>58090.792083480046</v>
      </c>
      <c r="R107" s="83">
        <f>IFERROR(Q107/Q$28,0)</f>
        <v>0.10316592187731696</v>
      </c>
      <c r="S107" s="82">
        <f>S28-S33-S46-S105</f>
        <v>58157.281073066697</v>
      </c>
      <c r="T107" s="83">
        <f>IFERROR(S107/S$28,0)</f>
        <v>0.10125882599733708</v>
      </c>
      <c r="U107" s="82">
        <f>U28-U33-U46-U105</f>
        <v>58004.19752682664</v>
      </c>
      <c r="V107" s="83">
        <f>IFERROR(U107/U$28,0)</f>
        <v>9.9012048155511651E-2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3">IFERROR(C111/C$28,0)</f>
        <v>0</v>
      </c>
      <c r="E111" s="79">
        <f>E59</f>
        <v>0</v>
      </c>
      <c r="F111" s="80">
        <f t="shared" ref="F111:F116" si="44">IFERROR(E111/E$28,0)</f>
        <v>0</v>
      </c>
      <c r="G111" s="79">
        <f>G59</f>
        <v>0</v>
      </c>
      <c r="H111" s="80">
        <f t="shared" ref="H111:H116" si="45">IFERROR(G111/G$28,0)</f>
        <v>0</v>
      </c>
      <c r="I111" s="79">
        <f>I59</f>
        <v>0</v>
      </c>
      <c r="J111" s="80">
        <f t="shared" ref="J111:J116" si="46">IFERROR(I111/I$28,0)</f>
        <v>0</v>
      </c>
      <c r="K111" s="79">
        <f>K59</f>
        <v>0</v>
      </c>
      <c r="L111" s="80">
        <f t="shared" ref="L111:L116" si="47">IFERROR(K111/K$28,0)</f>
        <v>0</v>
      </c>
      <c r="M111" s="79">
        <f>M59</f>
        <v>0</v>
      </c>
      <c r="N111" s="80">
        <f t="shared" ref="N111:N116" si="48">IFERROR(M111/M$28,0)</f>
        <v>0</v>
      </c>
      <c r="O111" s="79">
        <f>O59</f>
        <v>0</v>
      </c>
      <c r="P111" s="80">
        <f t="shared" ref="P111:P116" si="49">IFERROR(O111/O$28,0)</f>
        <v>0</v>
      </c>
      <c r="Q111" s="79">
        <f>Q59</f>
        <v>0</v>
      </c>
      <c r="R111" s="80">
        <f t="shared" ref="R111:R116" si="50">IFERROR(Q111/Q$28,0)</f>
        <v>0</v>
      </c>
      <c r="S111" s="79">
        <f>S59</f>
        <v>0</v>
      </c>
      <c r="T111" s="80">
        <f t="shared" ref="T111:T116" si="51">IFERROR(S111/S$28,0)</f>
        <v>0</v>
      </c>
      <c r="U111" s="79">
        <f>U59</f>
        <v>0</v>
      </c>
      <c r="V111" s="80">
        <f t="shared" ref="V111:V116" si="52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3"/>
        <v>0</v>
      </c>
      <c r="E112" s="79">
        <f>E62</f>
        <v>0</v>
      </c>
      <c r="F112" s="80">
        <f t="shared" si="44"/>
        <v>0</v>
      </c>
      <c r="G112" s="79">
        <f>G62</f>
        <v>0</v>
      </c>
      <c r="H112" s="80">
        <f t="shared" si="45"/>
        <v>0</v>
      </c>
      <c r="I112" s="79">
        <f>I62</f>
        <v>0</v>
      </c>
      <c r="J112" s="80">
        <f t="shared" si="46"/>
        <v>0</v>
      </c>
      <c r="K112" s="79">
        <f>K62</f>
        <v>0</v>
      </c>
      <c r="L112" s="80">
        <f t="shared" si="47"/>
        <v>0</v>
      </c>
      <c r="M112" s="79">
        <f>M62</f>
        <v>0</v>
      </c>
      <c r="N112" s="80">
        <f t="shared" si="48"/>
        <v>0</v>
      </c>
      <c r="O112" s="79">
        <f>O62</f>
        <v>0</v>
      </c>
      <c r="P112" s="80">
        <f t="shared" si="49"/>
        <v>0</v>
      </c>
      <c r="Q112" s="79">
        <f>Q62</f>
        <v>0</v>
      </c>
      <c r="R112" s="80">
        <f t="shared" si="50"/>
        <v>0</v>
      </c>
      <c r="S112" s="79">
        <f>S62</f>
        <v>0</v>
      </c>
      <c r="T112" s="80">
        <f t="shared" si="51"/>
        <v>0</v>
      </c>
      <c r="U112" s="79">
        <f>U62</f>
        <v>0</v>
      </c>
      <c r="V112" s="80">
        <f t="shared" si="52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3"/>
        <v>0</v>
      </c>
      <c r="E113" s="111">
        <v>0</v>
      </c>
      <c r="F113" s="80">
        <f t="shared" si="44"/>
        <v>0</v>
      </c>
      <c r="G113" s="111">
        <v>0</v>
      </c>
      <c r="H113" s="80">
        <f t="shared" si="45"/>
        <v>0</v>
      </c>
      <c r="I113" s="111">
        <v>0</v>
      </c>
      <c r="J113" s="80">
        <f t="shared" si="46"/>
        <v>0</v>
      </c>
      <c r="K113" s="111">
        <v>0</v>
      </c>
      <c r="L113" s="80">
        <f t="shared" si="47"/>
        <v>0</v>
      </c>
      <c r="M113" s="111">
        <v>0</v>
      </c>
      <c r="N113" s="80">
        <f t="shared" si="48"/>
        <v>0</v>
      </c>
      <c r="O113" s="111">
        <v>0</v>
      </c>
      <c r="P113" s="80">
        <f t="shared" si="49"/>
        <v>0</v>
      </c>
      <c r="Q113" s="111">
        <v>0</v>
      </c>
      <c r="R113" s="80">
        <f t="shared" si="50"/>
        <v>0</v>
      </c>
      <c r="S113" s="111">
        <v>0</v>
      </c>
      <c r="T113" s="80">
        <f t="shared" si="51"/>
        <v>0</v>
      </c>
      <c r="U113" s="111">
        <v>0</v>
      </c>
      <c r="V113" s="80">
        <f t="shared" si="52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3"/>
        <v>0</v>
      </c>
      <c r="E114" s="111">
        <v>0</v>
      </c>
      <c r="F114" s="80">
        <f t="shared" si="44"/>
        <v>0</v>
      </c>
      <c r="G114" s="111">
        <v>0</v>
      </c>
      <c r="H114" s="80">
        <f t="shared" si="45"/>
        <v>0</v>
      </c>
      <c r="I114" s="111">
        <v>0</v>
      </c>
      <c r="J114" s="80">
        <f t="shared" si="46"/>
        <v>0</v>
      </c>
      <c r="K114" s="111">
        <v>0</v>
      </c>
      <c r="L114" s="80">
        <f t="shared" si="47"/>
        <v>0</v>
      </c>
      <c r="M114" s="111">
        <v>0</v>
      </c>
      <c r="N114" s="80">
        <f t="shared" si="48"/>
        <v>0</v>
      </c>
      <c r="O114" s="111">
        <v>0</v>
      </c>
      <c r="P114" s="80">
        <f t="shared" si="49"/>
        <v>0</v>
      </c>
      <c r="Q114" s="111">
        <v>0</v>
      </c>
      <c r="R114" s="80">
        <f t="shared" si="50"/>
        <v>0</v>
      </c>
      <c r="S114" s="111">
        <v>0</v>
      </c>
      <c r="T114" s="80">
        <f t="shared" si="51"/>
        <v>0</v>
      </c>
      <c r="U114" s="111">
        <v>0</v>
      </c>
      <c r="V114" s="80">
        <f t="shared" si="52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3"/>
        <v>0</v>
      </c>
      <c r="E115" s="112">
        <v>0</v>
      </c>
      <c r="F115" s="80">
        <f t="shared" si="44"/>
        <v>0</v>
      </c>
      <c r="G115" s="112">
        <v>0</v>
      </c>
      <c r="H115" s="80">
        <f t="shared" si="45"/>
        <v>0</v>
      </c>
      <c r="I115" s="112">
        <v>0</v>
      </c>
      <c r="J115" s="80">
        <f t="shared" si="46"/>
        <v>0</v>
      </c>
      <c r="K115" s="112">
        <v>0</v>
      </c>
      <c r="L115" s="80">
        <f t="shared" si="47"/>
        <v>0</v>
      </c>
      <c r="M115" s="112">
        <v>0</v>
      </c>
      <c r="N115" s="80">
        <f t="shared" si="48"/>
        <v>0</v>
      </c>
      <c r="O115" s="112">
        <v>0</v>
      </c>
      <c r="P115" s="80">
        <f t="shared" si="49"/>
        <v>0</v>
      </c>
      <c r="Q115" s="112">
        <v>0</v>
      </c>
      <c r="R115" s="80">
        <f t="shared" si="50"/>
        <v>0</v>
      </c>
      <c r="S115" s="112">
        <v>0</v>
      </c>
      <c r="T115" s="80">
        <f t="shared" si="51"/>
        <v>0</v>
      </c>
      <c r="U115" s="112">
        <v>0</v>
      </c>
      <c r="V115" s="80">
        <f t="shared" si="52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3"/>
        <v>0</v>
      </c>
      <c r="E116" s="85">
        <f>SUM(E111:E115)</f>
        <v>0</v>
      </c>
      <c r="F116" s="83">
        <f t="shared" si="44"/>
        <v>0</v>
      </c>
      <c r="G116" s="85">
        <f>SUM(G111:G115)</f>
        <v>0</v>
      </c>
      <c r="H116" s="83">
        <f t="shared" si="45"/>
        <v>0</v>
      </c>
      <c r="I116" s="85">
        <f>SUM(I111:I115)</f>
        <v>0</v>
      </c>
      <c r="J116" s="83">
        <f t="shared" si="46"/>
        <v>0</v>
      </c>
      <c r="K116" s="85">
        <f>SUM(K111:K115)</f>
        <v>0</v>
      </c>
      <c r="L116" s="83">
        <f t="shared" si="47"/>
        <v>0</v>
      </c>
      <c r="M116" s="85">
        <f>SUM(M111:M115)</f>
        <v>0</v>
      </c>
      <c r="N116" s="83">
        <f t="shared" si="48"/>
        <v>0</v>
      </c>
      <c r="O116" s="85">
        <f>SUM(O111:O115)</f>
        <v>0</v>
      </c>
      <c r="P116" s="83">
        <f t="shared" si="49"/>
        <v>0</v>
      </c>
      <c r="Q116" s="85">
        <f>SUM(Q111:Q115)</f>
        <v>0</v>
      </c>
      <c r="R116" s="83">
        <f t="shared" si="50"/>
        <v>0</v>
      </c>
      <c r="S116" s="85">
        <f>SUM(S111:S115)</f>
        <v>0</v>
      </c>
      <c r="T116" s="83">
        <f t="shared" si="51"/>
        <v>0</v>
      </c>
      <c r="U116" s="85">
        <f>SUM(U111:U115)</f>
        <v>0</v>
      </c>
      <c r="V116" s="83">
        <f t="shared" si="52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0.59999389629810485"/>
  </sheetPr>
  <dimension ref="A1:X119"/>
  <sheetViews>
    <sheetView topLeftCell="A9" zoomScale="70" zoomScaleNormal="70" workbookViewId="0" xr3:uid="{62F1EA49-F163-5359-9764-B7CD00A4F86E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42.1406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62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Market Pavillion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228</v>
      </c>
      <c r="E8" s="109">
        <v>160</v>
      </c>
      <c r="G8" s="109">
        <f>+E8</f>
        <v>160</v>
      </c>
      <c r="I8" s="109">
        <f>+G8</f>
        <v>160</v>
      </c>
      <c r="K8" s="109">
        <f>+I8</f>
        <v>160</v>
      </c>
      <c r="M8" s="109">
        <f>+K8</f>
        <v>160</v>
      </c>
      <c r="O8" s="109">
        <f>+M8</f>
        <v>160</v>
      </c>
      <c r="Q8" s="109">
        <f>+O8</f>
        <v>160</v>
      </c>
      <c r="S8" s="109">
        <f>+Q8</f>
        <v>160</v>
      </c>
      <c r="U8" s="109">
        <f>+S8</f>
        <v>160</v>
      </c>
    </row>
    <row r="10" spans="1:22" ht="12.75" customHeight="1">
      <c r="A10" s="2" t="s">
        <v>449</v>
      </c>
      <c r="C10" s="109"/>
      <c r="E10" s="209">
        <f>+E14/E8/E12</f>
        <v>551.25</v>
      </c>
      <c r="F10" s="186"/>
      <c r="G10" s="209">
        <f>+G14/G8/G12</f>
        <v>564.96268656716416</v>
      </c>
      <c r="H10" s="186"/>
      <c r="I10" s="209">
        <f>+I14/I8/I12</f>
        <v>579.03081683168318</v>
      </c>
      <c r="J10" s="186"/>
      <c r="K10" s="209">
        <f>+K14/K8/K12</f>
        <v>581.94023275862071</v>
      </c>
      <c r="L10" s="186"/>
      <c r="M10" s="209">
        <f>+M14/M8/M12</f>
        <v>584.87846040441184</v>
      </c>
      <c r="N10" s="186"/>
      <c r="O10" s="209">
        <f t="shared" ref="O10" si="0">+O14/O8/O12</f>
        <v>587.84564869134158</v>
      </c>
      <c r="P10" s="186"/>
      <c r="Q10" s="209">
        <f t="shared" ref="Q10" si="1">+Q14/Q8/Q12</f>
        <v>590.841949327875</v>
      </c>
      <c r="R10" s="186"/>
      <c r="S10" s="209">
        <f>+S14/S8/S12</f>
        <v>593.86751679786323</v>
      </c>
      <c r="T10" s="186"/>
      <c r="U10" s="209">
        <f>+U14/U8/U12</f>
        <v>596.92250835062146</v>
      </c>
    </row>
    <row r="12" spans="1:22" ht="12.75" customHeight="1">
      <c r="A12" s="2" t="s">
        <v>450</v>
      </c>
      <c r="C12" s="110"/>
      <c r="E12" s="110">
        <v>10</v>
      </c>
      <c r="G12" s="110">
        <v>10.050000000000001</v>
      </c>
      <c r="I12" s="110">
        <v>10.1</v>
      </c>
      <c r="K12" s="110">
        <v>10.15</v>
      </c>
      <c r="M12" s="110">
        <v>10.199999999999999</v>
      </c>
      <c r="O12" s="110">
        <v>10.25</v>
      </c>
      <c r="Q12" s="110">
        <v>10.3</v>
      </c>
      <c r="S12" s="110">
        <v>10.35</v>
      </c>
      <c r="U12" s="110">
        <v>10.4</v>
      </c>
    </row>
    <row r="13" spans="1:22" ht="12.75" customHeight="1">
      <c r="O13" s="121"/>
    </row>
    <row r="14" spans="1:22" ht="12.75" customHeight="1">
      <c r="A14" s="2" t="s">
        <v>451</v>
      </c>
      <c r="C14" s="121"/>
      <c r="E14" s="121">
        <v>882000</v>
      </c>
      <c r="G14" s="121">
        <f>+E14*1.03</f>
        <v>908460</v>
      </c>
      <c r="I14" s="121">
        <f>+G14*1.03</f>
        <v>935713.8</v>
      </c>
      <c r="K14" s="121">
        <f>+I14*1.01</f>
        <v>945070.93800000008</v>
      </c>
      <c r="M14" s="121">
        <f>+K14*1.01</f>
        <v>954521.6473800001</v>
      </c>
      <c r="O14" s="121">
        <f>+M14*1.01</f>
        <v>964066.86385380011</v>
      </c>
      <c r="Q14" s="121">
        <f>+O14*1.01</f>
        <v>973707.5324923381</v>
      </c>
      <c r="S14" s="121">
        <f>+Q14*1.01</f>
        <v>983444.60781726148</v>
      </c>
      <c r="U14" s="121">
        <f>+S14*1.01</f>
        <v>993279.05389543413</v>
      </c>
    </row>
    <row r="15" spans="1:22" ht="12.75" customHeight="1">
      <c r="A15" s="39">
        <v>7.0000000000000007E-2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</f>
        <v>0</v>
      </c>
      <c r="D19" s="80">
        <f>IFERROR(C19/C$28,0)</f>
        <v>0</v>
      </c>
      <c r="E19" s="208">
        <f>+E14-E20</f>
        <v>412158.59999999992</v>
      </c>
      <c r="F19" s="80">
        <f>IFERROR(E19/E$28,0)</f>
        <v>0.46729999999999988</v>
      </c>
      <c r="G19" s="208">
        <f>+G14-G20</f>
        <v>429221.77199999988</v>
      </c>
      <c r="H19" s="80">
        <f>IFERROR(G19/G$28,0)</f>
        <v>0.47247184466019404</v>
      </c>
      <c r="I19" s="208">
        <f>+I14-I20</f>
        <v>446890.80743999989</v>
      </c>
      <c r="J19" s="80">
        <f>IFERROR(I19/I$28,0)</f>
        <v>0.47759347723630863</v>
      </c>
      <c r="K19" s="208">
        <f>+K14-K20</f>
        <v>446471.48558879993</v>
      </c>
      <c r="L19" s="80">
        <f>IFERROR(K19/K$28,0)</f>
        <v>0.47242113542676717</v>
      </c>
      <c r="M19" s="208">
        <f>+M14-M20</f>
        <v>445950.20592057594</v>
      </c>
      <c r="N19" s="80">
        <f>IFERROR(M19/M$28,0)</f>
        <v>0.46719758231218073</v>
      </c>
      <c r="O19" s="208">
        <f>+O14-O20</f>
        <v>445323.99356518744</v>
      </c>
      <c r="P19" s="80">
        <f>IFERROR(O19/O$28,0)</f>
        <v>0.46192231084992508</v>
      </c>
      <c r="Q19" s="208">
        <f>+Q14-Q20</f>
        <v>444589.80479795311</v>
      </c>
      <c r="R19" s="80">
        <f>IFERROR(Q19/Q$28,0)</f>
        <v>0.45659480897715199</v>
      </c>
      <c r="S19" s="208">
        <f>+S14-S20</f>
        <v>443744.52556898876</v>
      </c>
      <c r="T19" s="80">
        <f>IFERROR(S19/S$28,0)</f>
        <v>0.45121455956108414</v>
      </c>
      <c r="U19" s="208">
        <f>+U14-U20</f>
        <v>442784.97000219591</v>
      </c>
      <c r="V19" s="80">
        <f>IFERROR(U19/U$28,0)</f>
        <v>0.4457810403488176</v>
      </c>
    </row>
    <row r="20" spans="1:24" ht="12.75" customHeight="1">
      <c r="A20" s="2" t="s">
        <v>357</v>
      </c>
      <c r="B20" s="35"/>
      <c r="C20" s="111">
        <f>+C14*12.38%</f>
        <v>0</v>
      </c>
      <c r="D20" s="80">
        <f>IFERROR(C20/C$28,0)</f>
        <v>0</v>
      </c>
      <c r="E20" s="111">
        <f>+E14*53.27%</f>
        <v>469841.40000000008</v>
      </c>
      <c r="F20" s="80">
        <f>IFERROR(E20/E$28,0)</f>
        <v>0.53270000000000006</v>
      </c>
      <c r="G20" s="111">
        <f t="shared" ref="G20:U21" si="2">E20*1.02</f>
        <v>479238.22800000012</v>
      </c>
      <c r="H20" s="80">
        <f>IFERROR(G20/G$28,0)</f>
        <v>0.5275281553398059</v>
      </c>
      <c r="I20" s="111">
        <f t="shared" si="2"/>
        <v>488822.99256000016</v>
      </c>
      <c r="J20" s="80">
        <f>IFERROR(I20/I$28,0)</f>
        <v>0.52240652276369137</v>
      </c>
      <c r="K20" s="111">
        <f t="shared" si="2"/>
        <v>498599.45241120015</v>
      </c>
      <c r="L20" s="80">
        <f>IFERROR(K20/K$28,0)</f>
        <v>0.52757886457323278</v>
      </c>
      <c r="M20" s="111">
        <f t="shared" si="2"/>
        <v>508571.44145942415</v>
      </c>
      <c r="N20" s="80">
        <f>IFERROR(M20/M$28,0)</f>
        <v>0.53280241768781922</v>
      </c>
      <c r="O20" s="111">
        <f t="shared" si="2"/>
        <v>518742.87028861267</v>
      </c>
      <c r="P20" s="80">
        <f>IFERROR(O20/O$28,0)</f>
        <v>0.53807768915007492</v>
      </c>
      <c r="Q20" s="111">
        <f t="shared" si="2"/>
        <v>529117.72769438499</v>
      </c>
      <c r="R20" s="80">
        <f>IFERROR(Q20/Q$28,0)</f>
        <v>0.54340519102284801</v>
      </c>
      <c r="S20" s="111">
        <f t="shared" si="2"/>
        <v>539700.08224827272</v>
      </c>
      <c r="T20" s="80">
        <f>IFERROR(S20/S$28,0)</f>
        <v>0.54878544043891586</v>
      </c>
      <c r="U20" s="111">
        <f t="shared" si="2"/>
        <v>550494.08389323822</v>
      </c>
      <c r="V20" s="80">
        <f>IFERROR(U20/U$28,0)</f>
        <v>0.5542189596511824</v>
      </c>
    </row>
    <row r="21" spans="1:24" ht="12.75" customHeight="1">
      <c r="A21" s="2" t="s">
        <v>358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2"/>
        <v>0</v>
      </c>
      <c r="H21" s="80">
        <f>IFERROR(G21/G$28,0)</f>
        <v>0</v>
      </c>
      <c r="I21" s="111">
        <f t="shared" si="2"/>
        <v>0</v>
      </c>
      <c r="J21" s="80">
        <f>IFERROR(I21/I$28,0)</f>
        <v>0</v>
      </c>
      <c r="K21" s="111">
        <f t="shared" si="2"/>
        <v>0</v>
      </c>
      <c r="L21" s="80">
        <f>IFERROR(K21/K$28,0)</f>
        <v>0</v>
      </c>
      <c r="M21" s="111">
        <f t="shared" si="2"/>
        <v>0</v>
      </c>
      <c r="N21" s="80">
        <f>IFERROR(M21/M$28,0)</f>
        <v>0</v>
      </c>
      <c r="O21" s="111">
        <f t="shared" si="2"/>
        <v>0</v>
      </c>
      <c r="P21" s="80">
        <f>IFERROR(O21/O$28,0)</f>
        <v>0</v>
      </c>
      <c r="Q21" s="111">
        <f t="shared" si="2"/>
        <v>0</v>
      </c>
      <c r="R21" s="80">
        <f>IFERROR(Q21/Q$28,0)</f>
        <v>0</v>
      </c>
      <c r="S21" s="111">
        <f t="shared" si="2"/>
        <v>0</v>
      </c>
      <c r="T21" s="80">
        <f>IFERROR(S21/S$28,0)</f>
        <v>0</v>
      </c>
      <c r="U21" s="111">
        <f t="shared" si="2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3">IFERROR(C23/C$28,0)</f>
        <v>0</v>
      </c>
      <c r="E23" s="79"/>
      <c r="F23" s="80">
        <f t="shared" ref="F23:F28" si="4">IFERROR(E23/E$28,0)</f>
        <v>0</v>
      </c>
      <c r="G23" s="79"/>
      <c r="H23" s="80">
        <f t="shared" ref="H23:H28" si="5">IFERROR(G23/G$28,0)</f>
        <v>0</v>
      </c>
      <c r="I23" s="79"/>
      <c r="J23" s="80">
        <f t="shared" ref="J23:J28" si="6">IFERROR(I23/I$28,0)</f>
        <v>0</v>
      </c>
      <c r="K23" s="79"/>
      <c r="L23" s="80">
        <f t="shared" ref="L23:L28" si="7">IFERROR(K23/K$28,0)</f>
        <v>0</v>
      </c>
      <c r="M23" s="79"/>
      <c r="N23" s="80">
        <f t="shared" ref="N23:N28" si="8">IFERROR(M23/M$28,0)</f>
        <v>0</v>
      </c>
      <c r="O23" s="79"/>
      <c r="P23" s="80">
        <f t="shared" ref="P23:P28" si="9">IFERROR(O23/O$28,0)</f>
        <v>0</v>
      </c>
      <c r="Q23" s="79"/>
      <c r="R23" s="80">
        <f t="shared" ref="R23:R28" si="10">IFERROR(Q23/Q$28,0)</f>
        <v>0</v>
      </c>
      <c r="S23" s="79"/>
      <c r="T23" s="80">
        <f t="shared" ref="T23:T28" si="11">IFERROR(S23/S$28,0)</f>
        <v>0</v>
      </c>
      <c r="U23" s="79"/>
      <c r="V23" s="80">
        <f t="shared" ref="V23:V28" si="12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3"/>
        <v>0</v>
      </c>
      <c r="E24" s="79"/>
      <c r="F24" s="80">
        <f t="shared" si="4"/>
        <v>0</v>
      </c>
      <c r="G24" s="79"/>
      <c r="H24" s="80">
        <f t="shared" si="5"/>
        <v>0</v>
      </c>
      <c r="I24" s="79"/>
      <c r="J24" s="80">
        <f t="shared" si="6"/>
        <v>0</v>
      </c>
      <c r="K24" s="79"/>
      <c r="L24" s="80">
        <f t="shared" si="7"/>
        <v>0</v>
      </c>
      <c r="M24" s="79"/>
      <c r="N24" s="80">
        <f t="shared" si="8"/>
        <v>0</v>
      </c>
      <c r="O24" s="79"/>
      <c r="P24" s="80">
        <f t="shared" si="9"/>
        <v>0</v>
      </c>
      <c r="Q24" s="79"/>
      <c r="R24" s="80">
        <f t="shared" si="10"/>
        <v>0</v>
      </c>
      <c r="S24" s="79"/>
      <c r="T24" s="80">
        <f t="shared" si="11"/>
        <v>0</v>
      </c>
      <c r="U24" s="79"/>
      <c r="V24" s="80">
        <f t="shared" si="12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3"/>
        <v>0</v>
      </c>
      <c r="E25" s="111"/>
      <c r="F25" s="80">
        <f t="shared" si="4"/>
        <v>0</v>
      </c>
      <c r="G25" s="111"/>
      <c r="H25" s="80">
        <f t="shared" si="5"/>
        <v>0</v>
      </c>
      <c r="I25" s="111"/>
      <c r="J25" s="80">
        <f t="shared" si="6"/>
        <v>0</v>
      </c>
      <c r="K25" s="111"/>
      <c r="L25" s="80">
        <f t="shared" si="7"/>
        <v>0</v>
      </c>
      <c r="M25" s="111"/>
      <c r="N25" s="80">
        <f t="shared" si="8"/>
        <v>0</v>
      </c>
      <c r="O25" s="111"/>
      <c r="P25" s="80">
        <f t="shared" si="9"/>
        <v>0</v>
      </c>
      <c r="Q25" s="111"/>
      <c r="R25" s="80">
        <f t="shared" si="10"/>
        <v>0</v>
      </c>
      <c r="S25" s="111"/>
      <c r="T25" s="80">
        <f t="shared" si="11"/>
        <v>0</v>
      </c>
      <c r="U25" s="111"/>
      <c r="V25" s="80">
        <f t="shared" si="12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3"/>
        <v>0</v>
      </c>
      <c r="E26" s="79"/>
      <c r="F26" s="80">
        <f t="shared" si="4"/>
        <v>0</v>
      </c>
      <c r="G26" s="79"/>
      <c r="H26" s="80">
        <f t="shared" si="5"/>
        <v>0</v>
      </c>
      <c r="I26" s="79"/>
      <c r="J26" s="80">
        <f t="shared" si="6"/>
        <v>0</v>
      </c>
      <c r="K26" s="79"/>
      <c r="L26" s="80">
        <f t="shared" si="7"/>
        <v>0</v>
      </c>
      <c r="M26" s="79"/>
      <c r="N26" s="80">
        <f t="shared" si="8"/>
        <v>0</v>
      </c>
      <c r="O26" s="79"/>
      <c r="P26" s="80">
        <f t="shared" si="9"/>
        <v>0</v>
      </c>
      <c r="Q26" s="79"/>
      <c r="R26" s="80">
        <f t="shared" si="10"/>
        <v>0</v>
      </c>
      <c r="S26" s="79"/>
      <c r="T26" s="80">
        <f t="shared" si="11"/>
        <v>0</v>
      </c>
      <c r="U26" s="79"/>
      <c r="V26" s="80">
        <f t="shared" si="12"/>
        <v>0</v>
      </c>
    </row>
    <row r="27" spans="1:24" ht="12.75" customHeight="1">
      <c r="A27" s="2" t="s">
        <v>364</v>
      </c>
      <c r="B27" s="35"/>
      <c r="C27" s="112"/>
      <c r="D27" s="80">
        <f t="shared" si="3"/>
        <v>0</v>
      </c>
      <c r="E27" s="112"/>
      <c r="F27" s="80">
        <f t="shared" si="4"/>
        <v>0</v>
      </c>
      <c r="G27" s="112"/>
      <c r="H27" s="80">
        <f t="shared" si="5"/>
        <v>0</v>
      </c>
      <c r="I27" s="112"/>
      <c r="J27" s="80">
        <f t="shared" si="6"/>
        <v>0</v>
      </c>
      <c r="K27" s="112"/>
      <c r="L27" s="80">
        <f t="shared" si="7"/>
        <v>0</v>
      </c>
      <c r="M27" s="112"/>
      <c r="N27" s="80">
        <f t="shared" si="8"/>
        <v>0</v>
      </c>
      <c r="O27" s="112"/>
      <c r="P27" s="80">
        <f t="shared" si="9"/>
        <v>0</v>
      </c>
      <c r="Q27" s="112"/>
      <c r="R27" s="80">
        <f t="shared" si="10"/>
        <v>0</v>
      </c>
      <c r="S27" s="112"/>
      <c r="T27" s="80">
        <f t="shared" si="11"/>
        <v>0</v>
      </c>
      <c r="U27" s="112"/>
      <c r="V27" s="80">
        <f t="shared" si="12"/>
        <v>0</v>
      </c>
    </row>
    <row r="28" spans="1:24" ht="12.75" customHeight="1">
      <c r="A28" s="1" t="s">
        <v>365</v>
      </c>
      <c r="B28" s="53"/>
      <c r="C28" s="82">
        <f>SUM(C19:C27)</f>
        <v>0</v>
      </c>
      <c r="D28" s="83">
        <f t="shared" si="3"/>
        <v>0</v>
      </c>
      <c r="E28" s="82">
        <f>SUM(E19:E27)</f>
        <v>882000</v>
      </c>
      <c r="F28" s="83">
        <f t="shared" si="4"/>
        <v>1</v>
      </c>
      <c r="G28" s="82">
        <f>SUM(G19:G27)</f>
        <v>908460</v>
      </c>
      <c r="H28" s="83">
        <f t="shared" si="5"/>
        <v>1</v>
      </c>
      <c r="I28" s="82">
        <f>SUM(I19:I27)</f>
        <v>935713.8</v>
      </c>
      <c r="J28" s="83">
        <f t="shared" si="6"/>
        <v>1</v>
      </c>
      <c r="K28" s="82">
        <f>SUM(K19:K27)</f>
        <v>945070.93800000008</v>
      </c>
      <c r="L28" s="83">
        <f t="shared" si="7"/>
        <v>1</v>
      </c>
      <c r="M28" s="82">
        <f>SUM(M19:M27)</f>
        <v>954521.6473800001</v>
      </c>
      <c r="N28" s="83">
        <f t="shared" si="8"/>
        <v>1</v>
      </c>
      <c r="O28" s="82">
        <f>SUM(O19:O27)</f>
        <v>964066.86385380011</v>
      </c>
      <c r="P28" s="83">
        <f t="shared" si="9"/>
        <v>1</v>
      </c>
      <c r="Q28" s="82">
        <f>SUM(Q19:Q27)</f>
        <v>973707.5324923381</v>
      </c>
      <c r="R28" s="83">
        <f t="shared" si="10"/>
        <v>1</v>
      </c>
      <c r="S28" s="82">
        <f>SUM(S19:S27)</f>
        <v>983444.60781726148</v>
      </c>
      <c r="T28" s="83">
        <f t="shared" si="11"/>
        <v>1</v>
      </c>
      <c r="U28" s="82">
        <f>SUM(U19:U27)</f>
        <v>993279.05389543413</v>
      </c>
      <c r="V28" s="83">
        <f t="shared" si="12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0.33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0</v>
      </c>
      <c r="D31" s="80">
        <f>IFERROR(C31/C$28,0)</f>
        <v>0</v>
      </c>
      <c r="E31" s="179">
        <f>$C$30*E14</f>
        <v>291060</v>
      </c>
      <c r="F31" s="80">
        <f>IFERROR(E31/E$28,0)</f>
        <v>0.33</v>
      </c>
      <c r="G31" s="179">
        <f>$C$30*G14</f>
        <v>299791.8</v>
      </c>
      <c r="H31" s="80">
        <f>IFERROR(G31/G$28,0)</f>
        <v>0.32999999999999996</v>
      </c>
      <c r="I31" s="179">
        <f>$C$30*I14</f>
        <v>308785.554</v>
      </c>
      <c r="J31" s="80">
        <f>IFERROR(I31/I$28,0)</f>
        <v>0.32999999999999996</v>
      </c>
      <c r="K31" s="179">
        <f>$C$30*K14</f>
        <v>311873.40954000002</v>
      </c>
      <c r="L31" s="80">
        <f>IFERROR(K31/K$28,0)</f>
        <v>0.33</v>
      </c>
      <c r="M31" s="179">
        <f>$C$30*M14</f>
        <v>314992.14363540005</v>
      </c>
      <c r="N31" s="80">
        <f>IFERROR(M31/M$28,0)</f>
        <v>0.33</v>
      </c>
      <c r="O31" s="179">
        <f>$C$30*O14</f>
        <v>318142.06507175404</v>
      </c>
      <c r="P31" s="80">
        <f>IFERROR(O31/O$28,0)</f>
        <v>0.33</v>
      </c>
      <c r="Q31" s="179">
        <f>$C$30*Q14</f>
        <v>321323.48572247161</v>
      </c>
      <c r="R31" s="80">
        <f>IFERROR(Q31/Q$28,0)</f>
        <v>0.33</v>
      </c>
      <c r="S31" s="179">
        <f>$C$30*S14</f>
        <v>324536.7205796963</v>
      </c>
      <c r="T31" s="80">
        <f>IFERROR(S31/S$28,0)</f>
        <v>0.33</v>
      </c>
      <c r="U31" s="179">
        <f>$C$30*U14</f>
        <v>327782.08778549329</v>
      </c>
      <c r="V31" s="80">
        <f>IFERROR(U31/U$28,0)</f>
        <v>0.33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0</v>
      </c>
      <c r="D33" s="83">
        <f>IFERROR(C33/C$28,0)</f>
        <v>0</v>
      </c>
      <c r="E33" s="82">
        <f>SUM(E31:E32)</f>
        <v>291060</v>
      </c>
      <c r="F33" s="83">
        <f>IFERROR(E33/E$28,0)</f>
        <v>0.33</v>
      </c>
      <c r="G33" s="82">
        <f>SUM(G31:G32)</f>
        <v>299791.8</v>
      </c>
      <c r="H33" s="83">
        <f>IFERROR(G33/G$28,0)</f>
        <v>0.32999999999999996</v>
      </c>
      <c r="I33" s="82">
        <f>SUM(I31:I32)</f>
        <v>308785.554</v>
      </c>
      <c r="J33" s="83">
        <f>IFERROR(I33/I$28,0)</f>
        <v>0.32999999999999996</v>
      </c>
      <c r="K33" s="82">
        <f>SUM(K31:K32)</f>
        <v>311873.40954000002</v>
      </c>
      <c r="L33" s="83">
        <f>IFERROR(K33/K$28,0)</f>
        <v>0.33</v>
      </c>
      <c r="M33" s="82">
        <f>SUM(M31:M32)</f>
        <v>314992.14363540005</v>
      </c>
      <c r="N33" s="83">
        <f>IFERROR(M33/M$28,0)</f>
        <v>0.33</v>
      </c>
      <c r="O33" s="82">
        <f>SUM(O31:O32)</f>
        <v>318142.06507175404</v>
      </c>
      <c r="P33" s="83">
        <f>IFERROR(O33/O$28,0)</f>
        <v>0.33</v>
      </c>
      <c r="Q33" s="82">
        <f>SUM(Q31:Q32)</f>
        <v>321323.48572247161</v>
      </c>
      <c r="R33" s="83">
        <f>IFERROR(Q33/Q$28,0)</f>
        <v>0.33</v>
      </c>
      <c r="S33" s="82">
        <f>SUM(S31:S32)</f>
        <v>324536.7205796963</v>
      </c>
      <c r="T33" s="83">
        <f>IFERROR(S33/S$28,0)</f>
        <v>0.33</v>
      </c>
      <c r="U33" s="82">
        <f>SUM(U31:U32)</f>
        <v>327782.08778549329</v>
      </c>
      <c r="V33" s="83">
        <f>IFERROR(U33/U$28,0)</f>
        <v>0.33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/>
      <c r="D36" s="80">
        <f t="shared" ref="D36:D46" si="13">IFERROR(C36/C$28,0)</f>
        <v>0</v>
      </c>
      <c r="E36" s="179">
        <v>55000</v>
      </c>
      <c r="F36" s="80">
        <f t="shared" ref="F36:F46" si="14">IFERROR(E36/E$28,0)</f>
        <v>6.2358276643990927E-2</v>
      </c>
      <c r="G36" s="179">
        <f>+E36*1.02</f>
        <v>56100</v>
      </c>
      <c r="H36" s="80">
        <f t="shared" ref="H36:H46" si="15">IFERROR(G36/G$28,0)</f>
        <v>6.1752856482398782E-2</v>
      </c>
      <c r="I36" s="179">
        <f>+G36*1.02</f>
        <v>57222</v>
      </c>
      <c r="J36" s="80">
        <f t="shared" ref="J36:J46" si="16">IFERROR(I36/I$28,0)</f>
        <v>6.1153314186453166E-2</v>
      </c>
      <c r="K36" s="179">
        <f>+I36*1.02</f>
        <v>58366.44</v>
      </c>
      <c r="L36" s="80">
        <f t="shared" ref="L36:L46" si="17">IFERROR(K36/K$28,0)</f>
        <v>6.1758792544734875E-2</v>
      </c>
      <c r="M36" s="179">
        <f>+K36*1.02</f>
        <v>59533.768800000005</v>
      </c>
      <c r="N36" s="80">
        <f t="shared" ref="N36:N46" si="18">IFERROR(M36/M$28,0)</f>
        <v>6.2370265738247103E-2</v>
      </c>
      <c r="O36" s="179">
        <f>+M36*1.02</f>
        <v>60724.444176000005</v>
      </c>
      <c r="P36" s="80">
        <f t="shared" ref="P36:P46" si="19">IFERROR(O36/O$28,0)</f>
        <v>6.2987793121794103E-2</v>
      </c>
      <c r="Q36" s="179">
        <f>+O36*1.02</f>
        <v>61938.933059520008</v>
      </c>
      <c r="R36" s="80">
        <f t="shared" ref="R36:R46" si="20">IFERROR(Q36/Q$28,0)</f>
        <v>6.3611434637851474E-2</v>
      </c>
      <c r="S36" s="179">
        <f>+Q36*1.02</f>
        <v>63177.711720710409</v>
      </c>
      <c r="T36" s="80">
        <f t="shared" ref="T36:T46" si="21">IFERROR(S36/S$28,0)</f>
        <v>6.424125082238466E-2</v>
      </c>
      <c r="U36" s="179">
        <f>+S36*1.02</f>
        <v>64441.265955124618</v>
      </c>
      <c r="V36" s="80">
        <f t="shared" ref="V36:V46" si="22">IFERROR(U36/U$28,0)</f>
        <v>6.4877302810725096E-2</v>
      </c>
    </row>
    <row r="37" spans="1:22" ht="12.75" customHeight="1">
      <c r="A37" s="2" t="s">
        <v>372</v>
      </c>
      <c r="B37" s="35"/>
      <c r="C37" s="179"/>
      <c r="D37" s="80">
        <f t="shared" si="13"/>
        <v>0</v>
      </c>
      <c r="E37" s="179">
        <f>144000</f>
        <v>144000</v>
      </c>
      <c r="F37" s="80">
        <f t="shared" si="14"/>
        <v>0.16326530612244897</v>
      </c>
      <c r="G37" s="179">
        <f>+E37*1.035</f>
        <v>149040</v>
      </c>
      <c r="H37" s="80">
        <f t="shared" si="15"/>
        <v>0.16405785615216961</v>
      </c>
      <c r="I37" s="179">
        <f>+G37*1.032</f>
        <v>153809.28</v>
      </c>
      <c r="J37" s="80">
        <f t="shared" si="16"/>
        <v>0.16437641509615439</v>
      </c>
      <c r="K37" s="179">
        <f>+I37*1.025</f>
        <v>157654.51199999999</v>
      </c>
      <c r="L37" s="80">
        <f t="shared" si="17"/>
        <v>0.16681764898372103</v>
      </c>
      <c r="M37" s="179">
        <f>+K37*1.025</f>
        <v>161595.87479999996</v>
      </c>
      <c r="N37" s="80">
        <f t="shared" si="18"/>
        <v>0.16929513882011288</v>
      </c>
      <c r="O37" s="179">
        <f>+M37*1.025</f>
        <v>165635.77166999996</v>
      </c>
      <c r="P37" s="80">
        <f t="shared" si="19"/>
        <v>0.17180942306001556</v>
      </c>
      <c r="Q37" s="179">
        <f>+O37*1.025</f>
        <v>169776.66596174994</v>
      </c>
      <c r="R37" s="80">
        <f t="shared" si="20"/>
        <v>0.17436104815496625</v>
      </c>
      <c r="S37" s="179">
        <f>+Q37*1.025</f>
        <v>174021.08261079367</v>
      </c>
      <c r="T37" s="80">
        <f t="shared" si="21"/>
        <v>0.17695056867211922</v>
      </c>
      <c r="U37" s="179">
        <f>+S37*1.025</f>
        <v>178371.6096760635</v>
      </c>
      <c r="V37" s="80">
        <f t="shared" si="22"/>
        <v>0.17957854741477441</v>
      </c>
    </row>
    <row r="38" spans="1:22" ht="12.75" customHeight="1">
      <c r="A38" s="2" t="s">
        <v>373</v>
      </c>
      <c r="B38" s="35"/>
      <c r="C38" s="179"/>
      <c r="D38" s="80">
        <f t="shared" si="13"/>
        <v>0</v>
      </c>
      <c r="E38" s="179">
        <v>46000</v>
      </c>
      <c r="F38" s="80">
        <f t="shared" si="14"/>
        <v>5.2154195011337869E-2</v>
      </c>
      <c r="G38" s="179">
        <f>+E38*1.035</f>
        <v>47609.999999999993</v>
      </c>
      <c r="H38" s="80">
        <f t="shared" si="15"/>
        <v>5.2407370715276395E-2</v>
      </c>
      <c r="I38" s="179">
        <f>+G38*1.032</f>
        <v>49133.52</v>
      </c>
      <c r="J38" s="80">
        <f t="shared" si="16"/>
        <v>5.2509132600160428E-2</v>
      </c>
      <c r="K38" s="179">
        <f>+I38*1.025</f>
        <v>50361.857999999993</v>
      </c>
      <c r="L38" s="80">
        <f t="shared" si="17"/>
        <v>5.3288971203133098E-2</v>
      </c>
      <c r="M38" s="179">
        <f>+K38*1.025</f>
        <v>51620.904449999987</v>
      </c>
      <c r="N38" s="80">
        <f t="shared" si="18"/>
        <v>5.4080391567536058E-2</v>
      </c>
      <c r="O38" s="179">
        <f>+M38*1.025</f>
        <v>52911.427061249982</v>
      </c>
      <c r="P38" s="80">
        <f t="shared" si="19"/>
        <v>5.4883565699727188E-2</v>
      </c>
      <c r="Q38" s="179">
        <f>+O38*1.025</f>
        <v>54234.212737781228</v>
      </c>
      <c r="R38" s="80">
        <f t="shared" si="20"/>
        <v>5.5698668160614223E-2</v>
      </c>
      <c r="S38" s="179">
        <f>+Q38*1.025</f>
        <v>55590.068056225755</v>
      </c>
      <c r="T38" s="80">
        <f t="shared" si="21"/>
        <v>5.6525876103593636E-2</v>
      </c>
      <c r="U38" s="179">
        <f>+S38*1.025</f>
        <v>56979.819757631391</v>
      </c>
      <c r="V38" s="80">
        <f t="shared" si="22"/>
        <v>5.7365369313052937E-2</v>
      </c>
    </row>
    <row r="39" spans="1:22" ht="12.75" customHeight="1">
      <c r="A39" s="2" t="s">
        <v>374</v>
      </c>
      <c r="B39" s="35"/>
      <c r="C39" s="179"/>
      <c r="D39" s="80">
        <f t="shared" si="13"/>
        <v>0</v>
      </c>
      <c r="E39" s="179">
        <v>20000</v>
      </c>
      <c r="F39" s="80">
        <f t="shared" si="14"/>
        <v>2.2675736961451247E-2</v>
      </c>
      <c r="G39" s="179">
        <f>+E39*1.035</f>
        <v>20700</v>
      </c>
      <c r="H39" s="80">
        <f t="shared" si="15"/>
        <v>2.2785813354468002E-2</v>
      </c>
      <c r="I39" s="179">
        <f>+G39*1.032</f>
        <v>21362.400000000001</v>
      </c>
      <c r="J39" s="80">
        <f t="shared" si="16"/>
        <v>2.2830057652243666E-2</v>
      </c>
      <c r="K39" s="179">
        <f>+I39*1.025</f>
        <v>21896.46</v>
      </c>
      <c r="L39" s="80">
        <f t="shared" si="17"/>
        <v>2.31691179144057E-2</v>
      </c>
      <c r="M39" s="179">
        <f>+K39*1.025</f>
        <v>22443.871499999997</v>
      </c>
      <c r="N39" s="80">
        <f t="shared" si="18"/>
        <v>2.3513213725015681E-2</v>
      </c>
      <c r="O39" s="179">
        <f>+M39*1.025</f>
        <v>23004.968287499996</v>
      </c>
      <c r="P39" s="80">
        <f t="shared" si="19"/>
        <v>2.3862419869446608E-2</v>
      </c>
      <c r="Q39" s="179">
        <f>+O39*1.025</f>
        <v>23580.092494687495</v>
      </c>
      <c r="R39" s="80">
        <f t="shared" si="20"/>
        <v>2.4216812243745316E-2</v>
      </c>
      <c r="S39" s="179">
        <f>+Q39*1.025</f>
        <v>24169.59480705468</v>
      </c>
      <c r="T39" s="80">
        <f t="shared" si="21"/>
        <v>2.4576467871127671E-2</v>
      </c>
      <c r="U39" s="179">
        <f>+S39*1.025</f>
        <v>24773.834677231043</v>
      </c>
      <c r="V39" s="80">
        <f t="shared" si="22"/>
        <v>2.4941464918718671E-2</v>
      </c>
    </row>
    <row r="40" spans="1:22" ht="12.75" customHeight="1">
      <c r="A40" s="2" t="s">
        <v>375</v>
      </c>
      <c r="B40" s="35"/>
      <c r="C40" s="179">
        <f>C36*0.124</f>
        <v>0</v>
      </c>
      <c r="D40" s="80">
        <f t="shared" si="13"/>
        <v>0</v>
      </c>
      <c r="E40" s="179">
        <f>E36*0.124</f>
        <v>6820</v>
      </c>
      <c r="F40" s="80">
        <f t="shared" si="14"/>
        <v>7.732426303854875E-3</v>
      </c>
      <c r="G40" s="179">
        <f>G36*0.124</f>
        <v>6956.4</v>
      </c>
      <c r="H40" s="80">
        <f t="shared" si="15"/>
        <v>7.6573542038174489E-3</v>
      </c>
      <c r="I40" s="179">
        <f>I36*0.124</f>
        <v>7095.5280000000002</v>
      </c>
      <c r="J40" s="80">
        <f t="shared" si="16"/>
        <v>7.5830109591201924E-3</v>
      </c>
      <c r="K40" s="179">
        <f>K36*0.124</f>
        <v>7237.4385600000005</v>
      </c>
      <c r="L40" s="80">
        <f t="shared" si="17"/>
        <v>7.6580902755471253E-3</v>
      </c>
      <c r="M40" s="179">
        <f>M36*0.124</f>
        <v>7382.1873312000007</v>
      </c>
      <c r="N40" s="80">
        <f t="shared" si="18"/>
        <v>7.7339129515426415E-3</v>
      </c>
      <c r="O40" s="179">
        <f>O36*0.124</f>
        <v>7529.8310778240002</v>
      </c>
      <c r="P40" s="80">
        <f t="shared" si="19"/>
        <v>7.8104863471024685E-3</v>
      </c>
      <c r="Q40" s="179">
        <f>Q36*0.124</f>
        <v>7680.4276993804806</v>
      </c>
      <c r="R40" s="80">
        <f t="shared" si="20"/>
        <v>7.8878178950935827E-3</v>
      </c>
      <c r="S40" s="179">
        <f>S36*0.124</f>
        <v>7834.0362533680909</v>
      </c>
      <c r="T40" s="80">
        <f t="shared" si="21"/>
        <v>7.9659151019756975E-3</v>
      </c>
      <c r="U40" s="179">
        <f>U36*0.124</f>
        <v>7990.7169784354528</v>
      </c>
      <c r="V40" s="80">
        <f t="shared" si="22"/>
        <v>8.0447855485299129E-3</v>
      </c>
    </row>
    <row r="41" spans="1:22" ht="12.75" customHeight="1">
      <c r="A41" s="2" t="s">
        <v>376</v>
      </c>
      <c r="B41" s="35"/>
      <c r="C41" s="179">
        <f>C37*0.124</f>
        <v>0</v>
      </c>
      <c r="D41" s="80">
        <f t="shared" si="13"/>
        <v>0</v>
      </c>
      <c r="E41" s="179">
        <f>E37*0.124</f>
        <v>17856</v>
      </c>
      <c r="F41" s="80">
        <f t="shared" si="14"/>
        <v>2.0244897959183675E-2</v>
      </c>
      <c r="G41" s="179">
        <f>G37*0.124</f>
        <v>18480.96</v>
      </c>
      <c r="H41" s="80">
        <f t="shared" si="15"/>
        <v>2.0343174162869029E-2</v>
      </c>
      <c r="I41" s="179">
        <f>I37*0.124</f>
        <v>19072.350719999999</v>
      </c>
      <c r="J41" s="80">
        <f t="shared" si="16"/>
        <v>2.0382675471923142E-2</v>
      </c>
      <c r="K41" s="179">
        <f>K37*0.124</f>
        <v>19549.159487999998</v>
      </c>
      <c r="L41" s="80">
        <f t="shared" si="17"/>
        <v>2.0685388473981405E-2</v>
      </c>
      <c r="M41" s="179">
        <f>M37*0.124</f>
        <v>20037.888475199994</v>
      </c>
      <c r="N41" s="80">
        <f t="shared" si="18"/>
        <v>2.0992597213693998E-2</v>
      </c>
      <c r="O41" s="179">
        <f>O37*0.124</f>
        <v>20538.835687079994</v>
      </c>
      <c r="P41" s="80">
        <f t="shared" si="19"/>
        <v>2.130436845944193E-2</v>
      </c>
      <c r="Q41" s="179">
        <f>Q37*0.124</f>
        <v>21052.306579256991</v>
      </c>
      <c r="R41" s="80">
        <f t="shared" si="20"/>
        <v>2.1620769971215814E-2</v>
      </c>
      <c r="S41" s="179">
        <f>S37*0.124</f>
        <v>21578.614243738415</v>
      </c>
      <c r="T41" s="80">
        <f t="shared" si="21"/>
        <v>2.1941870515342781E-2</v>
      </c>
      <c r="U41" s="179">
        <f>U37*0.124</f>
        <v>22118.079599831872</v>
      </c>
      <c r="V41" s="80">
        <f t="shared" si="22"/>
        <v>2.2267739879432025E-2</v>
      </c>
    </row>
    <row r="42" spans="1:22" ht="12.75" customHeight="1">
      <c r="A42" s="2" t="s">
        <v>377</v>
      </c>
      <c r="B42" s="35"/>
      <c r="C42" s="179"/>
      <c r="D42" s="80">
        <f t="shared" si="13"/>
        <v>0</v>
      </c>
      <c r="E42" s="179"/>
      <c r="F42" s="80">
        <f t="shared" si="14"/>
        <v>0</v>
      </c>
      <c r="G42" s="179"/>
      <c r="H42" s="80">
        <f t="shared" si="15"/>
        <v>0</v>
      </c>
      <c r="I42" s="179"/>
      <c r="J42" s="80">
        <f t="shared" si="16"/>
        <v>0</v>
      </c>
      <c r="K42" s="179"/>
      <c r="L42" s="80">
        <f t="shared" si="17"/>
        <v>0</v>
      </c>
      <c r="M42" s="179"/>
      <c r="N42" s="80">
        <f t="shared" si="18"/>
        <v>0</v>
      </c>
      <c r="O42" s="179"/>
      <c r="P42" s="80">
        <f t="shared" si="19"/>
        <v>0</v>
      </c>
      <c r="Q42" s="179"/>
      <c r="R42" s="80">
        <f t="shared" si="20"/>
        <v>0</v>
      </c>
      <c r="S42" s="179"/>
      <c r="T42" s="80">
        <f t="shared" si="21"/>
        <v>0</v>
      </c>
      <c r="U42" s="179"/>
      <c r="V42" s="80">
        <f t="shared" si="22"/>
        <v>0</v>
      </c>
    </row>
    <row r="43" spans="1:22" ht="12.75" customHeight="1">
      <c r="A43" s="2" t="s">
        <v>378</v>
      </c>
      <c r="B43" s="35"/>
      <c r="C43" s="179"/>
      <c r="D43" s="80">
        <f t="shared" si="13"/>
        <v>0</v>
      </c>
      <c r="E43" s="179"/>
      <c r="F43" s="80">
        <f t="shared" si="14"/>
        <v>0</v>
      </c>
      <c r="G43" s="179"/>
      <c r="H43" s="80">
        <f t="shared" si="15"/>
        <v>0</v>
      </c>
      <c r="I43" s="179"/>
      <c r="J43" s="80">
        <f t="shared" si="16"/>
        <v>0</v>
      </c>
      <c r="K43" s="179"/>
      <c r="L43" s="80">
        <f t="shared" si="17"/>
        <v>0</v>
      </c>
      <c r="M43" s="179"/>
      <c r="N43" s="80">
        <f t="shared" si="18"/>
        <v>0</v>
      </c>
      <c r="O43" s="179"/>
      <c r="P43" s="80">
        <f t="shared" si="19"/>
        <v>0</v>
      </c>
      <c r="Q43" s="179"/>
      <c r="R43" s="80">
        <f t="shared" si="20"/>
        <v>0</v>
      </c>
      <c r="S43" s="179"/>
      <c r="T43" s="80">
        <f t="shared" si="21"/>
        <v>0</v>
      </c>
      <c r="U43" s="179"/>
      <c r="V43" s="80">
        <f t="shared" si="22"/>
        <v>0</v>
      </c>
    </row>
    <row r="44" spans="1:22" ht="12.75" customHeight="1">
      <c r="A44" s="2" t="s">
        <v>379</v>
      </c>
      <c r="B44" s="35"/>
      <c r="C44" s="179"/>
      <c r="D44" s="80">
        <f t="shared" si="13"/>
        <v>0</v>
      </c>
      <c r="E44" s="179"/>
      <c r="F44" s="80">
        <f t="shared" si="14"/>
        <v>0</v>
      </c>
      <c r="G44" s="179"/>
      <c r="H44" s="80">
        <f t="shared" si="15"/>
        <v>0</v>
      </c>
      <c r="I44" s="179"/>
      <c r="J44" s="80">
        <f t="shared" si="16"/>
        <v>0</v>
      </c>
      <c r="K44" s="179"/>
      <c r="L44" s="80">
        <f t="shared" si="17"/>
        <v>0</v>
      </c>
      <c r="M44" s="179"/>
      <c r="N44" s="80">
        <f t="shared" si="18"/>
        <v>0</v>
      </c>
      <c r="O44" s="179"/>
      <c r="P44" s="80">
        <f t="shared" si="19"/>
        <v>0</v>
      </c>
      <c r="Q44" s="179"/>
      <c r="R44" s="80">
        <f t="shared" si="20"/>
        <v>0</v>
      </c>
      <c r="S44" s="179"/>
      <c r="T44" s="80">
        <f t="shared" si="21"/>
        <v>0</v>
      </c>
      <c r="U44" s="179"/>
      <c r="V44" s="80">
        <f t="shared" si="22"/>
        <v>0</v>
      </c>
    </row>
    <row r="45" spans="1:22" ht="12.75" customHeight="1">
      <c r="A45" s="2" t="s">
        <v>380</v>
      </c>
      <c r="B45" s="35"/>
      <c r="C45" s="182">
        <f>SUM(C36:C39)*0.094</f>
        <v>0</v>
      </c>
      <c r="D45" s="80">
        <f t="shared" si="13"/>
        <v>0</v>
      </c>
      <c r="E45" s="182">
        <f>SUM(E36:E39)*0.094</f>
        <v>24910</v>
      </c>
      <c r="F45" s="80">
        <f t="shared" si="14"/>
        <v>2.8242630385487529E-2</v>
      </c>
      <c r="G45" s="182">
        <f>SUM(G36:G39)*0.094</f>
        <v>25704.3</v>
      </c>
      <c r="H45" s="80">
        <f t="shared" si="15"/>
        <v>2.8294366290205403E-2</v>
      </c>
      <c r="I45" s="182">
        <f>SUM(I36:I39)*0.094</f>
        <v>26463.556800000002</v>
      </c>
      <c r="J45" s="80">
        <f t="shared" si="16"/>
        <v>2.8281678436291098E-2</v>
      </c>
      <c r="K45" s="182">
        <f>SUM(K36:K39)*0.094</f>
        <v>27098.251380000002</v>
      </c>
      <c r="L45" s="80">
        <f t="shared" si="17"/>
        <v>2.8673245880723505E-2</v>
      </c>
      <c r="M45" s="182">
        <f>SUM(M36:M39)*0.094</f>
        <v>27748.275437699995</v>
      </c>
      <c r="N45" s="80">
        <f t="shared" si="18"/>
        <v>2.9070346925985702E-2</v>
      </c>
      <c r="O45" s="182">
        <f>SUM(O36:O39)*0.094</f>
        <v>28414.001452306489</v>
      </c>
      <c r="P45" s="80">
        <f t="shared" si="19"/>
        <v>2.9473060964592439E-2</v>
      </c>
      <c r="Q45" s="182">
        <f>SUM(Q36:Q39)*0.094</f>
        <v>29095.810999851434</v>
      </c>
      <c r="R45" s="80">
        <f t="shared" si="20"/>
        <v>2.9881468540534663E-2</v>
      </c>
      <c r="S45" s="182">
        <f>SUM(S36:S39)*0.094</f>
        <v>29794.094976309745</v>
      </c>
      <c r="T45" s="80">
        <f t="shared" si="21"/>
        <v>3.0295651366107169E-2</v>
      </c>
      <c r="U45" s="182">
        <f>SUM(U36:U39)*0.094</f>
        <v>30509.253826208751</v>
      </c>
      <c r="V45" s="80">
        <f t="shared" si="22"/>
        <v>3.0715692338983486E-2</v>
      </c>
    </row>
    <row r="46" spans="1:22" ht="12.75" customHeight="1">
      <c r="A46" s="1" t="s">
        <v>381</v>
      </c>
      <c r="B46" s="53"/>
      <c r="C46" s="82">
        <f>SUM(C36:C45)</f>
        <v>0</v>
      </c>
      <c r="D46" s="83">
        <f t="shared" si="13"/>
        <v>0</v>
      </c>
      <c r="E46" s="82">
        <f>SUM(E36:E45)</f>
        <v>314586</v>
      </c>
      <c r="F46" s="83">
        <f t="shared" si="14"/>
        <v>0.35667346938775513</v>
      </c>
      <c r="G46" s="82">
        <f>SUM(G36:G45)</f>
        <v>324591.66000000003</v>
      </c>
      <c r="H46" s="83">
        <f t="shared" si="15"/>
        <v>0.35729879136120474</v>
      </c>
      <c r="I46" s="82">
        <f>SUM(I36:I45)</f>
        <v>334158.63552000001</v>
      </c>
      <c r="J46" s="83">
        <f t="shared" si="16"/>
        <v>0.35711628440234611</v>
      </c>
      <c r="K46" s="82">
        <f>SUM(K36:K45)</f>
        <v>342164.11942799995</v>
      </c>
      <c r="L46" s="83">
        <f t="shared" si="17"/>
        <v>0.36205125527624671</v>
      </c>
      <c r="M46" s="82">
        <f>SUM(M36:M45)</f>
        <v>350362.7707940999</v>
      </c>
      <c r="N46" s="83">
        <f t="shared" si="18"/>
        <v>0.36705586694213405</v>
      </c>
      <c r="O46" s="82">
        <f>SUM(O36:O45)</f>
        <v>358759.27941196039</v>
      </c>
      <c r="P46" s="83">
        <f t="shared" si="19"/>
        <v>0.37213111752212025</v>
      </c>
      <c r="Q46" s="82">
        <f>SUM(Q36:Q45)</f>
        <v>367358.44953222759</v>
      </c>
      <c r="R46" s="83">
        <f t="shared" si="20"/>
        <v>0.37727801960402135</v>
      </c>
      <c r="S46" s="82">
        <f>SUM(S36:S45)</f>
        <v>376165.20266820077</v>
      </c>
      <c r="T46" s="83">
        <f t="shared" si="21"/>
        <v>0.38249760045265085</v>
      </c>
      <c r="U46" s="82">
        <f>SUM(U36:U45)</f>
        <v>385184.58047052665</v>
      </c>
      <c r="V46" s="83">
        <f t="shared" si="22"/>
        <v>0.38779090222421658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3">IFERROR(C52/C$28,0)</f>
        <v>0</v>
      </c>
      <c r="E52" s="179">
        <v>0</v>
      </c>
      <c r="F52" s="80">
        <f t="shared" ref="F52:F104" si="24">IFERROR(E52/E$28,0)</f>
        <v>0</v>
      </c>
      <c r="G52" s="179">
        <v>0</v>
      </c>
      <c r="H52" s="80">
        <f t="shared" ref="H52:H104" si="25">IFERROR(G52/G$28,0)</f>
        <v>0</v>
      </c>
      <c r="I52" s="179">
        <v>0</v>
      </c>
      <c r="J52" s="80">
        <f t="shared" ref="J52:J104" si="26">IFERROR(I52/I$28,0)</f>
        <v>0</v>
      </c>
      <c r="K52" s="179">
        <v>0</v>
      </c>
      <c r="L52" s="80">
        <f t="shared" ref="L52:L104" si="27">IFERROR(K52/K$28,0)</f>
        <v>0</v>
      </c>
      <c r="M52" s="179">
        <v>0</v>
      </c>
      <c r="N52" s="80">
        <f t="shared" ref="N52:N104" si="28">IFERROR(M52/M$28,0)</f>
        <v>0</v>
      </c>
      <c r="O52" s="179">
        <v>0</v>
      </c>
      <c r="P52" s="80">
        <f t="shared" ref="P52:P104" si="29">IFERROR(O52/O$28,0)</f>
        <v>0</v>
      </c>
      <c r="Q52" s="179">
        <v>0</v>
      </c>
      <c r="R52" s="80">
        <f t="shared" ref="R52:R104" si="30">IFERROR(Q52/Q$28,0)</f>
        <v>0</v>
      </c>
      <c r="S52" s="179">
        <v>0</v>
      </c>
      <c r="T52" s="80">
        <f t="shared" ref="T52:T104" si="31">IFERROR(S52/S$28,0)</f>
        <v>0</v>
      </c>
      <c r="U52" s="179">
        <v>0</v>
      </c>
      <c r="V52" s="80">
        <f t="shared" ref="V52:V105" si="32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3"/>
        <v>0</v>
      </c>
      <c r="E53" s="179">
        <v>0</v>
      </c>
      <c r="F53" s="80">
        <f t="shared" si="24"/>
        <v>0</v>
      </c>
      <c r="G53" s="179">
        <v>0</v>
      </c>
      <c r="H53" s="80">
        <f t="shared" si="25"/>
        <v>0</v>
      </c>
      <c r="I53" s="179">
        <v>0</v>
      </c>
      <c r="J53" s="80">
        <f t="shared" si="26"/>
        <v>0</v>
      </c>
      <c r="K53" s="179">
        <v>0</v>
      </c>
      <c r="L53" s="80">
        <f t="shared" si="27"/>
        <v>0</v>
      </c>
      <c r="M53" s="179">
        <v>0</v>
      </c>
      <c r="N53" s="80">
        <f t="shared" si="28"/>
        <v>0</v>
      </c>
      <c r="O53" s="179">
        <v>0</v>
      </c>
      <c r="P53" s="80">
        <f t="shared" si="29"/>
        <v>0</v>
      </c>
      <c r="Q53" s="179">
        <v>0</v>
      </c>
      <c r="R53" s="80">
        <f t="shared" si="30"/>
        <v>0</v>
      </c>
      <c r="S53" s="179">
        <v>0</v>
      </c>
      <c r="T53" s="80">
        <f t="shared" si="31"/>
        <v>0</v>
      </c>
      <c r="U53" s="179">
        <v>0</v>
      </c>
      <c r="V53" s="80">
        <f t="shared" si="32"/>
        <v>0</v>
      </c>
      <c r="X53" s="200"/>
    </row>
    <row r="54" spans="1:24" ht="12.75" customHeight="1">
      <c r="A54" s="2" t="s">
        <v>385</v>
      </c>
      <c r="B54" s="35"/>
      <c r="C54" s="179">
        <v>0</v>
      </c>
      <c r="D54" s="80">
        <f t="shared" si="23"/>
        <v>0</v>
      </c>
      <c r="E54" s="179">
        <v>617.4</v>
      </c>
      <c r="F54" s="80">
        <f t="shared" si="24"/>
        <v>6.9999999999999999E-4</v>
      </c>
      <c r="G54" s="179">
        <v>635.92200000000003</v>
      </c>
      <c r="H54" s="80">
        <f t="shared" si="25"/>
        <v>6.9999999999999999E-4</v>
      </c>
      <c r="I54" s="179">
        <v>654.99966000000006</v>
      </c>
      <c r="J54" s="80">
        <f t="shared" si="26"/>
        <v>6.9999999999999999E-4</v>
      </c>
      <c r="K54" s="179">
        <v>661.54965660000005</v>
      </c>
      <c r="L54" s="80">
        <f t="shared" si="27"/>
        <v>6.9999999999999999E-4</v>
      </c>
      <c r="M54" s="179">
        <v>668.1651531660001</v>
      </c>
      <c r="N54" s="80">
        <f t="shared" si="28"/>
        <v>6.9999999999999999E-4</v>
      </c>
      <c r="O54" s="179">
        <v>674.84680469765999</v>
      </c>
      <c r="P54" s="80">
        <f t="shared" si="29"/>
        <v>6.9999999999999988E-4</v>
      </c>
      <c r="Q54" s="179">
        <v>681.59527274463665</v>
      </c>
      <c r="R54" s="80">
        <f t="shared" si="30"/>
        <v>6.9999999999999999E-4</v>
      </c>
      <c r="S54" s="179">
        <v>688.41122547208306</v>
      </c>
      <c r="T54" s="80">
        <f t="shared" si="31"/>
        <v>6.9999999999999999E-4</v>
      </c>
      <c r="U54" s="179">
        <v>695.29533772680395</v>
      </c>
      <c r="V54" s="80">
        <f t="shared" si="32"/>
        <v>7.000000000000001E-4</v>
      </c>
      <c r="X54" s="200"/>
    </row>
    <row r="55" spans="1:24" ht="12.75" customHeight="1">
      <c r="A55" s="2" t="s">
        <v>386</v>
      </c>
      <c r="B55" s="35"/>
      <c r="C55" s="179">
        <v>0</v>
      </c>
      <c r="D55" s="80">
        <f t="shared" si="23"/>
        <v>0</v>
      </c>
      <c r="E55" s="179"/>
      <c r="F55" s="80">
        <f t="shared" si="24"/>
        <v>0</v>
      </c>
      <c r="G55" s="179"/>
      <c r="H55" s="80">
        <f t="shared" si="25"/>
        <v>0</v>
      </c>
      <c r="I55" s="179"/>
      <c r="J55" s="80">
        <f t="shared" si="26"/>
        <v>0</v>
      </c>
      <c r="K55" s="179"/>
      <c r="L55" s="80">
        <f t="shared" si="27"/>
        <v>0</v>
      </c>
      <c r="M55" s="179"/>
      <c r="N55" s="80">
        <f t="shared" si="28"/>
        <v>0</v>
      </c>
      <c r="O55" s="179"/>
      <c r="P55" s="80">
        <f t="shared" si="29"/>
        <v>0</v>
      </c>
      <c r="Q55" s="179"/>
      <c r="R55" s="80">
        <f t="shared" si="30"/>
        <v>0</v>
      </c>
      <c r="S55" s="179"/>
      <c r="T55" s="80">
        <f t="shared" si="31"/>
        <v>0</v>
      </c>
      <c r="U55" s="179"/>
      <c r="V55" s="80">
        <f t="shared" si="32"/>
        <v>0</v>
      </c>
      <c r="X55" s="200"/>
    </row>
    <row r="56" spans="1:24" ht="12.75" customHeight="1">
      <c r="A56" s="2" t="s">
        <v>387</v>
      </c>
      <c r="B56" s="35"/>
      <c r="C56" s="179">
        <v>0</v>
      </c>
      <c r="D56" s="80">
        <f t="shared" si="23"/>
        <v>0</v>
      </c>
      <c r="E56" s="179">
        <v>449.82000000000005</v>
      </c>
      <c r="F56" s="80">
        <f t="shared" si="24"/>
        <v>5.1000000000000004E-4</v>
      </c>
      <c r="G56" s="179">
        <v>463.31460000000004</v>
      </c>
      <c r="H56" s="80">
        <f t="shared" si="25"/>
        <v>5.1000000000000004E-4</v>
      </c>
      <c r="I56" s="179">
        <v>477.21403800000007</v>
      </c>
      <c r="J56" s="80">
        <f t="shared" si="26"/>
        <v>5.1000000000000004E-4</v>
      </c>
      <c r="K56" s="179">
        <v>481.98617838000013</v>
      </c>
      <c r="L56" s="80">
        <f t="shared" si="27"/>
        <v>5.1000000000000004E-4</v>
      </c>
      <c r="M56" s="179">
        <v>486.80604016380011</v>
      </c>
      <c r="N56" s="80">
        <f t="shared" si="28"/>
        <v>5.1000000000000004E-4</v>
      </c>
      <c r="O56" s="179">
        <v>491.6741005654381</v>
      </c>
      <c r="P56" s="80">
        <f t="shared" si="29"/>
        <v>5.1000000000000004E-4</v>
      </c>
      <c r="Q56" s="179">
        <v>496.59084157109254</v>
      </c>
      <c r="R56" s="80">
        <f t="shared" si="30"/>
        <v>5.1000000000000015E-4</v>
      </c>
      <c r="S56" s="179">
        <v>501.55674998680342</v>
      </c>
      <c r="T56" s="80">
        <f t="shared" si="31"/>
        <v>5.1000000000000004E-4</v>
      </c>
      <c r="U56" s="179">
        <v>506.57231748667147</v>
      </c>
      <c r="V56" s="80">
        <f t="shared" si="32"/>
        <v>5.1000000000000004E-4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3"/>
        <v>0</v>
      </c>
      <c r="E57" s="179">
        <v>0</v>
      </c>
      <c r="F57" s="80">
        <f t="shared" si="24"/>
        <v>0</v>
      </c>
      <c r="G57" s="179">
        <v>0</v>
      </c>
      <c r="H57" s="80">
        <f t="shared" si="25"/>
        <v>0</v>
      </c>
      <c r="I57" s="179">
        <v>0</v>
      </c>
      <c r="J57" s="80">
        <f t="shared" si="26"/>
        <v>0</v>
      </c>
      <c r="K57" s="179">
        <v>0</v>
      </c>
      <c r="L57" s="80">
        <f t="shared" si="27"/>
        <v>0</v>
      </c>
      <c r="M57" s="179">
        <v>0</v>
      </c>
      <c r="N57" s="80">
        <f t="shared" si="28"/>
        <v>0</v>
      </c>
      <c r="O57" s="179">
        <v>0</v>
      </c>
      <c r="P57" s="80">
        <f t="shared" si="29"/>
        <v>0</v>
      </c>
      <c r="Q57" s="179">
        <v>0</v>
      </c>
      <c r="R57" s="80">
        <f t="shared" si="30"/>
        <v>0</v>
      </c>
      <c r="S57" s="179">
        <v>0</v>
      </c>
      <c r="T57" s="80">
        <f t="shared" si="31"/>
        <v>0</v>
      </c>
      <c r="U57" s="179">
        <v>0</v>
      </c>
      <c r="V57" s="80">
        <f t="shared" si="32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3"/>
        <v>0</v>
      </c>
      <c r="E58" s="179">
        <v>0</v>
      </c>
      <c r="F58" s="80">
        <f t="shared" si="24"/>
        <v>0</v>
      </c>
      <c r="G58" s="179">
        <v>0</v>
      </c>
      <c r="H58" s="80">
        <f t="shared" si="25"/>
        <v>0</v>
      </c>
      <c r="I58" s="179">
        <v>0</v>
      </c>
      <c r="J58" s="80">
        <f t="shared" si="26"/>
        <v>0</v>
      </c>
      <c r="K58" s="179">
        <v>0</v>
      </c>
      <c r="L58" s="80">
        <f t="shared" si="27"/>
        <v>0</v>
      </c>
      <c r="M58" s="179">
        <v>0</v>
      </c>
      <c r="N58" s="80">
        <f t="shared" si="28"/>
        <v>0</v>
      </c>
      <c r="O58" s="179">
        <v>0</v>
      </c>
      <c r="P58" s="80">
        <f t="shared" si="29"/>
        <v>0</v>
      </c>
      <c r="Q58" s="179">
        <v>0</v>
      </c>
      <c r="R58" s="80">
        <f t="shared" si="30"/>
        <v>0</v>
      </c>
      <c r="S58" s="179">
        <v>0</v>
      </c>
      <c r="T58" s="80">
        <f t="shared" si="31"/>
        <v>0</v>
      </c>
      <c r="U58" s="179">
        <v>0</v>
      </c>
      <c r="V58" s="80">
        <f t="shared" si="32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3"/>
        <v>0</v>
      </c>
      <c r="E59" s="179">
        <v>0</v>
      </c>
      <c r="F59" s="80">
        <f t="shared" si="24"/>
        <v>0</v>
      </c>
      <c r="G59" s="179">
        <v>0</v>
      </c>
      <c r="H59" s="80">
        <f t="shared" si="25"/>
        <v>0</v>
      </c>
      <c r="I59" s="179">
        <v>0</v>
      </c>
      <c r="J59" s="80">
        <f t="shared" si="26"/>
        <v>0</v>
      </c>
      <c r="K59" s="179">
        <v>0</v>
      </c>
      <c r="L59" s="80">
        <f t="shared" si="27"/>
        <v>0</v>
      </c>
      <c r="M59" s="179">
        <v>0</v>
      </c>
      <c r="N59" s="80">
        <f t="shared" si="28"/>
        <v>0</v>
      </c>
      <c r="O59" s="179">
        <v>0</v>
      </c>
      <c r="P59" s="80">
        <f t="shared" si="29"/>
        <v>0</v>
      </c>
      <c r="Q59" s="179">
        <v>0</v>
      </c>
      <c r="R59" s="80">
        <f t="shared" si="30"/>
        <v>0</v>
      </c>
      <c r="S59" s="179">
        <v>0</v>
      </c>
      <c r="T59" s="80">
        <f t="shared" si="31"/>
        <v>0</v>
      </c>
      <c r="U59" s="179">
        <v>0</v>
      </c>
      <c r="V59" s="80">
        <f t="shared" si="32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3"/>
        <v>0</v>
      </c>
      <c r="E60" s="179">
        <v>0</v>
      </c>
      <c r="F60" s="80">
        <f t="shared" si="24"/>
        <v>0</v>
      </c>
      <c r="G60" s="179">
        <v>0</v>
      </c>
      <c r="H60" s="80">
        <f t="shared" si="25"/>
        <v>0</v>
      </c>
      <c r="I60" s="179">
        <v>0</v>
      </c>
      <c r="J60" s="80">
        <f t="shared" si="26"/>
        <v>0</v>
      </c>
      <c r="K60" s="179">
        <v>0</v>
      </c>
      <c r="L60" s="80">
        <f t="shared" si="27"/>
        <v>0</v>
      </c>
      <c r="M60" s="179">
        <v>0</v>
      </c>
      <c r="N60" s="80">
        <f t="shared" si="28"/>
        <v>0</v>
      </c>
      <c r="O60" s="179">
        <v>0</v>
      </c>
      <c r="P60" s="80">
        <f t="shared" si="29"/>
        <v>0</v>
      </c>
      <c r="Q60" s="179">
        <v>0</v>
      </c>
      <c r="R60" s="80">
        <f t="shared" si="30"/>
        <v>0</v>
      </c>
      <c r="S60" s="179">
        <v>0</v>
      </c>
      <c r="T60" s="80">
        <f t="shared" si="31"/>
        <v>0</v>
      </c>
      <c r="U60" s="179">
        <v>0</v>
      </c>
      <c r="V60" s="80">
        <f t="shared" si="32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3"/>
        <v>0</v>
      </c>
      <c r="E61" s="179">
        <v>0</v>
      </c>
      <c r="F61" s="80">
        <f t="shared" si="24"/>
        <v>0</v>
      </c>
      <c r="G61" s="179">
        <v>0</v>
      </c>
      <c r="H61" s="80">
        <f t="shared" si="25"/>
        <v>0</v>
      </c>
      <c r="I61" s="179">
        <v>0</v>
      </c>
      <c r="J61" s="80">
        <f t="shared" si="26"/>
        <v>0</v>
      </c>
      <c r="K61" s="179">
        <v>0</v>
      </c>
      <c r="L61" s="80">
        <f t="shared" si="27"/>
        <v>0</v>
      </c>
      <c r="M61" s="179">
        <v>0</v>
      </c>
      <c r="N61" s="80">
        <f t="shared" si="28"/>
        <v>0</v>
      </c>
      <c r="O61" s="179">
        <v>0</v>
      </c>
      <c r="P61" s="80">
        <f t="shared" si="29"/>
        <v>0</v>
      </c>
      <c r="Q61" s="179">
        <v>0</v>
      </c>
      <c r="R61" s="80">
        <f t="shared" si="30"/>
        <v>0</v>
      </c>
      <c r="S61" s="179">
        <v>0</v>
      </c>
      <c r="T61" s="80">
        <f t="shared" si="31"/>
        <v>0</v>
      </c>
      <c r="U61" s="179">
        <v>0</v>
      </c>
      <c r="V61" s="80">
        <f t="shared" si="32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3"/>
        <v>0</v>
      </c>
      <c r="E62" s="179">
        <v>0</v>
      </c>
      <c r="F62" s="80">
        <f t="shared" si="24"/>
        <v>0</v>
      </c>
      <c r="G62" s="179">
        <v>0</v>
      </c>
      <c r="H62" s="80">
        <f t="shared" si="25"/>
        <v>0</v>
      </c>
      <c r="I62" s="179">
        <v>0</v>
      </c>
      <c r="J62" s="80">
        <f t="shared" si="26"/>
        <v>0</v>
      </c>
      <c r="K62" s="179">
        <v>0</v>
      </c>
      <c r="L62" s="80">
        <f t="shared" si="27"/>
        <v>0</v>
      </c>
      <c r="M62" s="179">
        <v>0</v>
      </c>
      <c r="N62" s="80">
        <f t="shared" si="28"/>
        <v>0</v>
      </c>
      <c r="O62" s="179">
        <v>0</v>
      </c>
      <c r="P62" s="80">
        <f t="shared" si="29"/>
        <v>0</v>
      </c>
      <c r="Q62" s="179">
        <v>0</v>
      </c>
      <c r="R62" s="80">
        <f t="shared" si="30"/>
        <v>0</v>
      </c>
      <c r="S62" s="179">
        <v>0</v>
      </c>
      <c r="T62" s="80">
        <f t="shared" si="31"/>
        <v>0</v>
      </c>
      <c r="U62" s="179">
        <v>0</v>
      </c>
      <c r="V62" s="80">
        <f t="shared" si="32"/>
        <v>0</v>
      </c>
      <c r="X62" s="200"/>
    </row>
    <row r="63" spans="1:24" ht="12.75" customHeight="1">
      <c r="A63" s="2" t="s">
        <v>394</v>
      </c>
      <c r="B63" s="35"/>
      <c r="C63" s="179">
        <v>0</v>
      </c>
      <c r="D63" s="80">
        <f t="shared" si="23"/>
        <v>0</v>
      </c>
      <c r="E63" s="179">
        <v>6841.9566402768523</v>
      </c>
      <c r="F63" s="80">
        <f t="shared" si="24"/>
        <v>7.7573204538286308E-3</v>
      </c>
      <c r="G63" s="179">
        <v>8087.606412908498</v>
      </c>
      <c r="H63" s="80">
        <f t="shared" si="25"/>
        <v>8.9025454207213289E-3</v>
      </c>
      <c r="I63" s="179">
        <v>8257.3562827172591</v>
      </c>
      <c r="J63" s="80">
        <f t="shared" si="26"/>
        <v>8.8246601500557749E-3</v>
      </c>
      <c r="K63" s="179">
        <v>8243.8846692365278</v>
      </c>
      <c r="L63" s="80">
        <f t="shared" si="27"/>
        <v>8.723032671687685E-3</v>
      </c>
      <c r="M63" s="179">
        <v>8308.8215913798995</v>
      </c>
      <c r="N63" s="80">
        <f t="shared" si="28"/>
        <v>8.7046968648497435E-3</v>
      </c>
      <c r="O63" s="179">
        <v>8374.7328457336243</v>
      </c>
      <c r="P63" s="80">
        <f t="shared" si="29"/>
        <v>8.686879675810168E-3</v>
      </c>
      <c r="Q63" s="179">
        <v>8441.3355570970089</v>
      </c>
      <c r="R63" s="80">
        <f t="shared" si="30"/>
        <v>8.6692721124281037E-3</v>
      </c>
      <c r="S63" s="179">
        <v>8508.3590738742714</v>
      </c>
      <c r="T63" s="80">
        <f t="shared" si="31"/>
        <v>8.6515895315735468E-3</v>
      </c>
      <c r="U63" s="179">
        <v>8903.906129978639</v>
      </c>
      <c r="V63" s="80">
        <f t="shared" si="32"/>
        <v>8.9641537240308933E-3</v>
      </c>
      <c r="X63" s="200"/>
    </row>
    <row r="64" spans="1:24" ht="12.75" customHeight="1">
      <c r="A64" s="2" t="s">
        <v>395</v>
      </c>
      <c r="B64" s="35"/>
      <c r="C64" s="179">
        <v>0</v>
      </c>
      <c r="D64" s="80">
        <f t="shared" si="23"/>
        <v>0</v>
      </c>
      <c r="E64" s="179">
        <v>4233.5999999999995</v>
      </c>
      <c r="F64" s="80">
        <f t="shared" si="24"/>
        <v>4.7999999999999996E-3</v>
      </c>
      <c r="G64" s="179">
        <v>4360.6079999999993</v>
      </c>
      <c r="H64" s="80">
        <f t="shared" si="25"/>
        <v>4.7999999999999996E-3</v>
      </c>
      <c r="I64" s="179">
        <v>4491.4262399999998</v>
      </c>
      <c r="J64" s="80">
        <f t="shared" si="26"/>
        <v>4.7999999999999996E-3</v>
      </c>
      <c r="K64" s="179">
        <v>4536.3405024000003</v>
      </c>
      <c r="L64" s="80">
        <f t="shared" si="27"/>
        <v>4.7999999999999996E-3</v>
      </c>
      <c r="M64" s="179">
        <v>4581.7039074240001</v>
      </c>
      <c r="N64" s="80">
        <f t="shared" si="28"/>
        <v>4.7999999999999996E-3</v>
      </c>
      <c r="O64" s="179">
        <v>4627.5209464982399</v>
      </c>
      <c r="P64" s="80">
        <f t="shared" si="29"/>
        <v>4.7999999999999996E-3</v>
      </c>
      <c r="Q64" s="179">
        <v>4673.7961559632222</v>
      </c>
      <c r="R64" s="80">
        <f t="shared" si="30"/>
        <v>4.7999999999999996E-3</v>
      </c>
      <c r="S64" s="179">
        <v>4720.534117522855</v>
      </c>
      <c r="T64" s="80">
        <f t="shared" si="31"/>
        <v>4.7999999999999996E-3</v>
      </c>
      <c r="U64" s="179">
        <v>4767.7394586980836</v>
      </c>
      <c r="V64" s="80">
        <f t="shared" si="32"/>
        <v>4.7999999999999996E-3</v>
      </c>
      <c r="X64" s="200"/>
    </row>
    <row r="65" spans="1:24" ht="12.75" customHeight="1">
      <c r="A65" s="2" t="s">
        <v>396</v>
      </c>
      <c r="B65" s="35"/>
      <c r="C65" s="179">
        <v>0</v>
      </c>
      <c r="D65" s="80">
        <f t="shared" si="23"/>
        <v>0</v>
      </c>
      <c r="E65" s="179">
        <v>441</v>
      </c>
      <c r="F65" s="80">
        <f t="shared" si="24"/>
        <v>5.0000000000000001E-4</v>
      </c>
      <c r="G65" s="179">
        <v>454.23000000000008</v>
      </c>
      <c r="H65" s="80">
        <f t="shared" si="25"/>
        <v>5.0000000000000012E-4</v>
      </c>
      <c r="I65" s="179">
        <v>467.85690000000005</v>
      </c>
      <c r="J65" s="80">
        <f t="shared" si="26"/>
        <v>5.0000000000000001E-4</v>
      </c>
      <c r="K65" s="179">
        <v>472.53546900000009</v>
      </c>
      <c r="L65" s="80">
        <f t="shared" si="27"/>
        <v>5.0000000000000001E-4</v>
      </c>
      <c r="M65" s="179">
        <v>477.26082369000011</v>
      </c>
      <c r="N65" s="80">
        <f t="shared" si="28"/>
        <v>5.0000000000000001E-4</v>
      </c>
      <c r="O65" s="179">
        <v>482.03343192690005</v>
      </c>
      <c r="P65" s="80">
        <f t="shared" si="29"/>
        <v>5.0000000000000001E-4</v>
      </c>
      <c r="Q65" s="179">
        <v>486.85376624616913</v>
      </c>
      <c r="R65" s="80">
        <f t="shared" si="30"/>
        <v>5.0000000000000012E-4</v>
      </c>
      <c r="S65" s="179">
        <v>491.72230390863075</v>
      </c>
      <c r="T65" s="80">
        <f t="shared" si="31"/>
        <v>5.0000000000000001E-4</v>
      </c>
      <c r="U65" s="179">
        <v>496.63952694771712</v>
      </c>
      <c r="V65" s="80">
        <f t="shared" si="32"/>
        <v>5.0000000000000001E-4</v>
      </c>
      <c r="X65" s="200"/>
    </row>
    <row r="66" spans="1:24" ht="12.75" customHeight="1">
      <c r="A66" s="2" t="s">
        <v>397</v>
      </c>
      <c r="B66" s="35"/>
      <c r="C66" s="179">
        <v>0</v>
      </c>
      <c r="D66" s="80">
        <f t="shared" si="23"/>
        <v>0</v>
      </c>
      <c r="E66" s="179">
        <v>2469.6</v>
      </c>
      <c r="F66" s="80">
        <f t="shared" si="24"/>
        <v>2.8E-3</v>
      </c>
      <c r="G66" s="179">
        <v>2543.6880000000001</v>
      </c>
      <c r="H66" s="80">
        <f t="shared" si="25"/>
        <v>2.8E-3</v>
      </c>
      <c r="I66" s="179">
        <v>2619.9986400000003</v>
      </c>
      <c r="J66" s="80">
        <f t="shared" si="26"/>
        <v>2.8E-3</v>
      </c>
      <c r="K66" s="179">
        <v>2646.1986264000002</v>
      </c>
      <c r="L66" s="80">
        <f t="shared" si="27"/>
        <v>2.8E-3</v>
      </c>
      <c r="M66" s="179">
        <v>2672.6606126640004</v>
      </c>
      <c r="N66" s="80">
        <f t="shared" si="28"/>
        <v>2.8E-3</v>
      </c>
      <c r="O66" s="179">
        <v>2699.38721879064</v>
      </c>
      <c r="P66" s="80">
        <f t="shared" si="29"/>
        <v>2.7999999999999995E-3</v>
      </c>
      <c r="Q66" s="179">
        <v>2726.3810909785466</v>
      </c>
      <c r="R66" s="80">
        <f t="shared" si="30"/>
        <v>2.8E-3</v>
      </c>
      <c r="S66" s="179">
        <v>2753.6449018883322</v>
      </c>
      <c r="T66" s="80">
        <f t="shared" si="31"/>
        <v>2.8E-3</v>
      </c>
      <c r="U66" s="179">
        <v>2781.1813509072158</v>
      </c>
      <c r="V66" s="80">
        <f t="shared" si="32"/>
        <v>2.8000000000000004E-3</v>
      </c>
      <c r="X66" s="200"/>
    </row>
    <row r="67" spans="1:24" ht="12.75" customHeight="1">
      <c r="A67" s="2" t="s">
        <v>398</v>
      </c>
      <c r="B67" s="35"/>
      <c r="C67" s="179">
        <v>0</v>
      </c>
      <c r="D67" s="80">
        <f t="shared" si="23"/>
        <v>0</v>
      </c>
      <c r="E67" s="179">
        <v>13230</v>
      </c>
      <c r="F67" s="80">
        <f t="shared" si="24"/>
        <v>1.4999999999999999E-2</v>
      </c>
      <c r="G67" s="179">
        <v>13626.9</v>
      </c>
      <c r="H67" s="80">
        <f t="shared" si="25"/>
        <v>1.4999999999999999E-2</v>
      </c>
      <c r="I67" s="179">
        <v>14035.707</v>
      </c>
      <c r="J67" s="80">
        <f t="shared" si="26"/>
        <v>1.4999999999999999E-2</v>
      </c>
      <c r="K67" s="179">
        <v>14176.064070000002</v>
      </c>
      <c r="L67" s="80">
        <f t="shared" si="27"/>
        <v>1.5000000000000001E-2</v>
      </c>
      <c r="M67" s="179">
        <v>14317.824710700002</v>
      </c>
      <c r="N67" s="80">
        <f t="shared" si="28"/>
        <v>1.5000000000000001E-2</v>
      </c>
      <c r="O67" s="179">
        <v>14461.002957807001</v>
      </c>
      <c r="P67" s="80">
        <f t="shared" si="29"/>
        <v>1.4999999999999999E-2</v>
      </c>
      <c r="Q67" s="179">
        <v>14605.612987385073</v>
      </c>
      <c r="R67" s="80">
        <f t="shared" si="30"/>
        <v>1.5000000000000001E-2</v>
      </c>
      <c r="S67" s="179">
        <v>14751.669117258922</v>
      </c>
      <c r="T67" s="80">
        <f t="shared" si="31"/>
        <v>1.4999999999999999E-2</v>
      </c>
      <c r="U67" s="179">
        <v>14899.185808431512</v>
      </c>
      <c r="V67" s="80">
        <f t="shared" si="32"/>
        <v>1.4999999999999999E-2</v>
      </c>
      <c r="X67" s="200"/>
    </row>
    <row r="68" spans="1:24" ht="12.75" customHeight="1">
      <c r="A68" s="2" t="s">
        <v>399</v>
      </c>
      <c r="B68" s="35"/>
      <c r="C68" s="179">
        <v>0</v>
      </c>
      <c r="D68" s="80">
        <f t="shared" si="23"/>
        <v>0</v>
      </c>
      <c r="E68" s="179">
        <v>1499.3999999999999</v>
      </c>
      <c r="F68" s="80">
        <f t="shared" si="24"/>
        <v>1.6999999999999999E-3</v>
      </c>
      <c r="G68" s="179">
        <v>1544.3820000000001</v>
      </c>
      <c r="H68" s="80">
        <f t="shared" si="25"/>
        <v>1.7000000000000001E-3</v>
      </c>
      <c r="I68" s="179">
        <v>1590.7134600000002</v>
      </c>
      <c r="J68" s="80">
        <f t="shared" si="26"/>
        <v>1.7000000000000001E-3</v>
      </c>
      <c r="K68" s="179">
        <v>1606.6205946000002</v>
      </c>
      <c r="L68" s="80">
        <f t="shared" si="27"/>
        <v>1.7000000000000001E-3</v>
      </c>
      <c r="M68" s="179">
        <v>1622.6868005460001</v>
      </c>
      <c r="N68" s="80">
        <f t="shared" si="28"/>
        <v>1.6999999999999999E-3</v>
      </c>
      <c r="O68" s="179">
        <v>1638.9136685514602</v>
      </c>
      <c r="P68" s="80">
        <f t="shared" si="29"/>
        <v>1.7000000000000001E-3</v>
      </c>
      <c r="Q68" s="179">
        <v>1655.302805236975</v>
      </c>
      <c r="R68" s="80">
        <f t="shared" si="30"/>
        <v>1.7000000000000003E-3</v>
      </c>
      <c r="S68" s="179">
        <v>1671.8558332893444</v>
      </c>
      <c r="T68" s="80">
        <f t="shared" si="31"/>
        <v>1.6999999999999999E-3</v>
      </c>
      <c r="U68" s="179">
        <v>1688.574391622238</v>
      </c>
      <c r="V68" s="80">
        <f t="shared" si="32"/>
        <v>1.6999999999999999E-3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3"/>
        <v>0</v>
      </c>
      <c r="E69" s="179">
        <v>0</v>
      </c>
      <c r="F69" s="80">
        <f t="shared" si="24"/>
        <v>0</v>
      </c>
      <c r="G69" s="179">
        <v>0</v>
      </c>
      <c r="H69" s="80">
        <f t="shared" si="25"/>
        <v>0</v>
      </c>
      <c r="I69" s="179">
        <v>0</v>
      </c>
      <c r="J69" s="80">
        <f t="shared" si="26"/>
        <v>0</v>
      </c>
      <c r="K69" s="179">
        <v>0</v>
      </c>
      <c r="L69" s="80">
        <f t="shared" si="27"/>
        <v>0</v>
      </c>
      <c r="M69" s="179">
        <v>0</v>
      </c>
      <c r="N69" s="80">
        <f t="shared" si="28"/>
        <v>0</v>
      </c>
      <c r="O69" s="179">
        <v>0</v>
      </c>
      <c r="P69" s="80">
        <f t="shared" si="29"/>
        <v>0</v>
      </c>
      <c r="Q69" s="179">
        <v>0</v>
      </c>
      <c r="R69" s="80">
        <f t="shared" si="30"/>
        <v>0</v>
      </c>
      <c r="S69" s="179">
        <v>0</v>
      </c>
      <c r="T69" s="80">
        <f t="shared" si="31"/>
        <v>0</v>
      </c>
      <c r="U69" s="179">
        <v>0</v>
      </c>
      <c r="V69" s="80">
        <f t="shared" si="32"/>
        <v>0</v>
      </c>
      <c r="X69" s="200"/>
    </row>
    <row r="70" spans="1:24" ht="12.75" customHeight="1">
      <c r="A70" s="2" t="s">
        <v>401</v>
      </c>
      <c r="B70" s="35"/>
      <c r="C70" s="179">
        <v>0</v>
      </c>
      <c r="D70" s="80">
        <f t="shared" si="23"/>
        <v>0</v>
      </c>
      <c r="E70" s="179">
        <v>88.2</v>
      </c>
      <c r="F70" s="80">
        <f t="shared" si="24"/>
        <v>1E-4</v>
      </c>
      <c r="G70" s="179">
        <v>90.846000000000004</v>
      </c>
      <c r="H70" s="80">
        <f t="shared" si="25"/>
        <v>1E-4</v>
      </c>
      <c r="I70" s="179">
        <v>93.571380000000019</v>
      </c>
      <c r="J70" s="80">
        <f t="shared" si="26"/>
        <v>1.0000000000000002E-4</v>
      </c>
      <c r="K70" s="179">
        <v>94.507093800000021</v>
      </c>
      <c r="L70" s="80">
        <f t="shared" si="27"/>
        <v>1.0000000000000002E-4</v>
      </c>
      <c r="M70" s="179">
        <v>95.452164738000022</v>
      </c>
      <c r="N70" s="80">
        <f t="shared" si="28"/>
        <v>1.0000000000000002E-4</v>
      </c>
      <c r="O70" s="179">
        <v>96.406686385380027</v>
      </c>
      <c r="P70" s="80">
        <f t="shared" si="29"/>
        <v>1.0000000000000002E-4</v>
      </c>
      <c r="Q70" s="179">
        <v>97.370753249233829</v>
      </c>
      <c r="R70" s="80">
        <f t="shared" si="30"/>
        <v>1.0000000000000002E-4</v>
      </c>
      <c r="S70" s="179">
        <v>98.344460781726156</v>
      </c>
      <c r="T70" s="80">
        <f t="shared" si="31"/>
        <v>1E-4</v>
      </c>
      <c r="U70" s="179">
        <v>99.327905389543432</v>
      </c>
      <c r="V70" s="80">
        <f t="shared" si="32"/>
        <v>1.0000000000000002E-4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3"/>
        <v>0</v>
      </c>
      <c r="E71" s="179">
        <v>0</v>
      </c>
      <c r="F71" s="80">
        <f t="shared" si="24"/>
        <v>0</v>
      </c>
      <c r="G71" s="179">
        <v>0</v>
      </c>
      <c r="H71" s="80">
        <f t="shared" si="25"/>
        <v>0</v>
      </c>
      <c r="I71" s="179">
        <v>0</v>
      </c>
      <c r="J71" s="80">
        <f t="shared" si="26"/>
        <v>0</v>
      </c>
      <c r="K71" s="179">
        <v>0</v>
      </c>
      <c r="L71" s="80">
        <f t="shared" si="27"/>
        <v>0</v>
      </c>
      <c r="M71" s="179">
        <v>0</v>
      </c>
      <c r="N71" s="80">
        <f t="shared" si="28"/>
        <v>0</v>
      </c>
      <c r="O71" s="179">
        <v>0</v>
      </c>
      <c r="P71" s="80">
        <f t="shared" si="29"/>
        <v>0</v>
      </c>
      <c r="Q71" s="179">
        <v>0</v>
      </c>
      <c r="R71" s="80">
        <f t="shared" si="30"/>
        <v>0</v>
      </c>
      <c r="S71" s="179">
        <v>0</v>
      </c>
      <c r="T71" s="80">
        <f t="shared" si="31"/>
        <v>0</v>
      </c>
      <c r="U71" s="179">
        <v>0</v>
      </c>
      <c r="V71" s="80">
        <f t="shared" si="32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3"/>
        <v>0</v>
      </c>
      <c r="E72" s="179">
        <v>0</v>
      </c>
      <c r="F72" s="80">
        <f t="shared" si="24"/>
        <v>0</v>
      </c>
      <c r="G72" s="179">
        <v>0</v>
      </c>
      <c r="H72" s="80">
        <f t="shared" si="25"/>
        <v>0</v>
      </c>
      <c r="I72" s="179">
        <v>0</v>
      </c>
      <c r="J72" s="80">
        <f t="shared" si="26"/>
        <v>0</v>
      </c>
      <c r="K72" s="179">
        <v>0</v>
      </c>
      <c r="L72" s="80">
        <f t="shared" si="27"/>
        <v>0</v>
      </c>
      <c r="M72" s="179">
        <v>0</v>
      </c>
      <c r="N72" s="80">
        <f t="shared" si="28"/>
        <v>0</v>
      </c>
      <c r="O72" s="179">
        <v>0</v>
      </c>
      <c r="P72" s="80">
        <f t="shared" si="29"/>
        <v>0</v>
      </c>
      <c r="Q72" s="179">
        <v>0</v>
      </c>
      <c r="R72" s="80">
        <f t="shared" si="30"/>
        <v>0</v>
      </c>
      <c r="S72" s="179">
        <v>0</v>
      </c>
      <c r="T72" s="80">
        <f t="shared" si="31"/>
        <v>0</v>
      </c>
      <c r="U72" s="179">
        <v>0</v>
      </c>
      <c r="V72" s="80">
        <f t="shared" si="32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3"/>
        <v>0</v>
      </c>
      <c r="E73" s="179">
        <v>0</v>
      </c>
      <c r="F73" s="80">
        <f t="shared" si="24"/>
        <v>0</v>
      </c>
      <c r="G73" s="179">
        <v>0</v>
      </c>
      <c r="H73" s="80">
        <f t="shared" si="25"/>
        <v>0</v>
      </c>
      <c r="I73" s="179">
        <v>0</v>
      </c>
      <c r="J73" s="80">
        <f t="shared" si="26"/>
        <v>0</v>
      </c>
      <c r="K73" s="179">
        <v>0</v>
      </c>
      <c r="L73" s="80">
        <f t="shared" si="27"/>
        <v>0</v>
      </c>
      <c r="M73" s="179">
        <v>0</v>
      </c>
      <c r="N73" s="80">
        <f t="shared" si="28"/>
        <v>0</v>
      </c>
      <c r="O73" s="179">
        <v>0</v>
      </c>
      <c r="P73" s="80">
        <f t="shared" si="29"/>
        <v>0</v>
      </c>
      <c r="Q73" s="179">
        <v>0</v>
      </c>
      <c r="R73" s="80">
        <f t="shared" si="30"/>
        <v>0</v>
      </c>
      <c r="S73" s="179">
        <v>0</v>
      </c>
      <c r="T73" s="80">
        <f t="shared" si="31"/>
        <v>0</v>
      </c>
      <c r="U73" s="179">
        <v>0</v>
      </c>
      <c r="V73" s="80">
        <f t="shared" si="32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3"/>
        <v>0</v>
      </c>
      <c r="E74" s="179">
        <v>0</v>
      </c>
      <c r="F74" s="80">
        <f t="shared" si="24"/>
        <v>0</v>
      </c>
      <c r="G74" s="179">
        <v>0</v>
      </c>
      <c r="H74" s="80">
        <f t="shared" si="25"/>
        <v>0</v>
      </c>
      <c r="I74" s="179">
        <v>0</v>
      </c>
      <c r="J74" s="80">
        <f t="shared" si="26"/>
        <v>0</v>
      </c>
      <c r="K74" s="179">
        <v>0</v>
      </c>
      <c r="L74" s="80">
        <f t="shared" si="27"/>
        <v>0</v>
      </c>
      <c r="M74" s="179">
        <v>0</v>
      </c>
      <c r="N74" s="80">
        <f t="shared" si="28"/>
        <v>0</v>
      </c>
      <c r="O74" s="179">
        <v>0</v>
      </c>
      <c r="P74" s="80">
        <f t="shared" si="29"/>
        <v>0</v>
      </c>
      <c r="Q74" s="179">
        <v>0</v>
      </c>
      <c r="R74" s="80">
        <f t="shared" si="30"/>
        <v>0</v>
      </c>
      <c r="S74" s="179">
        <v>0</v>
      </c>
      <c r="T74" s="80">
        <f t="shared" si="31"/>
        <v>0</v>
      </c>
      <c r="U74" s="179">
        <v>0</v>
      </c>
      <c r="V74" s="80">
        <f t="shared" si="32"/>
        <v>0</v>
      </c>
      <c r="X74" s="200"/>
    </row>
    <row r="75" spans="1:24" ht="12.75" customHeight="1">
      <c r="A75" s="2" t="s">
        <v>406</v>
      </c>
      <c r="B75" s="35"/>
      <c r="C75" s="179">
        <v>0</v>
      </c>
      <c r="D75" s="80">
        <f t="shared" si="23"/>
        <v>0</v>
      </c>
      <c r="E75" s="179">
        <v>4410</v>
      </c>
      <c r="F75" s="80">
        <f t="shared" si="24"/>
        <v>5.0000000000000001E-3</v>
      </c>
      <c r="G75" s="179">
        <v>4542.3</v>
      </c>
      <c r="H75" s="80">
        <f t="shared" si="25"/>
        <v>5.0000000000000001E-3</v>
      </c>
      <c r="I75" s="179">
        <v>4678.5690000000004</v>
      </c>
      <c r="J75" s="80">
        <f t="shared" si="26"/>
        <v>5.0000000000000001E-3</v>
      </c>
      <c r="K75" s="179">
        <v>4725.354690000001</v>
      </c>
      <c r="L75" s="80">
        <f t="shared" si="27"/>
        <v>5.000000000000001E-3</v>
      </c>
      <c r="M75" s="179">
        <v>4772.6082369000005</v>
      </c>
      <c r="N75" s="80">
        <f t="shared" si="28"/>
        <v>5.0000000000000001E-3</v>
      </c>
      <c r="O75" s="179">
        <v>4820.3343192690008</v>
      </c>
      <c r="P75" s="80">
        <f t="shared" si="29"/>
        <v>5.0000000000000001E-3</v>
      </c>
      <c r="Q75" s="179">
        <v>4868.5376624616911</v>
      </c>
      <c r="R75" s="80">
        <f t="shared" si="30"/>
        <v>5.000000000000001E-3</v>
      </c>
      <c r="S75" s="179">
        <v>4917.2230390863078</v>
      </c>
      <c r="T75" s="80">
        <f t="shared" si="31"/>
        <v>5.0000000000000001E-3</v>
      </c>
      <c r="U75" s="179">
        <v>4966.3952694771706</v>
      </c>
      <c r="V75" s="80">
        <f t="shared" si="32"/>
        <v>5.0000000000000001E-3</v>
      </c>
      <c r="X75" s="200"/>
    </row>
    <row r="76" spans="1:24" ht="12.75" customHeight="1">
      <c r="A76" s="2" t="s">
        <v>407</v>
      </c>
      <c r="B76" s="35"/>
      <c r="C76" s="179">
        <v>0</v>
      </c>
      <c r="D76" s="80">
        <f t="shared" si="23"/>
        <v>0</v>
      </c>
      <c r="E76" s="179">
        <v>352.8</v>
      </c>
      <c r="F76" s="80">
        <f t="shared" si="24"/>
        <v>4.0000000000000002E-4</v>
      </c>
      <c r="G76" s="179">
        <v>363.38400000000001</v>
      </c>
      <c r="H76" s="80">
        <f t="shared" si="25"/>
        <v>4.0000000000000002E-4</v>
      </c>
      <c r="I76" s="179">
        <v>374.28552000000008</v>
      </c>
      <c r="J76" s="80">
        <f t="shared" si="26"/>
        <v>4.0000000000000007E-4</v>
      </c>
      <c r="K76" s="179">
        <v>378.02837520000008</v>
      </c>
      <c r="L76" s="80">
        <f t="shared" si="27"/>
        <v>4.0000000000000007E-4</v>
      </c>
      <c r="M76" s="179">
        <v>381.80865895200009</v>
      </c>
      <c r="N76" s="80">
        <f t="shared" si="28"/>
        <v>4.0000000000000007E-4</v>
      </c>
      <c r="O76" s="179">
        <v>385.62674554152011</v>
      </c>
      <c r="P76" s="80">
        <f t="shared" si="29"/>
        <v>4.0000000000000007E-4</v>
      </c>
      <c r="Q76" s="179">
        <v>389.48301299693532</v>
      </c>
      <c r="R76" s="80">
        <f t="shared" si="30"/>
        <v>4.0000000000000007E-4</v>
      </c>
      <c r="S76" s="179">
        <v>393.37784312690462</v>
      </c>
      <c r="T76" s="80">
        <f t="shared" si="31"/>
        <v>4.0000000000000002E-4</v>
      </c>
      <c r="U76" s="179">
        <v>397.31162155817373</v>
      </c>
      <c r="V76" s="80">
        <f t="shared" si="32"/>
        <v>4.0000000000000007E-4</v>
      </c>
      <c r="X76" s="200"/>
    </row>
    <row r="77" spans="1:24" ht="12.75" customHeight="1">
      <c r="A77" s="2" t="s">
        <v>408</v>
      </c>
      <c r="B77" s="35"/>
      <c r="C77" s="179">
        <v>0</v>
      </c>
      <c r="D77" s="80">
        <f t="shared" si="23"/>
        <v>0</v>
      </c>
      <c r="E77" s="179">
        <v>1146.5999999999999</v>
      </c>
      <c r="F77" s="80">
        <f t="shared" si="24"/>
        <v>1.2999999999999999E-3</v>
      </c>
      <c r="G77" s="179">
        <v>1180.9979999999998</v>
      </c>
      <c r="H77" s="80">
        <f t="shared" si="25"/>
        <v>1.2999999999999997E-3</v>
      </c>
      <c r="I77" s="179">
        <v>1216.42794</v>
      </c>
      <c r="J77" s="80">
        <f t="shared" si="26"/>
        <v>1.2999999999999999E-3</v>
      </c>
      <c r="K77" s="179">
        <v>1228.5922194</v>
      </c>
      <c r="L77" s="80">
        <f t="shared" si="27"/>
        <v>1.2999999999999999E-3</v>
      </c>
      <c r="M77" s="179">
        <v>1240.8781415940002</v>
      </c>
      <c r="N77" s="80">
        <f t="shared" si="28"/>
        <v>1.3000000000000002E-3</v>
      </c>
      <c r="O77" s="179">
        <v>1253.28692300994</v>
      </c>
      <c r="P77" s="80">
        <f t="shared" si="29"/>
        <v>1.2999999999999999E-3</v>
      </c>
      <c r="Q77" s="179">
        <v>1265.8197922400395</v>
      </c>
      <c r="R77" s="80">
        <f t="shared" si="30"/>
        <v>1.2999999999999999E-3</v>
      </c>
      <c r="S77" s="179">
        <v>1278.4779901624399</v>
      </c>
      <c r="T77" s="80">
        <f t="shared" si="31"/>
        <v>1.2999999999999999E-3</v>
      </c>
      <c r="U77" s="179">
        <v>1291.2627700640644</v>
      </c>
      <c r="V77" s="80">
        <f t="shared" si="32"/>
        <v>1.2999999999999999E-3</v>
      </c>
      <c r="X77" s="200"/>
    </row>
    <row r="78" spans="1:24" ht="12.75" customHeight="1">
      <c r="A78" s="2" t="s">
        <v>409</v>
      </c>
      <c r="B78" s="35"/>
      <c r="C78" s="179">
        <v>0</v>
      </c>
      <c r="D78" s="80">
        <f t="shared" si="23"/>
        <v>0</v>
      </c>
      <c r="E78" s="179">
        <v>19404</v>
      </c>
      <c r="F78" s="80">
        <f t="shared" si="24"/>
        <v>2.1999999999999999E-2</v>
      </c>
      <c r="G78" s="179">
        <v>19986.12</v>
      </c>
      <c r="H78" s="80">
        <f t="shared" si="25"/>
        <v>2.1999999999999999E-2</v>
      </c>
      <c r="I78" s="179">
        <v>20585.703600000001</v>
      </c>
      <c r="J78" s="80">
        <f t="shared" si="26"/>
        <v>2.1999999999999999E-2</v>
      </c>
      <c r="K78" s="179">
        <v>20791.560636000002</v>
      </c>
      <c r="L78" s="80">
        <f t="shared" si="27"/>
        <v>2.1999999999999999E-2</v>
      </c>
      <c r="M78" s="179">
        <v>20999.476242360004</v>
      </c>
      <c r="N78" s="80">
        <f t="shared" si="28"/>
        <v>2.2000000000000002E-2</v>
      </c>
      <c r="O78" s="179">
        <v>21209.471004783602</v>
      </c>
      <c r="P78" s="80">
        <f t="shared" si="29"/>
        <v>2.1999999999999999E-2</v>
      </c>
      <c r="Q78" s="179">
        <v>21421.565714831439</v>
      </c>
      <c r="R78" s="80">
        <f t="shared" si="30"/>
        <v>2.1999999999999999E-2</v>
      </c>
      <c r="S78" s="179">
        <v>21635.781371979752</v>
      </c>
      <c r="T78" s="80">
        <f t="shared" si="31"/>
        <v>2.1999999999999999E-2</v>
      </c>
      <c r="U78" s="179">
        <v>21852.139185699554</v>
      </c>
      <c r="V78" s="80">
        <f t="shared" si="32"/>
        <v>2.2000000000000002E-2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3"/>
        <v>0</v>
      </c>
      <c r="E79" s="179">
        <v>0</v>
      </c>
      <c r="F79" s="80">
        <f t="shared" si="24"/>
        <v>0</v>
      </c>
      <c r="G79" s="179">
        <v>0</v>
      </c>
      <c r="H79" s="80">
        <f t="shared" si="25"/>
        <v>0</v>
      </c>
      <c r="I79" s="179">
        <v>0</v>
      </c>
      <c r="J79" s="80">
        <f t="shared" si="26"/>
        <v>0</v>
      </c>
      <c r="K79" s="179">
        <v>0</v>
      </c>
      <c r="L79" s="80">
        <f t="shared" si="27"/>
        <v>0</v>
      </c>
      <c r="M79" s="179">
        <v>0</v>
      </c>
      <c r="N79" s="80">
        <f t="shared" si="28"/>
        <v>0</v>
      </c>
      <c r="O79" s="179">
        <v>0</v>
      </c>
      <c r="P79" s="80">
        <f t="shared" si="29"/>
        <v>0</v>
      </c>
      <c r="Q79" s="179">
        <v>0</v>
      </c>
      <c r="R79" s="80">
        <f t="shared" si="30"/>
        <v>0</v>
      </c>
      <c r="S79" s="179">
        <v>0</v>
      </c>
      <c r="T79" s="80">
        <f t="shared" si="31"/>
        <v>0</v>
      </c>
      <c r="U79" s="179">
        <v>0</v>
      </c>
      <c r="V79" s="80">
        <f t="shared" si="32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3"/>
        <v>0</v>
      </c>
      <c r="E80" s="179">
        <v>0</v>
      </c>
      <c r="F80" s="80">
        <f t="shared" si="24"/>
        <v>0</v>
      </c>
      <c r="G80" s="179">
        <v>0</v>
      </c>
      <c r="H80" s="80">
        <f t="shared" si="25"/>
        <v>0</v>
      </c>
      <c r="I80" s="179">
        <v>0</v>
      </c>
      <c r="J80" s="80">
        <f t="shared" si="26"/>
        <v>0</v>
      </c>
      <c r="K80" s="179">
        <v>0</v>
      </c>
      <c r="L80" s="80">
        <f t="shared" si="27"/>
        <v>0</v>
      </c>
      <c r="M80" s="179">
        <v>0</v>
      </c>
      <c r="N80" s="80">
        <f t="shared" si="28"/>
        <v>0</v>
      </c>
      <c r="O80" s="179">
        <v>0</v>
      </c>
      <c r="P80" s="80">
        <f t="shared" si="29"/>
        <v>0</v>
      </c>
      <c r="Q80" s="179">
        <v>0</v>
      </c>
      <c r="R80" s="80">
        <f t="shared" si="30"/>
        <v>0</v>
      </c>
      <c r="S80" s="179">
        <v>0</v>
      </c>
      <c r="T80" s="80">
        <f t="shared" si="31"/>
        <v>0</v>
      </c>
      <c r="U80" s="179">
        <v>0</v>
      </c>
      <c r="V80" s="80">
        <f t="shared" si="32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3"/>
        <v>0</v>
      </c>
      <c r="E81" s="179">
        <v>0</v>
      </c>
      <c r="F81" s="80">
        <f t="shared" si="24"/>
        <v>0</v>
      </c>
      <c r="G81" s="179">
        <v>0</v>
      </c>
      <c r="H81" s="80">
        <f t="shared" si="25"/>
        <v>0</v>
      </c>
      <c r="I81" s="179">
        <v>0</v>
      </c>
      <c r="J81" s="80">
        <f t="shared" si="26"/>
        <v>0</v>
      </c>
      <c r="K81" s="179">
        <v>0</v>
      </c>
      <c r="L81" s="80">
        <f t="shared" si="27"/>
        <v>0</v>
      </c>
      <c r="M81" s="179">
        <v>0</v>
      </c>
      <c r="N81" s="80">
        <f t="shared" si="28"/>
        <v>0</v>
      </c>
      <c r="O81" s="179">
        <v>0</v>
      </c>
      <c r="P81" s="80">
        <f t="shared" si="29"/>
        <v>0</v>
      </c>
      <c r="Q81" s="179">
        <v>0</v>
      </c>
      <c r="R81" s="80">
        <f t="shared" si="30"/>
        <v>0</v>
      </c>
      <c r="S81" s="179">
        <v>0</v>
      </c>
      <c r="T81" s="80">
        <f t="shared" si="31"/>
        <v>0</v>
      </c>
      <c r="U81" s="179">
        <v>0</v>
      </c>
      <c r="V81" s="80">
        <f t="shared" si="32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3"/>
        <v>0</v>
      </c>
      <c r="E82" s="179">
        <v>0</v>
      </c>
      <c r="F82" s="80">
        <f t="shared" si="24"/>
        <v>0</v>
      </c>
      <c r="G82" s="179">
        <v>0</v>
      </c>
      <c r="H82" s="80">
        <f t="shared" si="25"/>
        <v>0</v>
      </c>
      <c r="I82" s="179">
        <v>0</v>
      </c>
      <c r="J82" s="80">
        <f t="shared" si="26"/>
        <v>0</v>
      </c>
      <c r="K82" s="179">
        <v>0</v>
      </c>
      <c r="L82" s="80">
        <f t="shared" si="27"/>
        <v>0</v>
      </c>
      <c r="M82" s="179">
        <v>0</v>
      </c>
      <c r="N82" s="80">
        <f t="shared" si="28"/>
        <v>0</v>
      </c>
      <c r="O82" s="179">
        <v>0</v>
      </c>
      <c r="P82" s="80">
        <f t="shared" si="29"/>
        <v>0</v>
      </c>
      <c r="Q82" s="179">
        <v>0</v>
      </c>
      <c r="R82" s="80">
        <f t="shared" si="30"/>
        <v>0</v>
      </c>
      <c r="S82" s="179">
        <v>0</v>
      </c>
      <c r="T82" s="80">
        <f t="shared" si="31"/>
        <v>0</v>
      </c>
      <c r="U82" s="179">
        <v>0</v>
      </c>
      <c r="V82" s="80">
        <f t="shared" si="32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3"/>
        <v>0</v>
      </c>
      <c r="E83" s="179">
        <v>0</v>
      </c>
      <c r="F83" s="80">
        <f t="shared" si="24"/>
        <v>0</v>
      </c>
      <c r="G83" s="179">
        <v>0</v>
      </c>
      <c r="H83" s="80">
        <f t="shared" si="25"/>
        <v>0</v>
      </c>
      <c r="I83" s="179">
        <v>0</v>
      </c>
      <c r="J83" s="80">
        <f t="shared" si="26"/>
        <v>0</v>
      </c>
      <c r="K83" s="179">
        <v>0</v>
      </c>
      <c r="L83" s="80">
        <f t="shared" si="27"/>
        <v>0</v>
      </c>
      <c r="M83" s="179">
        <v>0</v>
      </c>
      <c r="N83" s="80">
        <f t="shared" si="28"/>
        <v>0</v>
      </c>
      <c r="O83" s="179">
        <v>0</v>
      </c>
      <c r="P83" s="80">
        <f t="shared" si="29"/>
        <v>0</v>
      </c>
      <c r="Q83" s="179">
        <v>0</v>
      </c>
      <c r="R83" s="80">
        <f t="shared" si="30"/>
        <v>0</v>
      </c>
      <c r="S83" s="179">
        <v>0</v>
      </c>
      <c r="T83" s="80">
        <f t="shared" si="31"/>
        <v>0</v>
      </c>
      <c r="U83" s="179">
        <v>0</v>
      </c>
      <c r="V83" s="80">
        <f t="shared" si="32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3"/>
        <v>0</v>
      </c>
      <c r="E84" s="179">
        <v>0</v>
      </c>
      <c r="F84" s="80">
        <f t="shared" si="24"/>
        <v>0</v>
      </c>
      <c r="G84" s="179">
        <v>0</v>
      </c>
      <c r="H84" s="80">
        <f t="shared" si="25"/>
        <v>0</v>
      </c>
      <c r="I84" s="179">
        <v>0</v>
      </c>
      <c r="J84" s="80">
        <f t="shared" si="26"/>
        <v>0</v>
      </c>
      <c r="K84" s="179">
        <v>0</v>
      </c>
      <c r="L84" s="80">
        <f t="shared" si="27"/>
        <v>0</v>
      </c>
      <c r="M84" s="179">
        <v>0</v>
      </c>
      <c r="N84" s="80">
        <f t="shared" si="28"/>
        <v>0</v>
      </c>
      <c r="O84" s="179">
        <v>0</v>
      </c>
      <c r="P84" s="80">
        <f t="shared" si="29"/>
        <v>0</v>
      </c>
      <c r="Q84" s="179">
        <v>0</v>
      </c>
      <c r="R84" s="80">
        <f t="shared" si="30"/>
        <v>0</v>
      </c>
      <c r="S84" s="179">
        <v>0</v>
      </c>
      <c r="T84" s="80">
        <f t="shared" si="31"/>
        <v>0</v>
      </c>
      <c r="U84" s="179">
        <v>0</v>
      </c>
      <c r="V84" s="80">
        <f t="shared" si="32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3"/>
        <v>0</v>
      </c>
      <c r="E85" s="179">
        <v>0</v>
      </c>
      <c r="F85" s="80">
        <f t="shared" si="24"/>
        <v>0</v>
      </c>
      <c r="G85" s="179">
        <v>0</v>
      </c>
      <c r="H85" s="80">
        <f t="shared" si="25"/>
        <v>0</v>
      </c>
      <c r="I85" s="179">
        <v>0</v>
      </c>
      <c r="J85" s="80">
        <f t="shared" si="26"/>
        <v>0</v>
      </c>
      <c r="K85" s="179">
        <v>0</v>
      </c>
      <c r="L85" s="80">
        <f t="shared" si="27"/>
        <v>0</v>
      </c>
      <c r="M85" s="179">
        <v>0</v>
      </c>
      <c r="N85" s="80">
        <f t="shared" si="28"/>
        <v>0</v>
      </c>
      <c r="O85" s="179">
        <v>0</v>
      </c>
      <c r="P85" s="80">
        <f t="shared" si="29"/>
        <v>0</v>
      </c>
      <c r="Q85" s="179">
        <v>0</v>
      </c>
      <c r="R85" s="80">
        <f t="shared" si="30"/>
        <v>0</v>
      </c>
      <c r="S85" s="179">
        <v>0</v>
      </c>
      <c r="T85" s="80">
        <f t="shared" si="31"/>
        <v>0</v>
      </c>
      <c r="U85" s="179">
        <v>0</v>
      </c>
      <c r="V85" s="80">
        <f t="shared" si="32"/>
        <v>0</v>
      </c>
      <c r="X85" s="200"/>
    </row>
    <row r="86" spans="1:24" ht="12.75" customHeight="1">
      <c r="A86" s="2" t="s">
        <v>417</v>
      </c>
      <c r="B86" s="35"/>
      <c r="C86" s="179">
        <v>0</v>
      </c>
      <c r="D86" s="80">
        <f t="shared" si="23"/>
        <v>0</v>
      </c>
      <c r="E86" s="179">
        <v>3528</v>
      </c>
      <c r="F86" s="80">
        <f t="shared" si="24"/>
        <v>4.0000000000000001E-3</v>
      </c>
      <c r="G86" s="179">
        <v>3633.8400000000006</v>
      </c>
      <c r="H86" s="80">
        <f t="shared" si="25"/>
        <v>4.000000000000001E-3</v>
      </c>
      <c r="I86" s="179">
        <v>3742.8552000000004</v>
      </c>
      <c r="J86" s="80">
        <f t="shared" si="26"/>
        <v>4.0000000000000001E-3</v>
      </c>
      <c r="K86" s="179">
        <v>3780.2837520000007</v>
      </c>
      <c r="L86" s="80">
        <f t="shared" si="27"/>
        <v>4.0000000000000001E-3</v>
      </c>
      <c r="M86" s="179">
        <v>3818.0865895200009</v>
      </c>
      <c r="N86" s="80">
        <f t="shared" si="28"/>
        <v>4.0000000000000001E-3</v>
      </c>
      <c r="O86" s="179">
        <v>3856.2674554152004</v>
      </c>
      <c r="P86" s="80">
        <f t="shared" si="29"/>
        <v>4.0000000000000001E-3</v>
      </c>
      <c r="Q86" s="179">
        <v>3894.830129969353</v>
      </c>
      <c r="R86" s="80">
        <f t="shared" si="30"/>
        <v>4.000000000000001E-3</v>
      </c>
      <c r="S86" s="179">
        <v>3933.778431269046</v>
      </c>
      <c r="T86" s="80">
        <f t="shared" si="31"/>
        <v>4.0000000000000001E-3</v>
      </c>
      <c r="U86" s="179">
        <v>3973.1162155817369</v>
      </c>
      <c r="V86" s="80">
        <f t="shared" si="32"/>
        <v>4.0000000000000001E-3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3"/>
        <v>0</v>
      </c>
      <c r="E87" s="179">
        <v>0</v>
      </c>
      <c r="F87" s="80">
        <f t="shared" si="24"/>
        <v>0</v>
      </c>
      <c r="G87" s="179">
        <v>0</v>
      </c>
      <c r="H87" s="80">
        <f t="shared" si="25"/>
        <v>0</v>
      </c>
      <c r="I87" s="179">
        <v>0</v>
      </c>
      <c r="J87" s="80">
        <f t="shared" si="26"/>
        <v>0</v>
      </c>
      <c r="K87" s="179">
        <v>0</v>
      </c>
      <c r="L87" s="80">
        <f t="shared" si="27"/>
        <v>0</v>
      </c>
      <c r="M87" s="179">
        <v>0</v>
      </c>
      <c r="N87" s="80">
        <f t="shared" si="28"/>
        <v>0</v>
      </c>
      <c r="O87" s="179">
        <v>0</v>
      </c>
      <c r="P87" s="80">
        <f t="shared" si="29"/>
        <v>0</v>
      </c>
      <c r="Q87" s="179">
        <v>0</v>
      </c>
      <c r="R87" s="80">
        <f t="shared" si="30"/>
        <v>0</v>
      </c>
      <c r="S87" s="179">
        <v>0</v>
      </c>
      <c r="T87" s="80">
        <f t="shared" si="31"/>
        <v>0</v>
      </c>
      <c r="U87" s="179">
        <v>0</v>
      </c>
      <c r="V87" s="80">
        <f t="shared" si="32"/>
        <v>0</v>
      </c>
      <c r="X87" s="200"/>
    </row>
    <row r="88" spans="1:24" ht="12.75" customHeight="1">
      <c r="A88" s="2" t="s">
        <v>419</v>
      </c>
      <c r="B88" s="35"/>
      <c r="C88" s="179">
        <v>0</v>
      </c>
      <c r="D88" s="80">
        <f t="shared" si="23"/>
        <v>0</v>
      </c>
      <c r="E88" s="179">
        <v>4498.2</v>
      </c>
      <c r="F88" s="80">
        <f t="shared" si="24"/>
        <v>5.0999999999999995E-3</v>
      </c>
      <c r="G88" s="179">
        <v>4633.1460000000006</v>
      </c>
      <c r="H88" s="80">
        <f t="shared" si="25"/>
        <v>5.1000000000000004E-3</v>
      </c>
      <c r="I88" s="179">
        <v>4772.1403800000007</v>
      </c>
      <c r="J88" s="80">
        <f t="shared" si="26"/>
        <v>5.1000000000000004E-3</v>
      </c>
      <c r="K88" s="179">
        <v>4819.8617838000009</v>
      </c>
      <c r="L88" s="80">
        <f t="shared" si="27"/>
        <v>5.1000000000000004E-3</v>
      </c>
      <c r="M88" s="179">
        <v>4868.0604016380012</v>
      </c>
      <c r="N88" s="80">
        <f t="shared" si="28"/>
        <v>5.1000000000000004E-3</v>
      </c>
      <c r="O88" s="179">
        <v>4916.7410056543813</v>
      </c>
      <c r="P88" s="80">
        <f t="shared" si="29"/>
        <v>5.1000000000000004E-3</v>
      </c>
      <c r="Q88" s="179">
        <v>4965.9084157109255</v>
      </c>
      <c r="R88" s="80">
        <f t="shared" si="30"/>
        <v>5.1000000000000012E-3</v>
      </c>
      <c r="S88" s="179">
        <v>5015.5674998680342</v>
      </c>
      <c r="T88" s="80">
        <f t="shared" si="31"/>
        <v>5.1000000000000004E-3</v>
      </c>
      <c r="U88" s="179">
        <v>5065.7231748667155</v>
      </c>
      <c r="V88" s="80">
        <f t="shared" si="32"/>
        <v>5.1000000000000012E-3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3"/>
        <v>0</v>
      </c>
      <c r="E89" s="179">
        <v>0</v>
      </c>
      <c r="F89" s="80">
        <f t="shared" si="24"/>
        <v>0</v>
      </c>
      <c r="G89" s="179">
        <v>0</v>
      </c>
      <c r="H89" s="80">
        <f t="shared" si="25"/>
        <v>0</v>
      </c>
      <c r="I89" s="179">
        <v>0</v>
      </c>
      <c r="J89" s="80">
        <f t="shared" si="26"/>
        <v>0</v>
      </c>
      <c r="K89" s="179">
        <v>0</v>
      </c>
      <c r="L89" s="80">
        <f t="shared" si="27"/>
        <v>0</v>
      </c>
      <c r="M89" s="179">
        <v>0</v>
      </c>
      <c r="N89" s="80">
        <f t="shared" si="28"/>
        <v>0</v>
      </c>
      <c r="O89" s="179">
        <v>0</v>
      </c>
      <c r="P89" s="80">
        <f t="shared" si="29"/>
        <v>0</v>
      </c>
      <c r="Q89" s="179">
        <v>0</v>
      </c>
      <c r="R89" s="80">
        <f t="shared" si="30"/>
        <v>0</v>
      </c>
      <c r="S89" s="179">
        <v>0</v>
      </c>
      <c r="T89" s="80">
        <f t="shared" si="31"/>
        <v>0</v>
      </c>
      <c r="U89" s="179">
        <v>0</v>
      </c>
      <c r="V89" s="80">
        <f t="shared" si="32"/>
        <v>0</v>
      </c>
      <c r="X89" s="200"/>
    </row>
    <row r="90" spans="1:24" ht="12.75" customHeight="1">
      <c r="A90" s="2" t="s">
        <v>421</v>
      </c>
      <c r="B90" s="35"/>
      <c r="C90" s="179">
        <v>0</v>
      </c>
      <c r="D90" s="80">
        <f t="shared" si="23"/>
        <v>0</v>
      </c>
      <c r="E90" s="179">
        <v>176.4</v>
      </c>
      <c r="F90" s="80">
        <f t="shared" si="24"/>
        <v>2.0000000000000001E-4</v>
      </c>
      <c r="G90" s="179">
        <v>181.69200000000001</v>
      </c>
      <c r="H90" s="80">
        <f t="shared" si="25"/>
        <v>2.0000000000000001E-4</v>
      </c>
      <c r="I90" s="179">
        <v>187.14276000000004</v>
      </c>
      <c r="J90" s="80">
        <f t="shared" si="26"/>
        <v>2.0000000000000004E-4</v>
      </c>
      <c r="K90" s="179">
        <v>189.01418760000004</v>
      </c>
      <c r="L90" s="80">
        <f t="shared" si="27"/>
        <v>2.0000000000000004E-4</v>
      </c>
      <c r="M90" s="179">
        <v>190.90432947600004</v>
      </c>
      <c r="N90" s="80">
        <f t="shared" si="28"/>
        <v>2.0000000000000004E-4</v>
      </c>
      <c r="O90" s="179">
        <v>192.81337277076005</v>
      </c>
      <c r="P90" s="80">
        <f t="shared" si="29"/>
        <v>2.0000000000000004E-4</v>
      </c>
      <c r="Q90" s="179">
        <v>194.74150649846766</v>
      </c>
      <c r="R90" s="80">
        <f t="shared" si="30"/>
        <v>2.0000000000000004E-4</v>
      </c>
      <c r="S90" s="179">
        <v>196.68892156345231</v>
      </c>
      <c r="T90" s="80">
        <f t="shared" si="31"/>
        <v>2.0000000000000001E-4</v>
      </c>
      <c r="U90" s="179">
        <v>198.65581077908686</v>
      </c>
      <c r="V90" s="80">
        <f t="shared" si="32"/>
        <v>2.0000000000000004E-4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23"/>
        <v>0</v>
      </c>
      <c r="E91" s="179">
        <v>0</v>
      </c>
      <c r="F91" s="80">
        <f t="shared" si="24"/>
        <v>0</v>
      </c>
      <c r="G91" s="179">
        <v>0</v>
      </c>
      <c r="H91" s="80">
        <f t="shared" si="25"/>
        <v>0</v>
      </c>
      <c r="I91" s="179">
        <v>0</v>
      </c>
      <c r="J91" s="80">
        <f t="shared" si="26"/>
        <v>0</v>
      </c>
      <c r="K91" s="179">
        <v>0</v>
      </c>
      <c r="L91" s="80">
        <f t="shared" si="27"/>
        <v>0</v>
      </c>
      <c r="M91" s="179">
        <v>0</v>
      </c>
      <c r="N91" s="80">
        <f t="shared" si="28"/>
        <v>0</v>
      </c>
      <c r="O91" s="179">
        <v>0</v>
      </c>
      <c r="P91" s="80">
        <f t="shared" si="29"/>
        <v>0</v>
      </c>
      <c r="Q91" s="179">
        <v>0</v>
      </c>
      <c r="R91" s="80">
        <f t="shared" si="30"/>
        <v>0</v>
      </c>
      <c r="S91" s="179">
        <v>0</v>
      </c>
      <c r="T91" s="80">
        <f t="shared" si="31"/>
        <v>0</v>
      </c>
      <c r="U91" s="179">
        <v>0</v>
      </c>
      <c r="V91" s="80">
        <f t="shared" si="32"/>
        <v>0</v>
      </c>
      <c r="X91" s="200"/>
    </row>
    <row r="92" spans="1:24" ht="12.75" customHeight="1">
      <c r="A92" s="2" t="s">
        <v>423</v>
      </c>
      <c r="B92" s="35"/>
      <c r="C92" s="179">
        <v>0</v>
      </c>
      <c r="D92" s="80">
        <f t="shared" si="23"/>
        <v>0</v>
      </c>
      <c r="E92" s="179">
        <v>4586.3999999999996</v>
      </c>
      <c r="F92" s="80">
        <f t="shared" si="24"/>
        <v>5.1999999999999998E-3</v>
      </c>
      <c r="G92" s="179">
        <v>4723.9919999999993</v>
      </c>
      <c r="H92" s="80">
        <f t="shared" si="25"/>
        <v>5.1999999999999989E-3</v>
      </c>
      <c r="I92" s="179">
        <v>4865.7117600000001</v>
      </c>
      <c r="J92" s="80">
        <f t="shared" si="26"/>
        <v>5.1999999999999998E-3</v>
      </c>
      <c r="K92" s="179">
        <v>4914.3688775999999</v>
      </c>
      <c r="L92" s="80">
        <f t="shared" si="27"/>
        <v>5.1999999999999998E-3</v>
      </c>
      <c r="M92" s="179">
        <v>4963.5125663760009</v>
      </c>
      <c r="N92" s="80">
        <f t="shared" si="28"/>
        <v>5.2000000000000006E-3</v>
      </c>
      <c r="O92" s="179">
        <v>5013.1476920397599</v>
      </c>
      <c r="P92" s="80">
        <f t="shared" si="29"/>
        <v>5.1999999999999998E-3</v>
      </c>
      <c r="Q92" s="179">
        <v>5063.2791689601581</v>
      </c>
      <c r="R92" s="80">
        <f t="shared" si="30"/>
        <v>5.1999999999999998E-3</v>
      </c>
      <c r="S92" s="179">
        <v>5113.9119606497597</v>
      </c>
      <c r="T92" s="80">
        <f t="shared" si="31"/>
        <v>5.1999999999999998E-3</v>
      </c>
      <c r="U92" s="179">
        <v>5165.0510802562576</v>
      </c>
      <c r="V92" s="80">
        <f t="shared" si="32"/>
        <v>5.1999999999999998E-3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3"/>
        <v>0</v>
      </c>
      <c r="E93" s="179">
        <v>0</v>
      </c>
      <c r="F93" s="80">
        <f t="shared" si="24"/>
        <v>0</v>
      </c>
      <c r="G93" s="179">
        <v>0</v>
      </c>
      <c r="H93" s="80">
        <f t="shared" si="25"/>
        <v>0</v>
      </c>
      <c r="I93" s="179">
        <v>0</v>
      </c>
      <c r="J93" s="80">
        <f t="shared" si="26"/>
        <v>0</v>
      </c>
      <c r="K93" s="179">
        <v>0</v>
      </c>
      <c r="L93" s="80">
        <f t="shared" si="27"/>
        <v>0</v>
      </c>
      <c r="M93" s="179">
        <v>0</v>
      </c>
      <c r="N93" s="80">
        <f t="shared" si="28"/>
        <v>0</v>
      </c>
      <c r="O93" s="179">
        <v>0</v>
      </c>
      <c r="P93" s="80">
        <f t="shared" si="29"/>
        <v>0</v>
      </c>
      <c r="Q93" s="179">
        <v>0</v>
      </c>
      <c r="R93" s="80">
        <f t="shared" si="30"/>
        <v>0</v>
      </c>
      <c r="S93" s="179">
        <v>0</v>
      </c>
      <c r="T93" s="80">
        <f t="shared" si="31"/>
        <v>0</v>
      </c>
      <c r="U93" s="179">
        <v>0</v>
      </c>
      <c r="V93" s="80">
        <f t="shared" si="32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3"/>
        <v>0</v>
      </c>
      <c r="E94" s="179">
        <v>0</v>
      </c>
      <c r="F94" s="80">
        <f t="shared" si="24"/>
        <v>0</v>
      </c>
      <c r="G94" s="179">
        <v>0</v>
      </c>
      <c r="H94" s="80">
        <f t="shared" si="25"/>
        <v>0</v>
      </c>
      <c r="I94" s="179">
        <v>0</v>
      </c>
      <c r="J94" s="80">
        <f t="shared" si="26"/>
        <v>0</v>
      </c>
      <c r="K94" s="179">
        <v>0</v>
      </c>
      <c r="L94" s="80">
        <f t="shared" si="27"/>
        <v>0</v>
      </c>
      <c r="M94" s="179">
        <v>0</v>
      </c>
      <c r="N94" s="80">
        <f t="shared" si="28"/>
        <v>0</v>
      </c>
      <c r="O94" s="179">
        <v>0</v>
      </c>
      <c r="P94" s="80">
        <f t="shared" si="29"/>
        <v>0</v>
      </c>
      <c r="Q94" s="179">
        <v>0</v>
      </c>
      <c r="R94" s="80">
        <f t="shared" si="30"/>
        <v>0</v>
      </c>
      <c r="S94" s="179">
        <v>0</v>
      </c>
      <c r="T94" s="80">
        <f t="shared" si="31"/>
        <v>0</v>
      </c>
      <c r="U94" s="179">
        <v>0</v>
      </c>
      <c r="V94" s="80">
        <f t="shared" si="32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3"/>
        <v>0</v>
      </c>
      <c r="E95" s="179">
        <v>0</v>
      </c>
      <c r="F95" s="80">
        <f t="shared" si="24"/>
        <v>0</v>
      </c>
      <c r="G95" s="179">
        <v>0</v>
      </c>
      <c r="H95" s="80">
        <f t="shared" si="25"/>
        <v>0</v>
      </c>
      <c r="I95" s="179">
        <v>0</v>
      </c>
      <c r="J95" s="80">
        <f t="shared" si="26"/>
        <v>0</v>
      </c>
      <c r="K95" s="179">
        <v>0</v>
      </c>
      <c r="L95" s="80">
        <f t="shared" si="27"/>
        <v>0</v>
      </c>
      <c r="M95" s="179">
        <v>0</v>
      </c>
      <c r="N95" s="80">
        <f t="shared" si="28"/>
        <v>0</v>
      </c>
      <c r="O95" s="179">
        <v>0</v>
      </c>
      <c r="P95" s="80">
        <f t="shared" si="29"/>
        <v>0</v>
      </c>
      <c r="Q95" s="179">
        <v>0</v>
      </c>
      <c r="R95" s="80">
        <f t="shared" si="30"/>
        <v>0</v>
      </c>
      <c r="S95" s="179">
        <v>0</v>
      </c>
      <c r="T95" s="80">
        <f t="shared" si="31"/>
        <v>0</v>
      </c>
      <c r="U95" s="179">
        <v>0</v>
      </c>
      <c r="V95" s="80">
        <f t="shared" si="32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3"/>
        <v>0</v>
      </c>
      <c r="E96" s="179">
        <v>0</v>
      </c>
      <c r="F96" s="80">
        <f t="shared" si="24"/>
        <v>0</v>
      </c>
      <c r="G96" s="179">
        <v>0</v>
      </c>
      <c r="H96" s="80">
        <f t="shared" si="25"/>
        <v>0</v>
      </c>
      <c r="I96" s="179">
        <v>0</v>
      </c>
      <c r="J96" s="80">
        <f t="shared" si="26"/>
        <v>0</v>
      </c>
      <c r="K96" s="179">
        <v>0</v>
      </c>
      <c r="L96" s="80">
        <f t="shared" si="27"/>
        <v>0</v>
      </c>
      <c r="M96" s="179">
        <v>0</v>
      </c>
      <c r="N96" s="80">
        <f t="shared" si="28"/>
        <v>0</v>
      </c>
      <c r="O96" s="179">
        <v>0</v>
      </c>
      <c r="P96" s="80">
        <f t="shared" si="29"/>
        <v>0</v>
      </c>
      <c r="Q96" s="179">
        <v>0</v>
      </c>
      <c r="R96" s="80">
        <f t="shared" si="30"/>
        <v>0</v>
      </c>
      <c r="S96" s="179">
        <v>0</v>
      </c>
      <c r="T96" s="80">
        <f t="shared" si="31"/>
        <v>0</v>
      </c>
      <c r="U96" s="179">
        <v>0</v>
      </c>
      <c r="V96" s="80">
        <f t="shared" si="32"/>
        <v>0</v>
      </c>
      <c r="X96" s="200"/>
    </row>
    <row r="97" spans="1:24" ht="12.75" customHeight="1">
      <c r="A97" s="2" t="s">
        <v>428</v>
      </c>
      <c r="B97" s="35"/>
      <c r="C97" s="179">
        <v>0</v>
      </c>
      <c r="D97" s="80">
        <f t="shared" si="23"/>
        <v>0</v>
      </c>
      <c r="E97" s="179">
        <v>11739.5</v>
      </c>
      <c r="F97" s="80">
        <f t="shared" si="24"/>
        <v>1.3310090702947846E-2</v>
      </c>
      <c r="G97" s="179">
        <v>12113.834999999999</v>
      </c>
      <c r="H97" s="80">
        <f t="shared" si="25"/>
        <v>1.3334472624001056E-2</v>
      </c>
      <c r="I97" s="179">
        <v>12471.65496</v>
      </c>
      <c r="J97" s="80">
        <f t="shared" si="26"/>
        <v>1.3328493135401015E-2</v>
      </c>
      <c r="K97" s="179">
        <v>12770.771661000001</v>
      </c>
      <c r="L97" s="80">
        <f t="shared" si="27"/>
        <v>1.3513029707617566E-2</v>
      </c>
      <c r="M97" s="179">
        <v>13077.112786064998</v>
      </c>
      <c r="N97" s="80">
        <f t="shared" si="28"/>
        <v>1.3700174136395391E-2</v>
      </c>
      <c r="O97" s="179">
        <v>13390.85387592742</v>
      </c>
      <c r="P97" s="80">
        <f t="shared" si="29"/>
        <v>1.3889963837568565E-2</v>
      </c>
      <c r="Q97" s="179">
        <v>13712.174758440622</v>
      </c>
      <c r="R97" s="80">
        <f t="shared" si="30"/>
        <v>1.4082436769634952E-2</v>
      </c>
      <c r="S97" s="179">
        <v>14041.259653728956</v>
      </c>
      <c r="T97" s="80">
        <f t="shared" si="31"/>
        <v>1.4277631441686678E-2</v>
      </c>
      <c r="U97" s="179">
        <v>14378.297281926038</v>
      </c>
      <c r="V97" s="80">
        <f t="shared" si="32"/>
        <v>1.4475586921457109E-2</v>
      </c>
      <c r="X97" s="200"/>
    </row>
    <row r="98" spans="1:24" ht="12.75" customHeight="1">
      <c r="A98" s="117" t="s">
        <v>431</v>
      </c>
      <c r="B98" s="35"/>
      <c r="C98" s="179">
        <v>0</v>
      </c>
      <c r="D98" s="80">
        <f t="shared" si="23"/>
        <v>0</v>
      </c>
      <c r="E98" s="179">
        <v>1058.3999999999999</v>
      </c>
      <c r="F98" s="80">
        <f t="shared" si="24"/>
        <v>1.1999999999999999E-3</v>
      </c>
      <c r="G98" s="179">
        <v>1090.1519999999998</v>
      </c>
      <c r="H98" s="80">
        <f t="shared" si="25"/>
        <v>1.1999999999999999E-3</v>
      </c>
      <c r="I98" s="179">
        <v>1122.8565599999999</v>
      </c>
      <c r="J98" s="80">
        <f t="shared" si="26"/>
        <v>1.1999999999999999E-3</v>
      </c>
      <c r="K98" s="179">
        <v>1134.0851256000001</v>
      </c>
      <c r="L98" s="80">
        <f t="shared" si="27"/>
        <v>1.1999999999999999E-3</v>
      </c>
      <c r="M98" s="179">
        <v>1145.425976856</v>
      </c>
      <c r="N98" s="80">
        <f t="shared" si="28"/>
        <v>1.1999999999999999E-3</v>
      </c>
      <c r="O98" s="179">
        <v>1156.88023662456</v>
      </c>
      <c r="P98" s="80">
        <f t="shared" si="29"/>
        <v>1.1999999999999999E-3</v>
      </c>
      <c r="Q98" s="179">
        <v>1168.4490389908055</v>
      </c>
      <c r="R98" s="80">
        <f t="shared" si="30"/>
        <v>1.1999999999999999E-3</v>
      </c>
      <c r="S98" s="179">
        <v>1180.1335293807138</v>
      </c>
      <c r="T98" s="80">
        <f t="shared" si="31"/>
        <v>1.1999999999999999E-3</v>
      </c>
      <c r="U98" s="179">
        <v>1191.9348646745209</v>
      </c>
      <c r="V98" s="80">
        <f t="shared" si="32"/>
        <v>1.1999999999999999E-3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3"/>
        <v>0</v>
      </c>
      <c r="E99" s="179">
        <v>0</v>
      </c>
      <c r="F99" s="80">
        <f t="shared" si="24"/>
        <v>0</v>
      </c>
      <c r="G99" s="179">
        <v>0</v>
      </c>
      <c r="H99" s="80">
        <f t="shared" si="25"/>
        <v>0</v>
      </c>
      <c r="I99" s="179">
        <v>0</v>
      </c>
      <c r="J99" s="80">
        <f t="shared" si="26"/>
        <v>0</v>
      </c>
      <c r="K99" s="179">
        <v>0</v>
      </c>
      <c r="L99" s="80">
        <f t="shared" si="27"/>
        <v>0</v>
      </c>
      <c r="M99" s="179">
        <v>0</v>
      </c>
      <c r="N99" s="80">
        <f t="shared" si="28"/>
        <v>0</v>
      </c>
      <c r="O99" s="179">
        <v>0</v>
      </c>
      <c r="P99" s="80">
        <f t="shared" si="29"/>
        <v>0</v>
      </c>
      <c r="Q99" s="179">
        <v>0</v>
      </c>
      <c r="R99" s="80">
        <f t="shared" si="30"/>
        <v>0</v>
      </c>
      <c r="S99" s="179">
        <v>0</v>
      </c>
      <c r="T99" s="80">
        <f t="shared" si="31"/>
        <v>0</v>
      </c>
      <c r="U99" s="179">
        <v>0</v>
      </c>
      <c r="V99" s="80">
        <f t="shared" si="32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3"/>
        <v>0</v>
      </c>
      <c r="E100" s="179">
        <v>0</v>
      </c>
      <c r="F100" s="80">
        <f t="shared" si="24"/>
        <v>0</v>
      </c>
      <c r="G100" s="179">
        <v>0</v>
      </c>
      <c r="H100" s="80">
        <f t="shared" si="25"/>
        <v>0</v>
      </c>
      <c r="I100" s="179">
        <v>0</v>
      </c>
      <c r="J100" s="80">
        <f t="shared" si="26"/>
        <v>0</v>
      </c>
      <c r="K100" s="179">
        <v>0</v>
      </c>
      <c r="L100" s="80">
        <f t="shared" si="27"/>
        <v>0</v>
      </c>
      <c r="M100" s="179">
        <v>0</v>
      </c>
      <c r="N100" s="80">
        <f t="shared" si="28"/>
        <v>0</v>
      </c>
      <c r="O100" s="179">
        <v>0</v>
      </c>
      <c r="P100" s="80">
        <f t="shared" si="29"/>
        <v>0</v>
      </c>
      <c r="Q100" s="179">
        <v>0</v>
      </c>
      <c r="R100" s="80">
        <f t="shared" si="30"/>
        <v>0</v>
      </c>
      <c r="S100" s="179">
        <v>0</v>
      </c>
      <c r="T100" s="80">
        <f t="shared" si="31"/>
        <v>0</v>
      </c>
      <c r="U100" s="179">
        <v>0</v>
      </c>
      <c r="V100" s="80">
        <f t="shared" si="32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3"/>
        <v>0</v>
      </c>
      <c r="E101" s="179"/>
      <c r="F101" s="80">
        <f t="shared" si="24"/>
        <v>0</v>
      </c>
      <c r="G101" s="179"/>
      <c r="H101" s="80">
        <f t="shared" si="25"/>
        <v>0</v>
      </c>
      <c r="I101" s="179">
        <v>0</v>
      </c>
      <c r="J101" s="80">
        <f t="shared" si="26"/>
        <v>0</v>
      </c>
      <c r="K101" s="179">
        <v>0</v>
      </c>
      <c r="L101" s="80">
        <f t="shared" si="27"/>
        <v>0</v>
      </c>
      <c r="M101" s="179">
        <v>0</v>
      </c>
      <c r="N101" s="80">
        <f t="shared" si="28"/>
        <v>0</v>
      </c>
      <c r="O101" s="179">
        <v>0</v>
      </c>
      <c r="P101" s="80">
        <f t="shared" si="29"/>
        <v>0</v>
      </c>
      <c r="Q101" s="179">
        <v>0</v>
      </c>
      <c r="R101" s="80">
        <f t="shared" si="30"/>
        <v>0</v>
      </c>
      <c r="S101" s="179">
        <v>0</v>
      </c>
      <c r="T101" s="80">
        <f t="shared" si="31"/>
        <v>0</v>
      </c>
      <c r="U101" s="179">
        <v>0</v>
      </c>
      <c r="V101" s="80">
        <f t="shared" si="32"/>
        <v>0</v>
      </c>
      <c r="X101" s="200"/>
    </row>
    <row r="102" spans="1:24" ht="12.75" customHeight="1">
      <c r="A102" s="117" t="s">
        <v>433</v>
      </c>
      <c r="B102" s="35"/>
      <c r="C102" s="179">
        <v>0</v>
      </c>
      <c r="D102" s="80">
        <f t="shared" si="23"/>
        <v>0</v>
      </c>
      <c r="E102" s="179">
        <v>8820</v>
      </c>
      <c r="F102" s="80">
        <f t="shared" si="24"/>
        <v>0.01</v>
      </c>
      <c r="G102" s="179">
        <v>9084.6</v>
      </c>
      <c r="H102" s="80">
        <f t="shared" si="25"/>
        <v>0.01</v>
      </c>
      <c r="I102" s="179">
        <v>9357.1380000000008</v>
      </c>
      <c r="J102" s="80">
        <f t="shared" si="26"/>
        <v>0.01</v>
      </c>
      <c r="K102" s="179">
        <v>9450.7093800000021</v>
      </c>
      <c r="L102" s="80">
        <f t="shared" si="27"/>
        <v>1.0000000000000002E-2</v>
      </c>
      <c r="M102" s="179">
        <v>9545.216473800001</v>
      </c>
      <c r="N102" s="80">
        <f t="shared" si="28"/>
        <v>0.01</v>
      </c>
      <c r="O102" s="179">
        <v>9640.6686385380017</v>
      </c>
      <c r="P102" s="80">
        <f t="shared" si="29"/>
        <v>0.01</v>
      </c>
      <c r="Q102" s="179">
        <v>9737.0753249233821</v>
      </c>
      <c r="R102" s="80">
        <f t="shared" si="30"/>
        <v>1.0000000000000002E-2</v>
      </c>
      <c r="S102" s="179">
        <v>9834.4460781726157</v>
      </c>
      <c r="T102" s="80">
        <f t="shared" si="31"/>
        <v>0.01</v>
      </c>
      <c r="U102" s="179">
        <v>9932.7905389543412</v>
      </c>
      <c r="V102" s="80">
        <f t="shared" si="32"/>
        <v>0.01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3"/>
        <v>0</v>
      </c>
      <c r="E103" s="179">
        <v>0</v>
      </c>
      <c r="F103" s="80">
        <f t="shared" si="24"/>
        <v>0</v>
      </c>
      <c r="G103" s="179">
        <v>0</v>
      </c>
      <c r="H103" s="80">
        <f t="shared" si="25"/>
        <v>0</v>
      </c>
      <c r="I103" s="179">
        <v>0</v>
      </c>
      <c r="J103" s="80">
        <f t="shared" si="26"/>
        <v>0</v>
      </c>
      <c r="K103" s="179">
        <v>0</v>
      </c>
      <c r="L103" s="80">
        <f t="shared" si="27"/>
        <v>0</v>
      </c>
      <c r="M103" s="179">
        <v>0</v>
      </c>
      <c r="N103" s="80">
        <f t="shared" si="28"/>
        <v>0</v>
      </c>
      <c r="O103" s="179">
        <v>0</v>
      </c>
      <c r="P103" s="80">
        <f t="shared" si="29"/>
        <v>0</v>
      </c>
      <c r="Q103" s="179">
        <v>0</v>
      </c>
      <c r="R103" s="80">
        <f t="shared" si="30"/>
        <v>0</v>
      </c>
      <c r="S103" s="179">
        <v>0</v>
      </c>
      <c r="T103" s="80">
        <f t="shared" si="31"/>
        <v>0</v>
      </c>
      <c r="U103" s="179">
        <v>0</v>
      </c>
      <c r="V103" s="80">
        <f t="shared" si="32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3"/>
        <v>0</v>
      </c>
      <c r="E104" s="179">
        <v>0</v>
      </c>
      <c r="F104" s="80">
        <f t="shared" si="24"/>
        <v>0</v>
      </c>
      <c r="G104" s="179">
        <v>0</v>
      </c>
      <c r="H104" s="80">
        <f t="shared" si="25"/>
        <v>0</v>
      </c>
      <c r="I104" s="179">
        <v>0</v>
      </c>
      <c r="J104" s="80">
        <f t="shared" si="26"/>
        <v>0</v>
      </c>
      <c r="K104" s="179">
        <v>0</v>
      </c>
      <c r="L104" s="80">
        <f t="shared" si="27"/>
        <v>0</v>
      </c>
      <c r="M104" s="179">
        <v>0</v>
      </c>
      <c r="N104" s="80">
        <f t="shared" si="28"/>
        <v>0</v>
      </c>
      <c r="O104" s="179">
        <v>0</v>
      </c>
      <c r="P104" s="80">
        <f t="shared" si="29"/>
        <v>0</v>
      </c>
      <c r="Q104" s="179">
        <v>0</v>
      </c>
      <c r="R104" s="80">
        <f t="shared" si="30"/>
        <v>0</v>
      </c>
      <c r="S104" s="179">
        <v>0</v>
      </c>
      <c r="T104" s="80">
        <f t="shared" si="31"/>
        <v>0</v>
      </c>
      <c r="U104" s="179">
        <v>0</v>
      </c>
      <c r="V104" s="80">
        <f t="shared" si="32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0</v>
      </c>
      <c r="D105" s="83">
        <f t="shared" ref="D105" si="33">IFERROR(C105/C$28,0)</f>
        <v>0</v>
      </c>
      <c r="E105" s="82">
        <f>SUM(E52:E104)</f>
        <v>89591.276640276847</v>
      </c>
      <c r="F105" s="83">
        <f t="shared" ref="F105" si="34">IFERROR(E105/E$28,0)</f>
        <v>0.10157741115677647</v>
      </c>
      <c r="G105" s="82">
        <f>SUM(G52:G104)</f>
        <v>93341.556012908521</v>
      </c>
      <c r="H105" s="83">
        <f t="shared" ref="H105" si="35">IFERROR(G105/G$28,0)</f>
        <v>0.10274701804472242</v>
      </c>
      <c r="I105" s="82">
        <f>SUM(I52:I104)</f>
        <v>96063.329280717269</v>
      </c>
      <c r="J105" s="83">
        <f t="shared" ref="J105" si="36">IFERROR(I105/I$28,0)</f>
        <v>0.1026631532854568</v>
      </c>
      <c r="K105" s="82">
        <f>SUM(K52:K104)</f>
        <v>97102.317548616556</v>
      </c>
      <c r="L105" s="83">
        <f t="shared" ref="L105" si="37">IFERROR(K105/K$28,0)</f>
        <v>0.10274606237930528</v>
      </c>
      <c r="M105" s="82">
        <f>SUM(M52:M104)</f>
        <v>98234.472208008723</v>
      </c>
      <c r="N105" s="83">
        <f t="shared" ref="N105" si="38">IFERROR(M105/M$28,0)</f>
        <v>0.10291487100124515</v>
      </c>
      <c r="O105" s="82">
        <f>SUM(O52:O104)</f>
        <v>99382.609930530496</v>
      </c>
      <c r="P105" s="83">
        <f t="shared" ref="P105" si="39">IFERROR(O105/O$28,0)</f>
        <v>0.10308684351337874</v>
      </c>
      <c r="Q105" s="82">
        <f>SUM(Q52:Q104)</f>
        <v>100546.70375649579</v>
      </c>
      <c r="R105" s="83">
        <f t="shared" ref="R105" si="40">IFERROR(Q105/Q$28,0)</f>
        <v>0.10326170888206307</v>
      </c>
      <c r="S105" s="82">
        <f>SUM(S52:S104)</f>
        <v>101726.74410297096</v>
      </c>
      <c r="T105" s="83">
        <f t="shared" ref="T105" si="41">IFERROR(S105/S$28,0)</f>
        <v>0.10343922097326023</v>
      </c>
      <c r="U105" s="82">
        <f>SUM(U52:U104)</f>
        <v>103251.10004102609</v>
      </c>
      <c r="V105" s="83">
        <f t="shared" si="32"/>
        <v>0.10394974064548801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0</v>
      </c>
      <c r="D107" s="83">
        <f>IFERROR(C107/C$28,0)</f>
        <v>0</v>
      </c>
      <c r="E107" s="82">
        <f>E28-E33-E46-E105</f>
        <v>186762.72335972317</v>
      </c>
      <c r="F107" s="83">
        <f>IFERROR(E107/E$28,0)</f>
        <v>0.21174911945546845</v>
      </c>
      <c r="G107" s="82">
        <f>G28-G33-G46-G105</f>
        <v>190734.9839870914</v>
      </c>
      <c r="H107" s="83">
        <f>IFERROR(G107/G$28,0)</f>
        <v>0.20995419059407283</v>
      </c>
      <c r="I107" s="82">
        <f>I28-I33-I46-I105</f>
        <v>196706.28119928276</v>
      </c>
      <c r="J107" s="83">
        <f>IFERROR(I107/I$28,0)</f>
        <v>0.21022056231219713</v>
      </c>
      <c r="K107" s="82">
        <f>K28-K33-K46-K105</f>
        <v>193931.09148338356</v>
      </c>
      <c r="L107" s="83">
        <f>IFERROR(K107/K$28,0)</f>
        <v>0.20520268234444802</v>
      </c>
      <c r="M107" s="82">
        <f>M28-M33-M46-M105</f>
        <v>190932.26074249149</v>
      </c>
      <c r="N107" s="83">
        <f>IFERROR(M107/M$28,0)</f>
        <v>0.20002926205662086</v>
      </c>
      <c r="O107" s="82">
        <f>O28-O33-O46-O105</f>
        <v>187782.90943955519</v>
      </c>
      <c r="P107" s="83">
        <f>IFERROR(O107/O$28,0)</f>
        <v>0.19478203896450103</v>
      </c>
      <c r="Q107" s="82">
        <f>Q28-Q33-Q46-Q105</f>
        <v>184478.89348114311</v>
      </c>
      <c r="R107" s="83">
        <f>IFERROR(Q107/Q$28,0)</f>
        <v>0.18946027151391553</v>
      </c>
      <c r="S107" s="82">
        <f>S28-S33-S46-S105</f>
        <v>181015.9404663934</v>
      </c>
      <c r="T107" s="83">
        <f>IFERROR(S107/S$28,0)</f>
        <v>0.18406317857408888</v>
      </c>
      <c r="U107" s="82">
        <f>U28-U33-U46-U105</f>
        <v>177061.28559838806</v>
      </c>
      <c r="V107" s="83">
        <f>IFERROR(U107/U$28,0)</f>
        <v>0.17825935713029534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2">IFERROR(C111/C$28,0)</f>
        <v>0</v>
      </c>
      <c r="E111" s="79">
        <f>E59</f>
        <v>0</v>
      </c>
      <c r="F111" s="80">
        <f t="shared" ref="F111:F116" si="43">IFERROR(E111/E$28,0)</f>
        <v>0</v>
      </c>
      <c r="G111" s="79">
        <f>G59</f>
        <v>0</v>
      </c>
      <c r="H111" s="80">
        <f t="shared" ref="H111:H116" si="44">IFERROR(G111/G$28,0)</f>
        <v>0</v>
      </c>
      <c r="I111" s="79">
        <f>I59</f>
        <v>0</v>
      </c>
      <c r="J111" s="80">
        <f t="shared" ref="J111:J116" si="45">IFERROR(I111/I$28,0)</f>
        <v>0</v>
      </c>
      <c r="K111" s="79">
        <f>K59</f>
        <v>0</v>
      </c>
      <c r="L111" s="80">
        <f t="shared" ref="L111:L116" si="46">IFERROR(K111/K$28,0)</f>
        <v>0</v>
      </c>
      <c r="M111" s="79">
        <f>M59</f>
        <v>0</v>
      </c>
      <c r="N111" s="80">
        <f t="shared" ref="N111:N116" si="47">IFERROR(M111/M$28,0)</f>
        <v>0</v>
      </c>
      <c r="O111" s="79">
        <f>O59</f>
        <v>0</v>
      </c>
      <c r="P111" s="80">
        <f t="shared" ref="P111:P116" si="48">IFERROR(O111/O$28,0)</f>
        <v>0</v>
      </c>
      <c r="Q111" s="79">
        <f>Q59</f>
        <v>0</v>
      </c>
      <c r="R111" s="80">
        <f t="shared" ref="R111:R116" si="49">IFERROR(Q111/Q$28,0)</f>
        <v>0</v>
      </c>
      <c r="S111" s="79">
        <f>S59</f>
        <v>0</v>
      </c>
      <c r="T111" s="80">
        <f t="shared" ref="T111:T116" si="50">IFERROR(S111/S$28,0)</f>
        <v>0</v>
      </c>
      <c r="U111" s="79">
        <f>U59</f>
        <v>0</v>
      </c>
      <c r="V111" s="80">
        <f t="shared" ref="V111:V116" si="51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2"/>
        <v>0</v>
      </c>
      <c r="E112" s="79">
        <f>E62</f>
        <v>0</v>
      </c>
      <c r="F112" s="80">
        <f t="shared" si="43"/>
        <v>0</v>
      </c>
      <c r="G112" s="79">
        <f>G62</f>
        <v>0</v>
      </c>
      <c r="H112" s="80">
        <f t="shared" si="44"/>
        <v>0</v>
      </c>
      <c r="I112" s="79">
        <f>I62</f>
        <v>0</v>
      </c>
      <c r="J112" s="80">
        <f t="shared" si="45"/>
        <v>0</v>
      </c>
      <c r="K112" s="79">
        <f>K62</f>
        <v>0</v>
      </c>
      <c r="L112" s="80">
        <f t="shared" si="46"/>
        <v>0</v>
      </c>
      <c r="M112" s="79">
        <f>M62</f>
        <v>0</v>
      </c>
      <c r="N112" s="80">
        <f t="shared" si="47"/>
        <v>0</v>
      </c>
      <c r="O112" s="79">
        <f>O62</f>
        <v>0</v>
      </c>
      <c r="P112" s="80">
        <f t="shared" si="48"/>
        <v>0</v>
      </c>
      <c r="Q112" s="79">
        <f>Q62</f>
        <v>0</v>
      </c>
      <c r="R112" s="80">
        <f t="shared" si="49"/>
        <v>0</v>
      </c>
      <c r="S112" s="79">
        <f>S62</f>
        <v>0</v>
      </c>
      <c r="T112" s="80">
        <f t="shared" si="50"/>
        <v>0</v>
      </c>
      <c r="U112" s="79">
        <f>U62</f>
        <v>0</v>
      </c>
      <c r="V112" s="80">
        <f t="shared" si="51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2"/>
        <v>0</v>
      </c>
      <c r="E113" s="111">
        <v>0</v>
      </c>
      <c r="F113" s="80">
        <f t="shared" si="43"/>
        <v>0</v>
      </c>
      <c r="G113" s="111">
        <v>0</v>
      </c>
      <c r="H113" s="80">
        <f t="shared" si="44"/>
        <v>0</v>
      </c>
      <c r="I113" s="111">
        <v>0</v>
      </c>
      <c r="J113" s="80">
        <f t="shared" si="45"/>
        <v>0</v>
      </c>
      <c r="K113" s="111">
        <v>0</v>
      </c>
      <c r="L113" s="80">
        <f t="shared" si="46"/>
        <v>0</v>
      </c>
      <c r="M113" s="111">
        <v>0</v>
      </c>
      <c r="N113" s="80">
        <f t="shared" si="47"/>
        <v>0</v>
      </c>
      <c r="O113" s="111">
        <v>0</v>
      </c>
      <c r="P113" s="80">
        <f t="shared" si="48"/>
        <v>0</v>
      </c>
      <c r="Q113" s="111">
        <v>0</v>
      </c>
      <c r="R113" s="80">
        <f t="shared" si="49"/>
        <v>0</v>
      </c>
      <c r="S113" s="111">
        <v>0</v>
      </c>
      <c r="T113" s="80">
        <f t="shared" si="50"/>
        <v>0</v>
      </c>
      <c r="U113" s="111">
        <v>0</v>
      </c>
      <c r="V113" s="80">
        <f t="shared" si="51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2"/>
        <v>0</v>
      </c>
      <c r="E114" s="111">
        <v>0</v>
      </c>
      <c r="F114" s="80">
        <f t="shared" si="43"/>
        <v>0</v>
      </c>
      <c r="G114" s="111">
        <v>0</v>
      </c>
      <c r="H114" s="80">
        <f t="shared" si="44"/>
        <v>0</v>
      </c>
      <c r="I114" s="111">
        <v>0</v>
      </c>
      <c r="J114" s="80">
        <f t="shared" si="45"/>
        <v>0</v>
      </c>
      <c r="K114" s="111">
        <v>0</v>
      </c>
      <c r="L114" s="80">
        <f t="shared" si="46"/>
        <v>0</v>
      </c>
      <c r="M114" s="111">
        <v>0</v>
      </c>
      <c r="N114" s="80">
        <f t="shared" si="47"/>
        <v>0</v>
      </c>
      <c r="O114" s="111">
        <v>0</v>
      </c>
      <c r="P114" s="80">
        <f t="shared" si="48"/>
        <v>0</v>
      </c>
      <c r="Q114" s="111">
        <v>0</v>
      </c>
      <c r="R114" s="80">
        <f t="shared" si="49"/>
        <v>0</v>
      </c>
      <c r="S114" s="111">
        <v>0</v>
      </c>
      <c r="T114" s="80">
        <f t="shared" si="50"/>
        <v>0</v>
      </c>
      <c r="U114" s="111">
        <v>0</v>
      </c>
      <c r="V114" s="80">
        <f t="shared" si="51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2"/>
        <v>0</v>
      </c>
      <c r="E115" s="112">
        <v>0</v>
      </c>
      <c r="F115" s="80">
        <f t="shared" si="43"/>
        <v>0</v>
      </c>
      <c r="G115" s="112">
        <v>0</v>
      </c>
      <c r="H115" s="80">
        <f t="shared" si="44"/>
        <v>0</v>
      </c>
      <c r="I115" s="112">
        <v>0</v>
      </c>
      <c r="J115" s="80">
        <f t="shared" si="45"/>
        <v>0</v>
      </c>
      <c r="K115" s="112">
        <v>0</v>
      </c>
      <c r="L115" s="80">
        <f t="shared" si="46"/>
        <v>0</v>
      </c>
      <c r="M115" s="112">
        <v>0</v>
      </c>
      <c r="N115" s="80">
        <f t="shared" si="47"/>
        <v>0</v>
      </c>
      <c r="O115" s="112">
        <v>0</v>
      </c>
      <c r="P115" s="80">
        <f t="shared" si="48"/>
        <v>0</v>
      </c>
      <c r="Q115" s="112">
        <v>0</v>
      </c>
      <c r="R115" s="80">
        <f t="shared" si="49"/>
        <v>0</v>
      </c>
      <c r="S115" s="112">
        <v>0</v>
      </c>
      <c r="T115" s="80">
        <f t="shared" si="50"/>
        <v>0</v>
      </c>
      <c r="U115" s="112">
        <v>0</v>
      </c>
      <c r="V115" s="80">
        <f t="shared" si="51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2"/>
        <v>0</v>
      </c>
      <c r="E116" s="85">
        <f>SUM(E111:E115)</f>
        <v>0</v>
      </c>
      <c r="F116" s="83">
        <f t="shared" si="43"/>
        <v>0</v>
      </c>
      <c r="G116" s="85">
        <f>SUM(G111:G115)</f>
        <v>0</v>
      </c>
      <c r="H116" s="83">
        <f t="shared" si="44"/>
        <v>0</v>
      </c>
      <c r="I116" s="85">
        <f>SUM(I111:I115)</f>
        <v>0</v>
      </c>
      <c r="J116" s="83">
        <f t="shared" si="45"/>
        <v>0</v>
      </c>
      <c r="K116" s="85">
        <f>SUM(K111:K115)</f>
        <v>0</v>
      </c>
      <c r="L116" s="83">
        <f t="shared" si="46"/>
        <v>0</v>
      </c>
      <c r="M116" s="85">
        <f>SUM(M111:M115)</f>
        <v>0</v>
      </c>
      <c r="N116" s="83">
        <f t="shared" si="47"/>
        <v>0</v>
      </c>
      <c r="O116" s="85">
        <f>SUM(O111:O115)</f>
        <v>0</v>
      </c>
      <c r="P116" s="83">
        <f t="shared" si="48"/>
        <v>0</v>
      </c>
      <c r="Q116" s="85">
        <f>SUM(Q111:Q115)</f>
        <v>0</v>
      </c>
      <c r="R116" s="83">
        <f t="shared" si="49"/>
        <v>0</v>
      </c>
      <c r="S116" s="85">
        <f>SUM(S111:S115)</f>
        <v>0</v>
      </c>
      <c r="T116" s="83">
        <f t="shared" si="50"/>
        <v>0</v>
      </c>
      <c r="U116" s="85">
        <f>SUM(U111:U115)</f>
        <v>0</v>
      </c>
      <c r="V116" s="83">
        <f t="shared" si="51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498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7" tint="0.59999389629810485"/>
  </sheetPr>
  <dimension ref="A1:X119"/>
  <sheetViews>
    <sheetView topLeftCell="A12" zoomScale="70" zoomScaleNormal="70" workbookViewId="0" xr3:uid="{22EC4E50-C5E2-5B45-B3E6-2D2467F4FBB9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43.8554687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61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Panera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271</v>
      </c>
      <c r="E8" s="109">
        <f>+C8</f>
        <v>271</v>
      </c>
      <c r="G8" s="109">
        <f>+E8</f>
        <v>271</v>
      </c>
      <c r="I8" s="109">
        <f>+G8</f>
        <v>271</v>
      </c>
      <c r="K8" s="109">
        <f>+I8</f>
        <v>271</v>
      </c>
      <c r="M8" s="109">
        <f>+K8</f>
        <v>271</v>
      </c>
      <c r="O8" s="109">
        <f>+M8</f>
        <v>271</v>
      </c>
      <c r="Q8" s="109">
        <f>+O8</f>
        <v>271</v>
      </c>
      <c r="S8" s="109">
        <f>+Q8</f>
        <v>271</v>
      </c>
      <c r="U8" s="109">
        <f>+S8</f>
        <v>271</v>
      </c>
    </row>
    <row r="10" spans="1:22" ht="12.75" customHeight="1">
      <c r="A10" s="2" t="s">
        <v>449</v>
      </c>
      <c r="C10" s="109"/>
      <c r="E10" s="209">
        <f>+E14/E8/E12</f>
        <v>348.50348503485037</v>
      </c>
      <c r="F10" s="186"/>
      <c r="G10" s="209">
        <f>+G14/G8/G12</f>
        <v>353.50961244419074</v>
      </c>
      <c r="H10" s="186"/>
      <c r="I10" s="209">
        <f>+I14/I8/I12</f>
        <v>358.59859697498075</v>
      </c>
      <c r="J10" s="186"/>
      <c r="K10" s="209">
        <f>+K14/K8/K12</f>
        <v>360.20543221825659</v>
      </c>
      <c r="L10" s="186"/>
      <c r="M10" s="209">
        <f>+M14/M8/M12</f>
        <v>361.83027193967598</v>
      </c>
      <c r="N10" s="186"/>
      <c r="O10" s="209">
        <f t="shared" ref="O10" si="0">+O14/O8/O12</f>
        <v>363.47317695821283</v>
      </c>
      <c r="P10" s="186"/>
      <c r="Q10" s="209">
        <f t="shared" ref="Q10" si="1">+Q14/Q8/Q12</f>
        <v>365.13421029377452</v>
      </c>
      <c r="R10" s="186"/>
      <c r="S10" s="209">
        <f>+S14/S8/S12</f>
        <v>366.81343714325396</v>
      </c>
      <c r="T10" s="186"/>
      <c r="U10" s="209">
        <f>+U14/U8/U12</f>
        <v>368.51092485769351</v>
      </c>
    </row>
    <row r="12" spans="1:22" ht="12.75" customHeight="1">
      <c r="A12" s="2" t="s">
        <v>450</v>
      </c>
      <c r="C12" s="110"/>
      <c r="E12" s="110">
        <v>9</v>
      </c>
      <c r="G12" s="110">
        <v>9.0500000000000007</v>
      </c>
      <c r="I12" s="110">
        <v>9.1</v>
      </c>
      <c r="K12" s="110">
        <v>9.15</v>
      </c>
      <c r="M12" s="110">
        <v>9.1999999999999993</v>
      </c>
      <c r="O12" s="110">
        <v>9.25</v>
      </c>
      <c r="Q12" s="110">
        <v>9.3000000000000007</v>
      </c>
      <c r="S12" s="110">
        <v>9.35</v>
      </c>
      <c r="U12" s="110">
        <v>9.4</v>
      </c>
    </row>
    <row r="14" spans="1:22" ht="12.75" customHeight="1">
      <c r="A14" s="2" t="s">
        <v>451</v>
      </c>
      <c r="C14" s="121"/>
      <c r="E14" s="206">
        <v>850000</v>
      </c>
      <c r="F14" s="12"/>
      <c r="G14" s="206">
        <f>+E14*1.02</f>
        <v>867000</v>
      </c>
      <c r="H14" s="12"/>
      <c r="I14" s="206">
        <f>+G14*1.02</f>
        <v>884340</v>
      </c>
      <c r="J14" s="12"/>
      <c r="K14" s="206">
        <f>+I14*1.01</f>
        <v>893183.4</v>
      </c>
      <c r="L14" s="12"/>
      <c r="M14" s="206">
        <f>+K14*1.01</f>
        <v>902115.23400000005</v>
      </c>
      <c r="N14" s="12"/>
      <c r="O14" s="206">
        <f>+M14*1.01</f>
        <v>911136.38634000008</v>
      </c>
      <c r="P14" s="12"/>
      <c r="Q14" s="206">
        <f>+O14*1.01</f>
        <v>920247.75020340004</v>
      </c>
      <c r="R14" s="12"/>
      <c r="S14" s="206">
        <f>+Q14*1.01</f>
        <v>929450.22770543408</v>
      </c>
      <c r="T14" s="12"/>
      <c r="U14" s="206">
        <f>+S14*1.01</f>
        <v>938744.72998248844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</f>
        <v>0</v>
      </c>
      <c r="D19" s="80">
        <f>IFERROR(C19/C$28,0)</f>
        <v>0</v>
      </c>
      <c r="E19" s="208">
        <f>+E14-E20</f>
        <v>397204.99999999994</v>
      </c>
      <c r="F19" s="80">
        <f>IFERROR(E19/E$28,0)</f>
        <v>0.46729999999999994</v>
      </c>
      <c r="G19" s="208">
        <f>+G14-G20</f>
        <v>405149.09999999992</v>
      </c>
      <c r="H19" s="80">
        <f>IFERROR(G19/G$28,0)</f>
        <v>0.46729999999999988</v>
      </c>
      <c r="I19" s="208">
        <f>+I14-I20</f>
        <v>413252.08199999994</v>
      </c>
      <c r="J19" s="80">
        <f>IFERROR(I19/I$28,0)</f>
        <v>0.46729999999999994</v>
      </c>
      <c r="K19" s="208">
        <f>+K14-K20</f>
        <v>412673.72363999992</v>
      </c>
      <c r="L19" s="80">
        <f>IFERROR(K19/K$28,0)</f>
        <v>0.46202574257425733</v>
      </c>
      <c r="M19" s="208">
        <f>+M14-M20</f>
        <v>411995.36411279993</v>
      </c>
      <c r="N19" s="80">
        <f>IFERROR(M19/M$28,0)</f>
        <v>0.45669926477796285</v>
      </c>
      <c r="O19" s="208">
        <f>+O14-O20</f>
        <v>411214.11905505595</v>
      </c>
      <c r="P19" s="80">
        <f>IFERROR(O19/O$28,0)</f>
        <v>0.45132004957774469</v>
      </c>
      <c r="Q19" s="208">
        <f>+Q14-Q20</f>
        <v>410327.03757275699</v>
      </c>
      <c r="R19" s="80">
        <f>IFERROR(Q19/Q$28,0)</f>
        <v>0.44588757482108859</v>
      </c>
      <c r="S19" s="208">
        <f>+S14-S20</f>
        <v>409331.10082217818</v>
      </c>
      <c r="T19" s="80">
        <f>IFERROR(S19/S$28,0)</f>
        <v>0.4404013131856539</v>
      </c>
      <c r="U19" s="208">
        <f>+U14-U20</f>
        <v>408223.22056156746</v>
      </c>
      <c r="V19" s="80">
        <f>IFERROR(U19/U$28,0)</f>
        <v>0.43486073212808612</v>
      </c>
    </row>
    <row r="20" spans="1:24" ht="12.75" customHeight="1">
      <c r="A20" s="2" t="s">
        <v>357</v>
      </c>
      <c r="B20" s="35"/>
      <c r="C20" s="111">
        <f>+C14*12.38%</f>
        <v>0</v>
      </c>
      <c r="D20" s="80">
        <f>IFERROR(C20/C$28,0)</f>
        <v>0</v>
      </c>
      <c r="E20" s="111">
        <f>+E14*53.27%</f>
        <v>452795.00000000006</v>
      </c>
      <c r="F20" s="80">
        <f>IFERROR(E20/E$28,0)</f>
        <v>0.53270000000000006</v>
      </c>
      <c r="G20" s="111">
        <f t="shared" ref="G20:U21" si="2">E20*1.02</f>
        <v>461850.90000000008</v>
      </c>
      <c r="H20" s="80">
        <f>IFERROR(G20/G$28,0)</f>
        <v>0.53270000000000006</v>
      </c>
      <c r="I20" s="111">
        <f t="shared" si="2"/>
        <v>471087.91800000006</v>
      </c>
      <c r="J20" s="80">
        <f>IFERROR(I20/I$28,0)</f>
        <v>0.53270000000000006</v>
      </c>
      <c r="K20" s="111">
        <f t="shared" si="2"/>
        <v>480509.6763600001</v>
      </c>
      <c r="L20" s="80">
        <f>IFERROR(K20/K$28,0)</f>
        <v>0.53797425742574267</v>
      </c>
      <c r="M20" s="111">
        <f t="shared" si="2"/>
        <v>490119.86988720013</v>
      </c>
      <c r="N20" s="80">
        <f>IFERROR(M20/M$28,0)</f>
        <v>0.54330073522203715</v>
      </c>
      <c r="O20" s="111">
        <f t="shared" si="2"/>
        <v>499922.26728494413</v>
      </c>
      <c r="P20" s="80">
        <f>IFERROR(O20/O$28,0)</f>
        <v>0.54867995042225537</v>
      </c>
      <c r="Q20" s="111">
        <f t="shared" si="2"/>
        <v>509920.71263064304</v>
      </c>
      <c r="R20" s="80">
        <f>IFERROR(Q20/Q$28,0)</f>
        <v>0.55411242517891135</v>
      </c>
      <c r="S20" s="111">
        <f t="shared" si="2"/>
        <v>520119.1268832559</v>
      </c>
      <c r="T20" s="80">
        <f>IFERROR(S20/S$28,0)</f>
        <v>0.5595986868143461</v>
      </c>
      <c r="U20" s="111">
        <f t="shared" si="2"/>
        <v>530521.50942092098</v>
      </c>
      <c r="V20" s="80">
        <f>IFERROR(U20/U$28,0)</f>
        <v>0.56513926787191382</v>
      </c>
    </row>
    <row r="21" spans="1:24" ht="12.75" customHeight="1">
      <c r="A21" s="2" t="s">
        <v>358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2"/>
        <v>0</v>
      </c>
      <c r="H21" s="80">
        <f>IFERROR(G21/G$28,0)</f>
        <v>0</v>
      </c>
      <c r="I21" s="111">
        <f t="shared" si="2"/>
        <v>0</v>
      </c>
      <c r="J21" s="80">
        <f>IFERROR(I21/I$28,0)</f>
        <v>0</v>
      </c>
      <c r="K21" s="111">
        <f t="shared" si="2"/>
        <v>0</v>
      </c>
      <c r="L21" s="80">
        <f>IFERROR(K21/K$28,0)</f>
        <v>0</v>
      </c>
      <c r="M21" s="111">
        <f t="shared" si="2"/>
        <v>0</v>
      </c>
      <c r="N21" s="80">
        <f>IFERROR(M21/M$28,0)</f>
        <v>0</v>
      </c>
      <c r="O21" s="111">
        <f t="shared" si="2"/>
        <v>0</v>
      </c>
      <c r="P21" s="80">
        <f>IFERROR(O21/O$28,0)</f>
        <v>0</v>
      </c>
      <c r="Q21" s="111">
        <f t="shared" si="2"/>
        <v>0</v>
      </c>
      <c r="R21" s="80">
        <f>IFERROR(Q21/Q$28,0)</f>
        <v>0</v>
      </c>
      <c r="S21" s="111">
        <f t="shared" si="2"/>
        <v>0</v>
      </c>
      <c r="T21" s="80">
        <f>IFERROR(S21/S$28,0)</f>
        <v>0</v>
      </c>
      <c r="U21" s="111">
        <f t="shared" si="2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3">IFERROR(C23/C$28,0)</f>
        <v>0</v>
      </c>
      <c r="E23" s="79"/>
      <c r="F23" s="80">
        <f t="shared" ref="F23:F28" si="4">IFERROR(E23/E$28,0)</f>
        <v>0</v>
      </c>
      <c r="G23" s="79"/>
      <c r="H23" s="80">
        <f t="shared" ref="H23:H28" si="5">IFERROR(G23/G$28,0)</f>
        <v>0</v>
      </c>
      <c r="I23" s="79"/>
      <c r="J23" s="80">
        <f t="shared" ref="J23:J28" si="6">IFERROR(I23/I$28,0)</f>
        <v>0</v>
      </c>
      <c r="K23" s="79"/>
      <c r="L23" s="80">
        <f t="shared" ref="L23:L28" si="7">IFERROR(K23/K$28,0)</f>
        <v>0</v>
      </c>
      <c r="M23" s="79"/>
      <c r="N23" s="80">
        <f t="shared" ref="N23:N28" si="8">IFERROR(M23/M$28,0)</f>
        <v>0</v>
      </c>
      <c r="O23" s="79"/>
      <c r="P23" s="80">
        <f t="shared" ref="P23:P28" si="9">IFERROR(O23/O$28,0)</f>
        <v>0</v>
      </c>
      <c r="Q23" s="79"/>
      <c r="R23" s="80">
        <f t="shared" ref="R23:R28" si="10">IFERROR(Q23/Q$28,0)</f>
        <v>0</v>
      </c>
      <c r="S23" s="79"/>
      <c r="T23" s="80">
        <f t="shared" ref="T23:T28" si="11">IFERROR(S23/S$28,0)</f>
        <v>0</v>
      </c>
      <c r="U23" s="79"/>
      <c r="V23" s="80">
        <f t="shared" ref="V23:V28" si="12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3"/>
        <v>0</v>
      </c>
      <c r="E24" s="79"/>
      <c r="F24" s="80">
        <f t="shared" si="4"/>
        <v>0</v>
      </c>
      <c r="G24" s="79"/>
      <c r="H24" s="80">
        <f t="shared" si="5"/>
        <v>0</v>
      </c>
      <c r="I24" s="79"/>
      <c r="J24" s="80">
        <f t="shared" si="6"/>
        <v>0</v>
      </c>
      <c r="K24" s="79"/>
      <c r="L24" s="80">
        <f t="shared" si="7"/>
        <v>0</v>
      </c>
      <c r="M24" s="79"/>
      <c r="N24" s="80">
        <f t="shared" si="8"/>
        <v>0</v>
      </c>
      <c r="O24" s="79"/>
      <c r="P24" s="80">
        <f t="shared" si="9"/>
        <v>0</v>
      </c>
      <c r="Q24" s="79"/>
      <c r="R24" s="80">
        <f t="shared" si="10"/>
        <v>0</v>
      </c>
      <c r="S24" s="79"/>
      <c r="T24" s="80">
        <f t="shared" si="11"/>
        <v>0</v>
      </c>
      <c r="U24" s="79"/>
      <c r="V24" s="80">
        <f t="shared" si="12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3"/>
        <v>0</v>
      </c>
      <c r="E25" s="111"/>
      <c r="F25" s="80">
        <f t="shared" si="4"/>
        <v>0</v>
      </c>
      <c r="G25" s="111"/>
      <c r="H25" s="80">
        <f t="shared" si="5"/>
        <v>0</v>
      </c>
      <c r="I25" s="111"/>
      <c r="J25" s="80">
        <f t="shared" si="6"/>
        <v>0</v>
      </c>
      <c r="K25" s="111"/>
      <c r="L25" s="80">
        <f t="shared" si="7"/>
        <v>0</v>
      </c>
      <c r="M25" s="111"/>
      <c r="N25" s="80">
        <f t="shared" si="8"/>
        <v>0</v>
      </c>
      <c r="O25" s="111"/>
      <c r="P25" s="80">
        <f t="shared" si="9"/>
        <v>0</v>
      </c>
      <c r="Q25" s="111"/>
      <c r="R25" s="80">
        <f t="shared" si="10"/>
        <v>0</v>
      </c>
      <c r="S25" s="111"/>
      <c r="T25" s="80">
        <f t="shared" si="11"/>
        <v>0</v>
      </c>
      <c r="U25" s="111"/>
      <c r="V25" s="80">
        <f t="shared" si="12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3"/>
        <v>0</v>
      </c>
      <c r="E26" s="79"/>
      <c r="F26" s="80">
        <f t="shared" si="4"/>
        <v>0</v>
      </c>
      <c r="G26" s="79"/>
      <c r="H26" s="80">
        <f t="shared" si="5"/>
        <v>0</v>
      </c>
      <c r="I26" s="79"/>
      <c r="J26" s="80">
        <f t="shared" si="6"/>
        <v>0</v>
      </c>
      <c r="K26" s="79"/>
      <c r="L26" s="80">
        <f t="shared" si="7"/>
        <v>0</v>
      </c>
      <c r="M26" s="79"/>
      <c r="N26" s="80">
        <f t="shared" si="8"/>
        <v>0</v>
      </c>
      <c r="O26" s="79"/>
      <c r="P26" s="80">
        <f t="shared" si="9"/>
        <v>0</v>
      </c>
      <c r="Q26" s="79"/>
      <c r="R26" s="80">
        <f t="shared" si="10"/>
        <v>0</v>
      </c>
      <c r="S26" s="79"/>
      <c r="T26" s="80">
        <f t="shared" si="11"/>
        <v>0</v>
      </c>
      <c r="U26" s="79"/>
      <c r="V26" s="80">
        <f t="shared" si="12"/>
        <v>0</v>
      </c>
    </row>
    <row r="27" spans="1:24" ht="12.75" customHeight="1">
      <c r="A27" s="2" t="s">
        <v>364</v>
      </c>
      <c r="B27" s="35"/>
      <c r="C27" s="112"/>
      <c r="D27" s="80">
        <f t="shared" si="3"/>
        <v>0</v>
      </c>
      <c r="E27" s="112"/>
      <c r="F27" s="80">
        <f t="shared" si="4"/>
        <v>0</v>
      </c>
      <c r="G27" s="112"/>
      <c r="H27" s="80">
        <f t="shared" si="5"/>
        <v>0</v>
      </c>
      <c r="I27" s="112"/>
      <c r="J27" s="80">
        <f t="shared" si="6"/>
        <v>0</v>
      </c>
      <c r="K27" s="112"/>
      <c r="L27" s="80">
        <f t="shared" si="7"/>
        <v>0</v>
      </c>
      <c r="M27" s="112"/>
      <c r="N27" s="80">
        <f t="shared" si="8"/>
        <v>0</v>
      </c>
      <c r="O27" s="112"/>
      <c r="P27" s="80">
        <f t="shared" si="9"/>
        <v>0</v>
      </c>
      <c r="Q27" s="112"/>
      <c r="R27" s="80">
        <f t="shared" si="10"/>
        <v>0</v>
      </c>
      <c r="S27" s="112"/>
      <c r="T27" s="80">
        <f t="shared" si="11"/>
        <v>0</v>
      </c>
      <c r="U27" s="112"/>
      <c r="V27" s="80">
        <f t="shared" si="12"/>
        <v>0</v>
      </c>
    </row>
    <row r="28" spans="1:24" ht="12.75" customHeight="1">
      <c r="A28" s="1" t="s">
        <v>365</v>
      </c>
      <c r="B28" s="53"/>
      <c r="C28" s="82">
        <f>SUM(C19:C27)</f>
        <v>0</v>
      </c>
      <c r="D28" s="83">
        <f t="shared" si="3"/>
        <v>0</v>
      </c>
      <c r="E28" s="82">
        <f>SUM(E19:E27)</f>
        <v>850000</v>
      </c>
      <c r="F28" s="83">
        <f t="shared" si="4"/>
        <v>1</v>
      </c>
      <c r="G28" s="82">
        <f>SUM(G19:G27)</f>
        <v>867000</v>
      </c>
      <c r="H28" s="83">
        <f t="shared" si="5"/>
        <v>1</v>
      </c>
      <c r="I28" s="82">
        <f>SUM(I19:I27)</f>
        <v>884340</v>
      </c>
      <c r="J28" s="83">
        <f t="shared" si="6"/>
        <v>1</v>
      </c>
      <c r="K28" s="82">
        <f>SUM(K19:K27)</f>
        <v>893183.4</v>
      </c>
      <c r="L28" s="83">
        <f t="shared" si="7"/>
        <v>1</v>
      </c>
      <c r="M28" s="82">
        <f>SUM(M19:M27)</f>
        <v>902115.23400000005</v>
      </c>
      <c r="N28" s="83">
        <f t="shared" si="8"/>
        <v>1</v>
      </c>
      <c r="O28" s="82">
        <f>SUM(O19:O27)</f>
        <v>911136.38634000008</v>
      </c>
      <c r="P28" s="83">
        <f t="shared" si="9"/>
        <v>1</v>
      </c>
      <c r="Q28" s="82">
        <f>SUM(Q19:Q27)</f>
        <v>920247.75020340004</v>
      </c>
      <c r="R28" s="83">
        <f t="shared" si="10"/>
        <v>1</v>
      </c>
      <c r="S28" s="82">
        <f>SUM(S19:S27)</f>
        <v>929450.22770543408</v>
      </c>
      <c r="T28" s="83">
        <f t="shared" si="11"/>
        <v>1</v>
      </c>
      <c r="U28" s="82">
        <f>SUM(U19:U27)</f>
        <v>938744.72998248844</v>
      </c>
      <c r="V28" s="83">
        <f t="shared" si="12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0.35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0</v>
      </c>
      <c r="D31" s="80">
        <f>IFERROR(C31/C$28,0)</f>
        <v>0</v>
      </c>
      <c r="E31" s="179">
        <f>$C$30*E14</f>
        <v>297500</v>
      </c>
      <c r="F31" s="80">
        <f>IFERROR(E31/E$28,0)</f>
        <v>0.35</v>
      </c>
      <c r="G31" s="179">
        <f>$C$30*G14</f>
        <v>303450</v>
      </c>
      <c r="H31" s="80">
        <f>IFERROR(G31/G$28,0)</f>
        <v>0.35</v>
      </c>
      <c r="I31" s="179">
        <f>$C$30*I14</f>
        <v>309519</v>
      </c>
      <c r="J31" s="80">
        <f>IFERROR(I31/I$28,0)</f>
        <v>0.35</v>
      </c>
      <c r="K31" s="179">
        <f>$C$30*K14</f>
        <v>312614.19</v>
      </c>
      <c r="L31" s="80">
        <f>IFERROR(K31/K$28,0)</f>
        <v>0.35</v>
      </c>
      <c r="M31" s="179">
        <f>$C$30*M14</f>
        <v>315740.33189999999</v>
      </c>
      <c r="N31" s="80">
        <f>IFERROR(M31/M$28,0)</f>
        <v>0.35</v>
      </c>
      <c r="O31" s="179">
        <f>$C$30*O14</f>
        <v>318897.73521900002</v>
      </c>
      <c r="P31" s="80">
        <f>IFERROR(O31/O$28,0)</f>
        <v>0.35</v>
      </c>
      <c r="Q31" s="179">
        <f>$C$30*Q14</f>
        <v>322086.71257118997</v>
      </c>
      <c r="R31" s="80">
        <f>IFERROR(Q31/Q$28,0)</f>
        <v>0.35</v>
      </c>
      <c r="S31" s="179">
        <f>$C$30*S14</f>
        <v>325307.5796969019</v>
      </c>
      <c r="T31" s="80">
        <f>IFERROR(S31/S$28,0)</f>
        <v>0.35</v>
      </c>
      <c r="U31" s="179">
        <f>$C$30*U14</f>
        <v>328560.65549387096</v>
      </c>
      <c r="V31" s="80">
        <f>IFERROR(U31/U$28,0)</f>
        <v>0.35000000000000003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0</v>
      </c>
      <c r="D33" s="83">
        <f>IFERROR(C33/C$28,0)</f>
        <v>0</v>
      </c>
      <c r="E33" s="82">
        <f>SUM(E31:E32)</f>
        <v>297500</v>
      </c>
      <c r="F33" s="83">
        <f>IFERROR(E33/E$28,0)</f>
        <v>0.35</v>
      </c>
      <c r="G33" s="82">
        <f>SUM(G31:G32)</f>
        <v>303450</v>
      </c>
      <c r="H33" s="83">
        <f>IFERROR(G33/G$28,0)</f>
        <v>0.35</v>
      </c>
      <c r="I33" s="82">
        <f>SUM(I31:I32)</f>
        <v>309519</v>
      </c>
      <c r="J33" s="83">
        <f>IFERROR(I33/I$28,0)</f>
        <v>0.35</v>
      </c>
      <c r="K33" s="82">
        <f>SUM(K31:K32)</f>
        <v>312614.19</v>
      </c>
      <c r="L33" s="83">
        <f>IFERROR(K33/K$28,0)</f>
        <v>0.35</v>
      </c>
      <c r="M33" s="82">
        <f>SUM(M31:M32)</f>
        <v>315740.33189999999</v>
      </c>
      <c r="N33" s="83">
        <f>IFERROR(M33/M$28,0)</f>
        <v>0.35</v>
      </c>
      <c r="O33" s="82">
        <f>SUM(O31:O32)</f>
        <v>318897.73521900002</v>
      </c>
      <c r="P33" s="83">
        <f>IFERROR(O33/O$28,0)</f>
        <v>0.35</v>
      </c>
      <c r="Q33" s="82">
        <f>SUM(Q31:Q32)</f>
        <v>322086.71257118997</v>
      </c>
      <c r="R33" s="83">
        <f>IFERROR(Q33/Q$28,0)</f>
        <v>0.35</v>
      </c>
      <c r="S33" s="82">
        <f>SUM(S31:S32)</f>
        <v>325307.5796969019</v>
      </c>
      <c r="T33" s="83">
        <f>IFERROR(S33/S$28,0)</f>
        <v>0.35</v>
      </c>
      <c r="U33" s="82">
        <f>SUM(U31:U32)</f>
        <v>328560.65549387096</v>
      </c>
      <c r="V33" s="83">
        <f>IFERROR(U33/U$28,0)</f>
        <v>0.35000000000000003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13"/>
      <c r="D36" s="80">
        <f t="shared" ref="D36:D46" si="13">IFERROR(C36/C$28,0)</f>
        <v>0</v>
      </c>
      <c r="E36" s="179">
        <v>62211.642857142848</v>
      </c>
      <c r="F36" s="80">
        <f t="shared" ref="F36:F46" si="14">IFERROR(E36/E$28,0)</f>
        <v>7.3190168067226877E-2</v>
      </c>
      <c r="G36" s="179">
        <v>65322.224999999991</v>
      </c>
      <c r="H36" s="80">
        <f t="shared" ref="H36:H46" si="15">IFERROR(G36/G$28,0)</f>
        <v>7.5342820069204147E-2</v>
      </c>
      <c r="I36" s="179">
        <f>+G36*1.025</f>
        <v>66955.280624999985</v>
      </c>
      <c r="J36" s="80">
        <f t="shared" ref="J36:J46" si="16">IFERROR(I36/I$28,0)</f>
        <v>7.5712147618562972E-2</v>
      </c>
      <c r="K36" s="179">
        <f>+I36*1.025</f>
        <v>68629.162640624985</v>
      </c>
      <c r="L36" s="80">
        <f t="shared" ref="L36:L46" si="17">IFERROR(K36/K$28,0)</f>
        <v>7.6836585454482229E-2</v>
      </c>
      <c r="M36" s="179">
        <f>+K36*1.025</f>
        <v>70344.891706640599</v>
      </c>
      <c r="N36" s="80">
        <f t="shared" ref="N36:N46" si="18">IFERROR(M36/M$28,0)</f>
        <v>7.7977722862222057E-2</v>
      </c>
      <c r="O36" s="179">
        <f>+M36*1.025</f>
        <v>72103.513999306611</v>
      </c>
      <c r="P36" s="80">
        <f t="shared" ref="P36:P46" si="19">IFERROR(O36/O$28,0)</f>
        <v>7.9135807855225337E-2</v>
      </c>
      <c r="Q36" s="179">
        <f>+O36*1.025</f>
        <v>73906.101849289276</v>
      </c>
      <c r="R36" s="80">
        <f t="shared" ref="R36:R46" si="20">IFERROR(Q36/Q$28,0)</f>
        <v>8.031109213030295E-2</v>
      </c>
      <c r="S36" s="179">
        <f>+Q36*1.025</f>
        <v>75753.754395521508</v>
      </c>
      <c r="T36" s="80">
        <f t="shared" ref="T36:T46" si="21">IFERROR(S36/S$28,0)</f>
        <v>8.1503831122337153E-2</v>
      </c>
      <c r="U36" s="179">
        <f>+S36*1.025</f>
        <v>77647.598255409539</v>
      </c>
      <c r="V36" s="80">
        <f t="shared" ref="V36:V46" si="22">IFERROR(U36/U$28,0)</f>
        <v>8.2714284059797596E-2</v>
      </c>
    </row>
    <row r="37" spans="1:22" ht="12.75" customHeight="1">
      <c r="A37" s="2" t="s">
        <v>372</v>
      </c>
      <c r="B37" s="35"/>
      <c r="C37" s="113"/>
      <c r="D37" s="80">
        <f t="shared" si="13"/>
        <v>0</v>
      </c>
      <c r="E37" s="179">
        <v>120000</v>
      </c>
      <c r="F37" s="80">
        <f t="shared" si="14"/>
        <v>0.14117647058823529</v>
      </c>
      <c r="G37" s="179">
        <v>125000</v>
      </c>
      <c r="H37" s="80">
        <f t="shared" si="15"/>
        <v>0.14417531718569782</v>
      </c>
      <c r="I37" s="179">
        <f>+G37*1.032</f>
        <v>129000</v>
      </c>
      <c r="J37" s="80">
        <f t="shared" si="16"/>
        <v>0.14587149738788249</v>
      </c>
      <c r="K37" s="179">
        <f>+I37*1.025</f>
        <v>132225</v>
      </c>
      <c r="L37" s="80">
        <f t="shared" si="17"/>
        <v>0.14803790576493026</v>
      </c>
      <c r="M37" s="179">
        <f>+K37*1.025</f>
        <v>135530.625</v>
      </c>
      <c r="N37" s="80">
        <f t="shared" si="18"/>
        <v>0.15023648852381535</v>
      </c>
      <c r="O37" s="179">
        <f>+M37*1.025</f>
        <v>138918.890625</v>
      </c>
      <c r="P37" s="80">
        <f t="shared" si="19"/>
        <v>0.15246772350189181</v>
      </c>
      <c r="Q37" s="179">
        <f>+O37*1.025</f>
        <v>142391.86289062499</v>
      </c>
      <c r="R37" s="80">
        <f t="shared" si="20"/>
        <v>0.15473209563310802</v>
      </c>
      <c r="S37" s="179">
        <f>+Q37*1.025</f>
        <v>145951.65946289062</v>
      </c>
      <c r="T37" s="80">
        <f t="shared" si="21"/>
        <v>0.15703009705340168</v>
      </c>
      <c r="U37" s="179">
        <f>+S37*1.025</f>
        <v>149600.45094946286</v>
      </c>
      <c r="V37" s="80">
        <f t="shared" si="22"/>
        <v>0.15936222720766011</v>
      </c>
    </row>
    <row r="38" spans="1:22" ht="12.75" customHeight="1">
      <c r="A38" s="2" t="s">
        <v>373</v>
      </c>
      <c r="B38" s="35"/>
      <c r="C38" s="113"/>
      <c r="D38" s="80">
        <f t="shared" si="13"/>
        <v>0</v>
      </c>
      <c r="E38" s="179">
        <v>73938.428571428565</v>
      </c>
      <c r="F38" s="80">
        <f t="shared" si="14"/>
        <v>8.6986386554621847E-2</v>
      </c>
      <c r="G38" s="179">
        <v>77635.349999999991</v>
      </c>
      <c r="H38" s="80">
        <f t="shared" si="15"/>
        <v>8.9544809688581306E-2</v>
      </c>
      <c r="I38" s="179">
        <f>+G38*1.032</f>
        <v>80119.681199999992</v>
      </c>
      <c r="J38" s="80">
        <f t="shared" si="16"/>
        <v>9.0598278037858734E-2</v>
      </c>
      <c r="K38" s="179">
        <f>+I38*1.025</f>
        <v>82122.673229999986</v>
      </c>
      <c r="L38" s="80">
        <f t="shared" si="17"/>
        <v>9.1943797018619003E-2</v>
      </c>
      <c r="M38" s="179">
        <f>+K38*1.025</f>
        <v>84175.740060749973</v>
      </c>
      <c r="N38" s="80">
        <f t="shared" si="18"/>
        <v>9.3309298954539072E-2</v>
      </c>
      <c r="O38" s="179">
        <f>+M38*1.025</f>
        <v>86280.133562268718</v>
      </c>
      <c r="P38" s="80">
        <f t="shared" si="19"/>
        <v>9.4695080622180725E-2</v>
      </c>
      <c r="Q38" s="179">
        <f>+O38*1.025</f>
        <v>88437.13690132543</v>
      </c>
      <c r="R38" s="80">
        <f t="shared" si="20"/>
        <v>9.6101443205678469E-2</v>
      </c>
      <c r="S38" s="179">
        <f>+Q38*1.025</f>
        <v>90648.065323858551</v>
      </c>
      <c r="T38" s="80">
        <f t="shared" si="21"/>
        <v>9.7528692362198424E-2</v>
      </c>
      <c r="U38" s="179">
        <f>+S38*1.025</f>
        <v>92914.266956955005</v>
      </c>
      <c r="V38" s="80">
        <f t="shared" si="22"/>
        <v>9.8977138288369668E-2</v>
      </c>
    </row>
    <row r="39" spans="1:22" ht="12.75" customHeight="1">
      <c r="A39" s="2" t="s">
        <v>374</v>
      </c>
      <c r="B39" s="35"/>
      <c r="C39" s="113"/>
      <c r="D39" s="80">
        <f t="shared" si="13"/>
        <v>0</v>
      </c>
      <c r="E39" s="179">
        <v>33829.714285714283</v>
      </c>
      <c r="F39" s="80">
        <f t="shared" si="14"/>
        <v>3.9799663865546217E-2</v>
      </c>
      <c r="G39" s="179">
        <v>35521.199999999997</v>
      </c>
      <c r="H39" s="80">
        <f t="shared" si="15"/>
        <v>4.0970242214532868E-2</v>
      </c>
      <c r="I39" s="179">
        <f>+G39*1.032</f>
        <v>36657.878400000001</v>
      </c>
      <c r="J39" s="80">
        <f t="shared" si="16"/>
        <v>4.1452245064115614E-2</v>
      </c>
      <c r="K39" s="179">
        <f>+I39*1.025</f>
        <v>37574.325359999995</v>
      </c>
      <c r="L39" s="80">
        <f t="shared" si="17"/>
        <v>4.2067872466057914E-2</v>
      </c>
      <c r="M39" s="179">
        <f>+K39*1.025</f>
        <v>38513.68349399999</v>
      </c>
      <c r="N39" s="80">
        <f t="shared" si="18"/>
        <v>4.2692642849217186E-2</v>
      </c>
      <c r="O39" s="179">
        <f>+M39*1.025</f>
        <v>39476.52558134999</v>
      </c>
      <c r="P39" s="80">
        <f t="shared" si="19"/>
        <v>4.332669200044318E-2</v>
      </c>
      <c r="Q39" s="179">
        <f>+O39*1.025</f>
        <v>40463.438720883736</v>
      </c>
      <c r="R39" s="80">
        <f t="shared" si="20"/>
        <v>4.3970157723222041E-2</v>
      </c>
      <c r="S39" s="179">
        <f>+Q39*1.025</f>
        <v>41475.024688905825</v>
      </c>
      <c r="T39" s="80">
        <f t="shared" si="21"/>
        <v>4.4623179867626317E-2</v>
      </c>
      <c r="U39" s="179">
        <f>+S39*1.025</f>
        <v>42511.900306128467</v>
      </c>
      <c r="V39" s="80">
        <f t="shared" si="22"/>
        <v>4.5285900360709876E-2</v>
      </c>
    </row>
    <row r="40" spans="1:22" ht="12.75" customHeight="1">
      <c r="A40" s="2" t="s">
        <v>375</v>
      </c>
      <c r="B40" s="35"/>
      <c r="C40" s="113"/>
      <c r="D40" s="80">
        <f t="shared" si="13"/>
        <v>0</v>
      </c>
      <c r="E40" s="179">
        <v>8302.4547974999987</v>
      </c>
      <c r="F40" s="80">
        <f t="shared" si="14"/>
        <v>9.7675938794117637E-3</v>
      </c>
      <c r="G40" s="179">
        <v>8302.4547974999987</v>
      </c>
      <c r="H40" s="80">
        <f t="shared" si="15"/>
        <v>9.5760724307958466E-3</v>
      </c>
      <c r="I40" s="179">
        <f>I36*0.124</f>
        <v>8302.4547974999987</v>
      </c>
      <c r="J40" s="80">
        <f t="shared" si="16"/>
        <v>9.3883063047018097E-3</v>
      </c>
      <c r="K40" s="179">
        <f>K36*0.124</f>
        <v>8510.0161674374976</v>
      </c>
      <c r="L40" s="80">
        <f t="shared" si="17"/>
        <v>9.5277365963557965E-3</v>
      </c>
      <c r="M40" s="179">
        <f>M36*0.124</f>
        <v>8722.7665716234351</v>
      </c>
      <c r="N40" s="80">
        <f t="shared" si="18"/>
        <v>9.6692376349155357E-3</v>
      </c>
      <c r="O40" s="179">
        <f>O36*0.124</f>
        <v>8940.8357359140191</v>
      </c>
      <c r="P40" s="80">
        <f t="shared" si="19"/>
        <v>9.8128401740479425E-3</v>
      </c>
      <c r="Q40" s="179">
        <f>Q36*0.124</f>
        <v>9164.3566293118711</v>
      </c>
      <c r="R40" s="80">
        <f t="shared" si="20"/>
        <v>9.9585754241575675E-3</v>
      </c>
      <c r="S40" s="179">
        <f>S36*0.124</f>
        <v>9393.4655450446662</v>
      </c>
      <c r="T40" s="80">
        <f t="shared" si="21"/>
        <v>1.0106475059169806E-2</v>
      </c>
      <c r="U40" s="179">
        <f>U36*0.124</f>
        <v>9628.3021836707831</v>
      </c>
      <c r="V40" s="80">
        <f t="shared" si="22"/>
        <v>1.0256571223414902E-2</v>
      </c>
    </row>
    <row r="41" spans="1:22" ht="12.75" customHeight="1">
      <c r="A41" s="2" t="s">
        <v>376</v>
      </c>
      <c r="B41" s="35"/>
      <c r="C41" s="113"/>
      <c r="D41" s="80">
        <f t="shared" si="13"/>
        <v>0</v>
      </c>
      <c r="E41" s="179">
        <v>30416.690885759999</v>
      </c>
      <c r="F41" s="80">
        <f t="shared" si="14"/>
        <v>3.5784342218541175E-2</v>
      </c>
      <c r="G41" s="179">
        <v>30416.690885759999</v>
      </c>
      <c r="H41" s="80">
        <f t="shared" si="15"/>
        <v>3.5082688449550169E-2</v>
      </c>
      <c r="I41" s="179">
        <f>I37*0.124</f>
        <v>15996</v>
      </c>
      <c r="J41" s="80">
        <f t="shared" si="16"/>
        <v>1.8088065676097428E-2</v>
      </c>
      <c r="K41" s="179">
        <f>K37*0.124</f>
        <v>16395.900000000001</v>
      </c>
      <c r="L41" s="80">
        <f t="shared" si="17"/>
        <v>1.8356700314851353E-2</v>
      </c>
      <c r="M41" s="179">
        <f>M37*0.124</f>
        <v>16805.797500000001</v>
      </c>
      <c r="N41" s="80">
        <f t="shared" si="18"/>
        <v>1.8629324576953103E-2</v>
      </c>
      <c r="O41" s="179">
        <f>O37*0.124</f>
        <v>17225.942437500002</v>
      </c>
      <c r="P41" s="80">
        <f t="shared" si="19"/>
        <v>1.8905997714234585E-2</v>
      </c>
      <c r="Q41" s="179">
        <f>Q37*0.124</f>
        <v>17656.590998437499</v>
      </c>
      <c r="R41" s="80">
        <f t="shared" si="20"/>
        <v>1.9186779858505393E-2</v>
      </c>
      <c r="S41" s="179">
        <f>S37*0.124</f>
        <v>18098.005773398436</v>
      </c>
      <c r="T41" s="80">
        <f t="shared" si="21"/>
        <v>1.9471732034621811E-2</v>
      </c>
      <c r="U41" s="179">
        <f>U37*0.124</f>
        <v>18550.455917733394</v>
      </c>
      <c r="V41" s="80">
        <f t="shared" si="22"/>
        <v>1.9760916173749851E-2</v>
      </c>
    </row>
    <row r="42" spans="1:22" ht="12.75" customHeight="1">
      <c r="A42" s="2" t="s">
        <v>377</v>
      </c>
      <c r="B42" s="35"/>
      <c r="C42" s="113"/>
      <c r="D42" s="80">
        <f t="shared" si="13"/>
        <v>0</v>
      </c>
      <c r="E42" s="179"/>
      <c r="F42" s="80">
        <f t="shared" si="14"/>
        <v>0</v>
      </c>
      <c r="G42" s="179"/>
      <c r="H42" s="80">
        <f t="shared" si="15"/>
        <v>0</v>
      </c>
      <c r="I42" s="179"/>
      <c r="J42" s="80">
        <f t="shared" si="16"/>
        <v>0</v>
      </c>
      <c r="K42" s="179"/>
      <c r="L42" s="80">
        <f t="shared" si="17"/>
        <v>0</v>
      </c>
      <c r="M42" s="179"/>
      <c r="N42" s="80">
        <f t="shared" si="18"/>
        <v>0</v>
      </c>
      <c r="O42" s="179"/>
      <c r="P42" s="80">
        <f t="shared" si="19"/>
        <v>0</v>
      </c>
      <c r="Q42" s="179"/>
      <c r="R42" s="80">
        <f t="shared" si="20"/>
        <v>0</v>
      </c>
      <c r="S42" s="179"/>
      <c r="T42" s="80">
        <f t="shared" si="21"/>
        <v>0</v>
      </c>
      <c r="U42" s="179"/>
      <c r="V42" s="80">
        <f t="shared" si="22"/>
        <v>0</v>
      </c>
    </row>
    <row r="43" spans="1:22" ht="12.75" customHeight="1">
      <c r="A43" s="2" t="s">
        <v>378</v>
      </c>
      <c r="B43" s="35"/>
      <c r="C43" s="113"/>
      <c r="D43" s="80">
        <f t="shared" si="13"/>
        <v>0</v>
      </c>
      <c r="E43" s="179"/>
      <c r="F43" s="80">
        <f t="shared" si="14"/>
        <v>0</v>
      </c>
      <c r="G43" s="179"/>
      <c r="H43" s="80">
        <f t="shared" si="15"/>
        <v>0</v>
      </c>
      <c r="I43" s="179"/>
      <c r="J43" s="80">
        <f t="shared" si="16"/>
        <v>0</v>
      </c>
      <c r="K43" s="179"/>
      <c r="L43" s="80">
        <f t="shared" si="17"/>
        <v>0</v>
      </c>
      <c r="M43" s="179"/>
      <c r="N43" s="80">
        <f t="shared" si="18"/>
        <v>0</v>
      </c>
      <c r="O43" s="179"/>
      <c r="P43" s="80">
        <f t="shared" si="19"/>
        <v>0</v>
      </c>
      <c r="Q43" s="179"/>
      <c r="R43" s="80">
        <f t="shared" si="20"/>
        <v>0</v>
      </c>
      <c r="S43" s="179"/>
      <c r="T43" s="80">
        <f t="shared" si="21"/>
        <v>0</v>
      </c>
      <c r="U43" s="179"/>
      <c r="V43" s="80">
        <f t="shared" si="22"/>
        <v>0</v>
      </c>
    </row>
    <row r="44" spans="1:22" ht="12.75" customHeight="1">
      <c r="A44" s="2" t="s">
        <v>379</v>
      </c>
      <c r="B44" s="35"/>
      <c r="C44" s="113"/>
      <c r="D44" s="80">
        <f t="shared" si="13"/>
        <v>0</v>
      </c>
      <c r="E44" s="179"/>
      <c r="F44" s="80">
        <f t="shared" si="14"/>
        <v>0</v>
      </c>
      <c r="G44" s="179"/>
      <c r="H44" s="80">
        <f t="shared" si="15"/>
        <v>0</v>
      </c>
      <c r="I44" s="179"/>
      <c r="J44" s="80">
        <f t="shared" si="16"/>
        <v>0</v>
      </c>
      <c r="K44" s="179"/>
      <c r="L44" s="80">
        <f t="shared" si="17"/>
        <v>0</v>
      </c>
      <c r="M44" s="179"/>
      <c r="N44" s="80">
        <f t="shared" si="18"/>
        <v>0</v>
      </c>
      <c r="O44" s="179"/>
      <c r="P44" s="80">
        <f t="shared" si="19"/>
        <v>0</v>
      </c>
      <c r="Q44" s="179"/>
      <c r="R44" s="80">
        <f t="shared" si="20"/>
        <v>0</v>
      </c>
      <c r="S44" s="179"/>
      <c r="T44" s="80">
        <f t="shared" si="21"/>
        <v>0</v>
      </c>
      <c r="U44" s="179"/>
      <c r="V44" s="80">
        <f t="shared" si="22"/>
        <v>0</v>
      </c>
    </row>
    <row r="45" spans="1:22" ht="12.75" customHeight="1">
      <c r="A45" s="2" t="s">
        <v>380</v>
      </c>
      <c r="B45" s="35"/>
      <c r="C45" s="114"/>
      <c r="D45" s="80">
        <f t="shared" si="13"/>
        <v>0</v>
      </c>
      <c r="E45" s="179">
        <v>40328.701039709995</v>
      </c>
      <c r="F45" s="80">
        <f t="shared" si="14"/>
        <v>4.7445530634952937E-2</v>
      </c>
      <c r="G45" s="182">
        <v>40328.701039709995</v>
      </c>
      <c r="H45" s="80">
        <f t="shared" si="15"/>
        <v>4.6515226112698954E-2</v>
      </c>
      <c r="I45" s="182">
        <f>SUM(I36:I39)*0.094</f>
        <v>29396.886981150001</v>
      </c>
      <c r="J45" s="80">
        <f t="shared" si="16"/>
        <v>3.3241611802191463E-2</v>
      </c>
      <c r="K45" s="182">
        <f>SUM(K36:K39)*0.094</f>
        <v>30131.809155678751</v>
      </c>
      <c r="L45" s="80">
        <f t="shared" si="17"/>
        <v>3.3735299106184405E-2</v>
      </c>
      <c r="M45" s="182">
        <f>SUM(M36:M39)*0.094</f>
        <v>30885.104384570714</v>
      </c>
      <c r="N45" s="80">
        <f t="shared" si="18"/>
        <v>3.4236318399840607E-2</v>
      </c>
      <c r="O45" s="182">
        <f>SUM(O36:O39)*0.094</f>
        <v>31657.231994184975</v>
      </c>
      <c r="P45" s="80">
        <f t="shared" si="19"/>
        <v>3.4744778574095657E-2</v>
      </c>
      <c r="Q45" s="182">
        <f>SUM(Q36:Q39)*0.094</f>
        <v>32448.662794039607</v>
      </c>
      <c r="R45" s="80">
        <f t="shared" si="20"/>
        <v>3.526079013707728E-2</v>
      </c>
      <c r="S45" s="182">
        <f>SUM(S36:S39)*0.094</f>
        <v>33259.879363890592</v>
      </c>
      <c r="T45" s="80">
        <f t="shared" si="21"/>
        <v>3.5784465238122974E-2</v>
      </c>
      <c r="U45" s="182">
        <f>SUM(U36:U39)*0.094</f>
        <v>34091.376347987854</v>
      </c>
      <c r="V45" s="80">
        <f t="shared" si="22"/>
        <v>3.6315917692154503E-2</v>
      </c>
    </row>
    <row r="46" spans="1:22" ht="12.75" customHeight="1">
      <c r="A46" s="1" t="s">
        <v>381</v>
      </c>
      <c r="B46" s="53"/>
      <c r="C46" s="82">
        <f>SUM(C36:C45)</f>
        <v>0</v>
      </c>
      <c r="D46" s="83">
        <f t="shared" si="13"/>
        <v>0</v>
      </c>
      <c r="E46" s="82">
        <f>SUM(E36:E45)</f>
        <v>369027.6324372557</v>
      </c>
      <c r="F46" s="83">
        <f t="shared" si="14"/>
        <v>0.43415015580853611</v>
      </c>
      <c r="G46" s="82">
        <f>SUM(G36:G45)</f>
        <v>382526.62172296993</v>
      </c>
      <c r="H46" s="83">
        <f t="shared" si="15"/>
        <v>0.44120717615106103</v>
      </c>
      <c r="I46" s="82">
        <f>SUM(I36:I45)</f>
        <v>366428.18200365</v>
      </c>
      <c r="J46" s="83">
        <f t="shared" si="16"/>
        <v>0.41435215189141056</v>
      </c>
      <c r="K46" s="82">
        <f>SUM(K36:K45)</f>
        <v>375588.88655374123</v>
      </c>
      <c r="L46" s="83">
        <f t="shared" si="17"/>
        <v>0.42050589672148098</v>
      </c>
      <c r="M46" s="82">
        <f>SUM(M36:M45)</f>
        <v>384978.60871758475</v>
      </c>
      <c r="N46" s="83">
        <f t="shared" si="18"/>
        <v>0.42675103380150292</v>
      </c>
      <c r="O46" s="82">
        <f>SUM(O36:O45)</f>
        <v>394603.07393552421</v>
      </c>
      <c r="P46" s="83">
        <f t="shared" si="19"/>
        <v>0.43308892044211911</v>
      </c>
      <c r="Q46" s="82">
        <f>SUM(Q36:Q45)</f>
        <v>404468.1507839124</v>
      </c>
      <c r="R46" s="83">
        <f t="shared" si="20"/>
        <v>0.43952093411205168</v>
      </c>
      <c r="S46" s="82">
        <f>SUM(S36:S45)</f>
        <v>414579.8545535102</v>
      </c>
      <c r="T46" s="83">
        <f t="shared" si="21"/>
        <v>0.44604847273747816</v>
      </c>
      <c r="U46" s="82">
        <f>SUM(U36:U45)</f>
        <v>424944.35091734794</v>
      </c>
      <c r="V46" s="83">
        <f t="shared" si="22"/>
        <v>0.45267295500585653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3">IFERROR(C52/C$28,0)</f>
        <v>0</v>
      </c>
      <c r="E52" s="179">
        <v>0</v>
      </c>
      <c r="F52" s="80">
        <f t="shared" ref="F52:F104" si="24">IFERROR(E52/E$28,0)</f>
        <v>0</v>
      </c>
      <c r="G52" s="179">
        <v>0</v>
      </c>
      <c r="H52" s="80">
        <f t="shared" ref="H52:H104" si="25">IFERROR(G52/G$28,0)</f>
        <v>0</v>
      </c>
      <c r="I52" s="179">
        <v>0</v>
      </c>
      <c r="J52" s="80">
        <f t="shared" ref="J52:J104" si="26">IFERROR(I52/I$28,0)</f>
        <v>0</v>
      </c>
      <c r="K52" s="179">
        <v>0</v>
      </c>
      <c r="L52" s="80">
        <f t="shared" ref="L52:L104" si="27">IFERROR(K52/K$28,0)</f>
        <v>0</v>
      </c>
      <c r="M52" s="179">
        <v>0</v>
      </c>
      <c r="N52" s="80">
        <f t="shared" ref="N52:N104" si="28">IFERROR(M52/M$28,0)</f>
        <v>0</v>
      </c>
      <c r="O52" s="179">
        <v>0</v>
      </c>
      <c r="P52" s="80">
        <f t="shared" ref="P52:P104" si="29">IFERROR(O52/O$28,0)</f>
        <v>0</v>
      </c>
      <c r="Q52" s="179">
        <v>0</v>
      </c>
      <c r="R52" s="80">
        <f t="shared" ref="R52:R104" si="30">IFERROR(Q52/Q$28,0)</f>
        <v>0</v>
      </c>
      <c r="S52" s="179">
        <v>0</v>
      </c>
      <c r="T52" s="80">
        <f t="shared" ref="T52:T104" si="31">IFERROR(S52/S$28,0)</f>
        <v>0</v>
      </c>
      <c r="U52" s="179">
        <v>0</v>
      </c>
      <c r="V52" s="80">
        <f t="shared" ref="V52:V105" si="32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3"/>
        <v>0</v>
      </c>
      <c r="E53" s="179">
        <v>0</v>
      </c>
      <c r="F53" s="80">
        <f t="shared" si="24"/>
        <v>0</v>
      </c>
      <c r="G53" s="179">
        <v>0</v>
      </c>
      <c r="H53" s="80">
        <f t="shared" si="25"/>
        <v>0</v>
      </c>
      <c r="I53" s="179">
        <v>0</v>
      </c>
      <c r="J53" s="80">
        <f t="shared" si="26"/>
        <v>0</v>
      </c>
      <c r="K53" s="179">
        <v>0</v>
      </c>
      <c r="L53" s="80">
        <f t="shared" si="27"/>
        <v>0</v>
      </c>
      <c r="M53" s="179">
        <v>0</v>
      </c>
      <c r="N53" s="80">
        <f t="shared" si="28"/>
        <v>0</v>
      </c>
      <c r="O53" s="179">
        <v>0</v>
      </c>
      <c r="P53" s="80">
        <f t="shared" si="29"/>
        <v>0</v>
      </c>
      <c r="Q53" s="179">
        <v>0</v>
      </c>
      <c r="R53" s="80">
        <f t="shared" si="30"/>
        <v>0</v>
      </c>
      <c r="S53" s="179">
        <v>0</v>
      </c>
      <c r="T53" s="80">
        <f t="shared" si="31"/>
        <v>0</v>
      </c>
      <c r="U53" s="179">
        <v>0</v>
      </c>
      <c r="V53" s="80">
        <f t="shared" si="32"/>
        <v>0</v>
      </c>
      <c r="X53" s="200"/>
    </row>
    <row r="54" spans="1:24" ht="12.75" customHeight="1">
      <c r="A54" s="2" t="s">
        <v>385</v>
      </c>
      <c r="B54" s="35"/>
      <c r="C54" s="179">
        <v>0</v>
      </c>
      <c r="D54" s="80">
        <f t="shared" si="23"/>
        <v>0</v>
      </c>
      <c r="E54" s="179">
        <v>595</v>
      </c>
      <c r="F54" s="80">
        <f t="shared" si="24"/>
        <v>6.9999999999999999E-4</v>
      </c>
      <c r="G54" s="179">
        <v>606.90000000000009</v>
      </c>
      <c r="H54" s="80">
        <f t="shared" si="25"/>
        <v>7.000000000000001E-4</v>
      </c>
      <c r="I54" s="179">
        <v>619.0379999999999</v>
      </c>
      <c r="J54" s="80">
        <f t="shared" si="26"/>
        <v>6.9999999999999988E-4</v>
      </c>
      <c r="K54" s="179">
        <v>625.22838000000002</v>
      </c>
      <c r="L54" s="80">
        <f t="shared" si="27"/>
        <v>6.9999999999999999E-4</v>
      </c>
      <c r="M54" s="179">
        <v>631.4806638</v>
      </c>
      <c r="N54" s="80">
        <f t="shared" si="28"/>
        <v>6.9999999999999999E-4</v>
      </c>
      <c r="O54" s="179">
        <v>637.79547043800005</v>
      </c>
      <c r="P54" s="80">
        <f t="shared" si="29"/>
        <v>6.9999999999999999E-4</v>
      </c>
      <c r="Q54" s="179">
        <v>644.17342514237998</v>
      </c>
      <c r="R54" s="80">
        <f t="shared" si="30"/>
        <v>6.9999999999999999E-4</v>
      </c>
      <c r="S54" s="179">
        <v>650.61515939380376</v>
      </c>
      <c r="T54" s="80">
        <f t="shared" si="31"/>
        <v>6.9999999999999988E-4</v>
      </c>
      <c r="U54" s="179">
        <v>657.12131098774194</v>
      </c>
      <c r="V54" s="80">
        <f t="shared" si="32"/>
        <v>6.9999999999999999E-4</v>
      </c>
      <c r="X54" s="200"/>
    </row>
    <row r="55" spans="1:24" ht="12.75" customHeight="1">
      <c r="A55" s="2" t="s">
        <v>386</v>
      </c>
      <c r="B55" s="35"/>
      <c r="C55" s="179">
        <v>0</v>
      </c>
      <c r="D55" s="80">
        <f t="shared" si="23"/>
        <v>0</v>
      </c>
      <c r="E55" s="179">
        <v>42500</v>
      </c>
      <c r="F55" s="80">
        <f t="shared" si="24"/>
        <v>0.05</v>
      </c>
      <c r="G55" s="179">
        <v>43350</v>
      </c>
      <c r="H55" s="80">
        <f t="shared" si="25"/>
        <v>0.05</v>
      </c>
      <c r="I55" s="179">
        <v>44217</v>
      </c>
      <c r="J55" s="80">
        <f t="shared" si="26"/>
        <v>0.05</v>
      </c>
      <c r="K55" s="179">
        <v>44659.170000000006</v>
      </c>
      <c r="L55" s="80">
        <f t="shared" si="27"/>
        <v>0.05</v>
      </c>
      <c r="M55" s="179">
        <v>45105.761700000003</v>
      </c>
      <c r="N55" s="80">
        <f t="shared" si="28"/>
        <v>0.05</v>
      </c>
      <c r="O55" s="179">
        <v>45556.819317000009</v>
      </c>
      <c r="P55" s="80">
        <f t="shared" si="29"/>
        <v>0.05</v>
      </c>
      <c r="Q55" s="179">
        <v>46012.387510170003</v>
      </c>
      <c r="R55" s="80">
        <f t="shared" si="30"/>
        <v>0.05</v>
      </c>
      <c r="S55" s="179">
        <v>46472.511385271704</v>
      </c>
      <c r="T55" s="80">
        <f t="shared" si="31"/>
        <v>0.05</v>
      </c>
      <c r="U55" s="179">
        <v>46937.236499124425</v>
      </c>
      <c r="V55" s="80">
        <f t="shared" si="32"/>
        <v>0.05</v>
      </c>
      <c r="X55" s="200"/>
    </row>
    <row r="56" spans="1:24" ht="12.75" customHeight="1">
      <c r="A56" s="2" t="s">
        <v>387</v>
      </c>
      <c r="B56" s="35"/>
      <c r="C56" s="179">
        <v>0</v>
      </c>
      <c r="D56" s="80">
        <f t="shared" si="23"/>
        <v>0</v>
      </c>
      <c r="E56" s="179">
        <v>433.50000000000006</v>
      </c>
      <c r="F56" s="80">
        <f t="shared" si="24"/>
        <v>5.1000000000000004E-4</v>
      </c>
      <c r="G56" s="179">
        <v>442.17000000000007</v>
      </c>
      <c r="H56" s="80">
        <f t="shared" si="25"/>
        <v>5.1000000000000004E-4</v>
      </c>
      <c r="I56" s="179">
        <v>451.01340000000005</v>
      </c>
      <c r="J56" s="80">
        <f t="shared" si="26"/>
        <v>5.1000000000000004E-4</v>
      </c>
      <c r="K56" s="179">
        <v>455.5235340000001</v>
      </c>
      <c r="L56" s="80">
        <f t="shared" si="27"/>
        <v>5.1000000000000015E-4</v>
      </c>
      <c r="M56" s="179">
        <v>460.07876934000001</v>
      </c>
      <c r="N56" s="80">
        <f t="shared" si="28"/>
        <v>5.0999999999999993E-4</v>
      </c>
      <c r="O56" s="179">
        <v>464.6795570334001</v>
      </c>
      <c r="P56" s="80">
        <f t="shared" si="29"/>
        <v>5.1000000000000004E-4</v>
      </c>
      <c r="Q56" s="179">
        <v>469.32635260373405</v>
      </c>
      <c r="R56" s="80">
        <f t="shared" si="30"/>
        <v>5.1000000000000004E-4</v>
      </c>
      <c r="S56" s="179">
        <v>474.01961612977135</v>
      </c>
      <c r="T56" s="80">
        <f t="shared" si="31"/>
        <v>5.0999999999999993E-4</v>
      </c>
      <c r="U56" s="179">
        <v>478.75981229106912</v>
      </c>
      <c r="V56" s="80">
        <f t="shared" si="32"/>
        <v>5.1000000000000004E-4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3"/>
        <v>0</v>
      </c>
      <c r="E57" s="179">
        <v>0</v>
      </c>
      <c r="F57" s="80">
        <f t="shared" si="24"/>
        <v>0</v>
      </c>
      <c r="G57" s="179">
        <v>0</v>
      </c>
      <c r="H57" s="80">
        <f t="shared" si="25"/>
        <v>0</v>
      </c>
      <c r="I57" s="179">
        <v>0</v>
      </c>
      <c r="J57" s="80">
        <f t="shared" si="26"/>
        <v>0</v>
      </c>
      <c r="K57" s="179">
        <v>0</v>
      </c>
      <c r="L57" s="80">
        <f t="shared" si="27"/>
        <v>0</v>
      </c>
      <c r="M57" s="179">
        <v>0</v>
      </c>
      <c r="N57" s="80">
        <f t="shared" si="28"/>
        <v>0</v>
      </c>
      <c r="O57" s="179">
        <v>0</v>
      </c>
      <c r="P57" s="80">
        <f t="shared" si="29"/>
        <v>0</v>
      </c>
      <c r="Q57" s="179">
        <v>0</v>
      </c>
      <c r="R57" s="80">
        <f t="shared" si="30"/>
        <v>0</v>
      </c>
      <c r="S57" s="179">
        <v>0</v>
      </c>
      <c r="T57" s="80">
        <f t="shared" si="31"/>
        <v>0</v>
      </c>
      <c r="U57" s="179">
        <v>0</v>
      </c>
      <c r="V57" s="80">
        <f t="shared" si="32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3"/>
        <v>0</v>
      </c>
      <c r="E58" s="179">
        <v>0</v>
      </c>
      <c r="F58" s="80">
        <f t="shared" si="24"/>
        <v>0</v>
      </c>
      <c r="G58" s="179">
        <v>0</v>
      </c>
      <c r="H58" s="80">
        <f t="shared" si="25"/>
        <v>0</v>
      </c>
      <c r="I58" s="179">
        <v>0</v>
      </c>
      <c r="J58" s="80">
        <f t="shared" si="26"/>
        <v>0</v>
      </c>
      <c r="K58" s="179">
        <v>0</v>
      </c>
      <c r="L58" s="80">
        <f t="shared" si="27"/>
        <v>0</v>
      </c>
      <c r="M58" s="179">
        <v>0</v>
      </c>
      <c r="N58" s="80">
        <f t="shared" si="28"/>
        <v>0</v>
      </c>
      <c r="O58" s="179">
        <v>0</v>
      </c>
      <c r="P58" s="80">
        <f t="shared" si="29"/>
        <v>0</v>
      </c>
      <c r="Q58" s="179">
        <v>0</v>
      </c>
      <c r="R58" s="80">
        <f t="shared" si="30"/>
        <v>0</v>
      </c>
      <c r="S58" s="179">
        <v>0</v>
      </c>
      <c r="T58" s="80">
        <f t="shared" si="31"/>
        <v>0</v>
      </c>
      <c r="U58" s="179">
        <v>0</v>
      </c>
      <c r="V58" s="80">
        <f t="shared" si="32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3"/>
        <v>0</v>
      </c>
      <c r="E59" s="179">
        <v>0</v>
      </c>
      <c r="F59" s="80">
        <f t="shared" si="24"/>
        <v>0</v>
      </c>
      <c r="G59" s="179">
        <v>0</v>
      </c>
      <c r="H59" s="80">
        <f t="shared" si="25"/>
        <v>0</v>
      </c>
      <c r="I59" s="179">
        <v>0</v>
      </c>
      <c r="J59" s="80">
        <f t="shared" si="26"/>
        <v>0</v>
      </c>
      <c r="K59" s="179">
        <v>0</v>
      </c>
      <c r="L59" s="80">
        <f t="shared" si="27"/>
        <v>0</v>
      </c>
      <c r="M59" s="179">
        <v>0</v>
      </c>
      <c r="N59" s="80">
        <f t="shared" si="28"/>
        <v>0</v>
      </c>
      <c r="O59" s="179">
        <v>0</v>
      </c>
      <c r="P59" s="80">
        <f t="shared" si="29"/>
        <v>0</v>
      </c>
      <c r="Q59" s="179">
        <v>0</v>
      </c>
      <c r="R59" s="80">
        <f t="shared" si="30"/>
        <v>0</v>
      </c>
      <c r="S59" s="179">
        <v>0</v>
      </c>
      <c r="T59" s="80">
        <f t="shared" si="31"/>
        <v>0</v>
      </c>
      <c r="U59" s="179">
        <v>0</v>
      </c>
      <c r="V59" s="80">
        <f t="shared" si="32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3"/>
        <v>0</v>
      </c>
      <c r="E60" s="179">
        <v>0</v>
      </c>
      <c r="F60" s="80">
        <f t="shared" si="24"/>
        <v>0</v>
      </c>
      <c r="G60" s="179">
        <v>0</v>
      </c>
      <c r="H60" s="80">
        <f t="shared" si="25"/>
        <v>0</v>
      </c>
      <c r="I60" s="179">
        <v>0</v>
      </c>
      <c r="J60" s="80">
        <f t="shared" si="26"/>
        <v>0</v>
      </c>
      <c r="K60" s="179">
        <v>0</v>
      </c>
      <c r="L60" s="80">
        <f t="shared" si="27"/>
        <v>0</v>
      </c>
      <c r="M60" s="179">
        <v>0</v>
      </c>
      <c r="N60" s="80">
        <f t="shared" si="28"/>
        <v>0</v>
      </c>
      <c r="O60" s="179">
        <v>0</v>
      </c>
      <c r="P60" s="80">
        <f t="shared" si="29"/>
        <v>0</v>
      </c>
      <c r="Q60" s="179">
        <v>0</v>
      </c>
      <c r="R60" s="80">
        <f t="shared" si="30"/>
        <v>0</v>
      </c>
      <c r="S60" s="179">
        <v>0</v>
      </c>
      <c r="T60" s="80">
        <f t="shared" si="31"/>
        <v>0</v>
      </c>
      <c r="U60" s="179">
        <v>0</v>
      </c>
      <c r="V60" s="80">
        <f t="shared" si="32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3"/>
        <v>0</v>
      </c>
      <c r="E61" s="179">
        <v>0</v>
      </c>
      <c r="F61" s="80">
        <f t="shared" si="24"/>
        <v>0</v>
      </c>
      <c r="G61" s="179">
        <v>0</v>
      </c>
      <c r="H61" s="80">
        <f t="shared" si="25"/>
        <v>0</v>
      </c>
      <c r="I61" s="179">
        <v>0</v>
      </c>
      <c r="J61" s="80">
        <f t="shared" si="26"/>
        <v>0</v>
      </c>
      <c r="K61" s="179">
        <v>0</v>
      </c>
      <c r="L61" s="80">
        <f t="shared" si="27"/>
        <v>0</v>
      </c>
      <c r="M61" s="179">
        <v>0</v>
      </c>
      <c r="N61" s="80">
        <f t="shared" si="28"/>
        <v>0</v>
      </c>
      <c r="O61" s="179">
        <v>0</v>
      </c>
      <c r="P61" s="80">
        <f t="shared" si="29"/>
        <v>0</v>
      </c>
      <c r="Q61" s="179">
        <v>0</v>
      </c>
      <c r="R61" s="80">
        <f t="shared" si="30"/>
        <v>0</v>
      </c>
      <c r="S61" s="179">
        <v>0</v>
      </c>
      <c r="T61" s="80">
        <f t="shared" si="31"/>
        <v>0</v>
      </c>
      <c r="U61" s="179">
        <v>0</v>
      </c>
      <c r="V61" s="80">
        <f t="shared" si="32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3"/>
        <v>0</v>
      </c>
      <c r="E62" s="179">
        <v>0</v>
      </c>
      <c r="F62" s="80">
        <f t="shared" si="24"/>
        <v>0</v>
      </c>
      <c r="G62" s="179">
        <v>0</v>
      </c>
      <c r="H62" s="80">
        <f t="shared" si="25"/>
        <v>0</v>
      </c>
      <c r="I62" s="179">
        <v>0</v>
      </c>
      <c r="J62" s="80">
        <f t="shared" si="26"/>
        <v>0</v>
      </c>
      <c r="K62" s="179">
        <v>0</v>
      </c>
      <c r="L62" s="80">
        <f t="shared" si="27"/>
        <v>0</v>
      </c>
      <c r="M62" s="179">
        <v>0</v>
      </c>
      <c r="N62" s="80">
        <f t="shared" si="28"/>
        <v>0</v>
      </c>
      <c r="O62" s="179">
        <v>0</v>
      </c>
      <c r="P62" s="80">
        <f t="shared" si="29"/>
        <v>0</v>
      </c>
      <c r="Q62" s="179">
        <v>0</v>
      </c>
      <c r="R62" s="80">
        <f t="shared" si="30"/>
        <v>0</v>
      </c>
      <c r="S62" s="179">
        <v>0</v>
      </c>
      <c r="T62" s="80">
        <f t="shared" si="31"/>
        <v>0</v>
      </c>
      <c r="U62" s="179">
        <v>0</v>
      </c>
      <c r="V62" s="80">
        <f t="shared" si="32"/>
        <v>0</v>
      </c>
      <c r="X62" s="200"/>
    </row>
    <row r="63" spans="1:24" ht="12.75" customHeight="1">
      <c r="A63" s="2" t="s">
        <v>394</v>
      </c>
      <c r="B63" s="35"/>
      <c r="C63" s="179">
        <v>0</v>
      </c>
      <c r="D63" s="80">
        <f t="shared" si="23"/>
        <v>0</v>
      </c>
      <c r="E63" s="179">
        <v>6593.7223857543358</v>
      </c>
      <c r="F63" s="80">
        <f t="shared" si="24"/>
        <v>7.7573204538286308E-3</v>
      </c>
      <c r="G63" s="179">
        <v>7718.5068797653921</v>
      </c>
      <c r="H63" s="80">
        <f t="shared" si="25"/>
        <v>8.9025454207213289E-3</v>
      </c>
      <c r="I63" s="179">
        <v>7803.9999571003227</v>
      </c>
      <c r="J63" s="80">
        <f t="shared" si="26"/>
        <v>8.8246601500557732E-3</v>
      </c>
      <c r="K63" s="179">
        <v>7791.2679800090909</v>
      </c>
      <c r="L63" s="80">
        <f t="shared" si="27"/>
        <v>8.723032671687685E-3</v>
      </c>
      <c r="M63" s="179">
        <v>7852.6396491329924</v>
      </c>
      <c r="N63" s="80">
        <f t="shared" si="28"/>
        <v>8.7046968648497418E-3</v>
      </c>
      <c r="O63" s="179">
        <v>7914.9321563880694</v>
      </c>
      <c r="P63" s="80">
        <f t="shared" si="29"/>
        <v>8.6868796758101698E-3</v>
      </c>
      <c r="Q63" s="179">
        <v>7977.8781573630386</v>
      </c>
      <c r="R63" s="80">
        <f t="shared" si="30"/>
        <v>8.669272112428102E-3</v>
      </c>
      <c r="S63" s="179">
        <v>8041.2218601349814</v>
      </c>
      <c r="T63" s="80">
        <f t="shared" si="31"/>
        <v>8.6515895315735451E-3</v>
      </c>
      <c r="U63" s="179">
        <v>8415.0520671868999</v>
      </c>
      <c r="V63" s="80">
        <f t="shared" si="32"/>
        <v>8.9641537240308933E-3</v>
      </c>
      <c r="X63" s="200"/>
    </row>
    <row r="64" spans="1:24" ht="12.75" customHeight="1">
      <c r="A64" s="2" t="s">
        <v>395</v>
      </c>
      <c r="B64" s="35"/>
      <c r="C64" s="179">
        <v>0</v>
      </c>
      <c r="D64" s="80">
        <f t="shared" si="23"/>
        <v>0</v>
      </c>
      <c r="E64" s="179">
        <v>4079.9999999999995</v>
      </c>
      <c r="F64" s="80">
        <f t="shared" si="24"/>
        <v>4.7999999999999996E-3</v>
      </c>
      <c r="G64" s="179">
        <v>4161.5999999999995</v>
      </c>
      <c r="H64" s="80">
        <f t="shared" si="25"/>
        <v>4.7999999999999996E-3</v>
      </c>
      <c r="I64" s="179">
        <v>4244.8319999999994</v>
      </c>
      <c r="J64" s="80">
        <f t="shared" si="26"/>
        <v>4.7999999999999996E-3</v>
      </c>
      <c r="K64" s="179">
        <v>4287.2803199999998</v>
      </c>
      <c r="L64" s="80">
        <f t="shared" si="27"/>
        <v>4.7999999999999996E-3</v>
      </c>
      <c r="M64" s="179">
        <v>4330.1531231999998</v>
      </c>
      <c r="N64" s="80">
        <f t="shared" si="28"/>
        <v>4.7999999999999996E-3</v>
      </c>
      <c r="O64" s="179">
        <v>4373.4546544320001</v>
      </c>
      <c r="P64" s="80">
        <f t="shared" si="29"/>
        <v>4.7999999999999996E-3</v>
      </c>
      <c r="Q64" s="179">
        <v>4417.1892009763196</v>
      </c>
      <c r="R64" s="80">
        <f t="shared" si="30"/>
        <v>4.7999999999999996E-3</v>
      </c>
      <c r="S64" s="179">
        <v>4461.3610929860833</v>
      </c>
      <c r="T64" s="80">
        <f t="shared" si="31"/>
        <v>4.7999999999999996E-3</v>
      </c>
      <c r="U64" s="179">
        <v>4505.9747039159438</v>
      </c>
      <c r="V64" s="80">
        <f t="shared" si="32"/>
        <v>4.7999999999999996E-3</v>
      </c>
      <c r="X64" s="200"/>
    </row>
    <row r="65" spans="1:24" ht="12.75" customHeight="1">
      <c r="A65" s="2" t="s">
        <v>396</v>
      </c>
      <c r="B65" s="35"/>
      <c r="C65" s="179">
        <v>0</v>
      </c>
      <c r="D65" s="80">
        <f t="shared" si="23"/>
        <v>0</v>
      </c>
      <c r="E65" s="179">
        <v>425</v>
      </c>
      <c r="F65" s="80">
        <f t="shared" si="24"/>
        <v>5.0000000000000001E-4</v>
      </c>
      <c r="G65" s="179">
        <v>433.50000000000006</v>
      </c>
      <c r="H65" s="80">
        <f t="shared" si="25"/>
        <v>5.0000000000000012E-4</v>
      </c>
      <c r="I65" s="179">
        <v>442.17</v>
      </c>
      <c r="J65" s="80">
        <f t="shared" si="26"/>
        <v>5.0000000000000001E-4</v>
      </c>
      <c r="K65" s="179">
        <v>446.59170000000006</v>
      </c>
      <c r="L65" s="80">
        <f t="shared" si="27"/>
        <v>5.0000000000000001E-4</v>
      </c>
      <c r="M65" s="179">
        <v>451.05761700000005</v>
      </c>
      <c r="N65" s="80">
        <f t="shared" si="28"/>
        <v>5.0000000000000001E-4</v>
      </c>
      <c r="O65" s="179">
        <v>455.56819317000009</v>
      </c>
      <c r="P65" s="80">
        <f t="shared" si="29"/>
        <v>5.0000000000000001E-4</v>
      </c>
      <c r="Q65" s="179">
        <v>460.12387510170004</v>
      </c>
      <c r="R65" s="80">
        <f t="shared" si="30"/>
        <v>5.0000000000000001E-4</v>
      </c>
      <c r="S65" s="179">
        <v>464.72511385271702</v>
      </c>
      <c r="T65" s="80">
        <f t="shared" si="31"/>
        <v>5.0000000000000001E-4</v>
      </c>
      <c r="U65" s="179">
        <v>469.37236499124424</v>
      </c>
      <c r="V65" s="80">
        <f t="shared" si="32"/>
        <v>5.0000000000000001E-4</v>
      </c>
      <c r="X65" s="200"/>
    </row>
    <row r="66" spans="1:24" ht="12.75" customHeight="1">
      <c r="A66" s="2" t="s">
        <v>397</v>
      </c>
      <c r="B66" s="35"/>
      <c r="C66" s="179">
        <v>0</v>
      </c>
      <c r="D66" s="80">
        <f t="shared" si="23"/>
        <v>0</v>
      </c>
      <c r="E66" s="179">
        <v>2380</v>
      </c>
      <c r="F66" s="80">
        <f t="shared" si="24"/>
        <v>2.8E-3</v>
      </c>
      <c r="G66" s="179">
        <v>2427.6000000000004</v>
      </c>
      <c r="H66" s="80">
        <f t="shared" si="25"/>
        <v>2.8000000000000004E-3</v>
      </c>
      <c r="I66" s="179">
        <v>2476.1519999999996</v>
      </c>
      <c r="J66" s="80">
        <f t="shared" si="26"/>
        <v>2.7999999999999995E-3</v>
      </c>
      <c r="K66" s="179">
        <v>2500.9135200000001</v>
      </c>
      <c r="L66" s="80">
        <f t="shared" si="27"/>
        <v>2.8E-3</v>
      </c>
      <c r="M66" s="179">
        <v>2525.9226552</v>
      </c>
      <c r="N66" s="80">
        <f t="shared" si="28"/>
        <v>2.8E-3</v>
      </c>
      <c r="O66" s="179">
        <v>2551.1818817520002</v>
      </c>
      <c r="P66" s="80">
        <f t="shared" si="29"/>
        <v>2.8E-3</v>
      </c>
      <c r="Q66" s="179">
        <v>2576.6937005695199</v>
      </c>
      <c r="R66" s="80">
        <f t="shared" si="30"/>
        <v>2.8E-3</v>
      </c>
      <c r="S66" s="179">
        <v>2602.4606375752151</v>
      </c>
      <c r="T66" s="80">
        <f t="shared" si="31"/>
        <v>2.7999999999999995E-3</v>
      </c>
      <c r="U66" s="179">
        <v>2628.4852439509677</v>
      </c>
      <c r="V66" s="80">
        <f t="shared" si="32"/>
        <v>2.8E-3</v>
      </c>
      <c r="X66" s="200"/>
    </row>
    <row r="67" spans="1:24" ht="12.75" customHeight="1">
      <c r="A67" s="2" t="s">
        <v>398</v>
      </c>
      <c r="B67" s="35"/>
      <c r="C67" s="179">
        <v>0</v>
      </c>
      <c r="D67" s="80">
        <f t="shared" si="23"/>
        <v>0</v>
      </c>
      <c r="E67" s="179">
        <v>12750</v>
      </c>
      <c r="F67" s="80">
        <f t="shared" si="24"/>
        <v>1.4999999999999999E-2</v>
      </c>
      <c r="G67" s="179">
        <v>13005</v>
      </c>
      <c r="H67" s="80">
        <f t="shared" si="25"/>
        <v>1.4999999999999999E-2</v>
      </c>
      <c r="I67" s="179">
        <v>13265.099999999999</v>
      </c>
      <c r="J67" s="80">
        <f t="shared" si="26"/>
        <v>1.4999999999999998E-2</v>
      </c>
      <c r="K67" s="179">
        <v>13397.751000000002</v>
      </c>
      <c r="L67" s="80">
        <f t="shared" si="27"/>
        <v>1.5000000000000001E-2</v>
      </c>
      <c r="M67" s="179">
        <v>13531.728510000001</v>
      </c>
      <c r="N67" s="80">
        <f t="shared" si="28"/>
        <v>1.4999999999999999E-2</v>
      </c>
      <c r="O67" s="179">
        <v>13667.045795100003</v>
      </c>
      <c r="P67" s="80">
        <f t="shared" si="29"/>
        <v>1.5000000000000001E-2</v>
      </c>
      <c r="Q67" s="179">
        <v>13803.716253051</v>
      </c>
      <c r="R67" s="80">
        <f t="shared" si="30"/>
        <v>1.4999999999999999E-2</v>
      </c>
      <c r="S67" s="179">
        <v>13941.75341558151</v>
      </c>
      <c r="T67" s="80">
        <f t="shared" si="31"/>
        <v>1.4999999999999999E-2</v>
      </c>
      <c r="U67" s="179">
        <v>14081.170949737327</v>
      </c>
      <c r="V67" s="80">
        <f t="shared" si="32"/>
        <v>1.4999999999999999E-2</v>
      </c>
      <c r="X67" s="200"/>
    </row>
    <row r="68" spans="1:24" ht="12.75" customHeight="1">
      <c r="A68" s="2" t="s">
        <v>399</v>
      </c>
      <c r="B68" s="35"/>
      <c r="C68" s="179">
        <v>0</v>
      </c>
      <c r="D68" s="80">
        <f t="shared" si="23"/>
        <v>0</v>
      </c>
      <c r="E68" s="179">
        <v>1445</v>
      </c>
      <c r="F68" s="80">
        <f t="shared" si="24"/>
        <v>1.6999999999999999E-3</v>
      </c>
      <c r="G68" s="179">
        <v>1473.9</v>
      </c>
      <c r="H68" s="80">
        <f t="shared" si="25"/>
        <v>1.7000000000000001E-3</v>
      </c>
      <c r="I68" s="179">
        <v>1503.3779999999999</v>
      </c>
      <c r="J68" s="80">
        <f t="shared" si="26"/>
        <v>1.6999999999999999E-3</v>
      </c>
      <c r="K68" s="179">
        <v>1518.4117800000001</v>
      </c>
      <c r="L68" s="80">
        <f t="shared" si="27"/>
        <v>1.7000000000000001E-3</v>
      </c>
      <c r="M68" s="179">
        <v>1533.5958977999999</v>
      </c>
      <c r="N68" s="80">
        <f t="shared" si="28"/>
        <v>1.6999999999999997E-3</v>
      </c>
      <c r="O68" s="179">
        <v>1548.9318567780001</v>
      </c>
      <c r="P68" s="80">
        <f t="shared" si="29"/>
        <v>1.6999999999999999E-3</v>
      </c>
      <c r="Q68" s="179">
        <v>1564.4211753457801</v>
      </c>
      <c r="R68" s="80">
        <f t="shared" si="30"/>
        <v>1.6999999999999999E-3</v>
      </c>
      <c r="S68" s="179">
        <v>1580.0653870992376</v>
      </c>
      <c r="T68" s="80">
        <f t="shared" si="31"/>
        <v>1.6999999999999997E-3</v>
      </c>
      <c r="U68" s="179">
        <v>1595.8660409702302</v>
      </c>
      <c r="V68" s="80">
        <f t="shared" si="32"/>
        <v>1.6999999999999999E-3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3"/>
        <v>0</v>
      </c>
      <c r="E69" s="179">
        <v>0</v>
      </c>
      <c r="F69" s="80">
        <f t="shared" si="24"/>
        <v>0</v>
      </c>
      <c r="G69" s="179">
        <v>0</v>
      </c>
      <c r="H69" s="80">
        <f t="shared" si="25"/>
        <v>0</v>
      </c>
      <c r="I69" s="179">
        <v>0</v>
      </c>
      <c r="J69" s="80">
        <f t="shared" si="26"/>
        <v>0</v>
      </c>
      <c r="K69" s="179">
        <v>0</v>
      </c>
      <c r="L69" s="80">
        <f t="shared" si="27"/>
        <v>0</v>
      </c>
      <c r="M69" s="179">
        <v>0</v>
      </c>
      <c r="N69" s="80">
        <f t="shared" si="28"/>
        <v>0</v>
      </c>
      <c r="O69" s="179">
        <v>0</v>
      </c>
      <c r="P69" s="80">
        <f t="shared" si="29"/>
        <v>0</v>
      </c>
      <c r="Q69" s="179">
        <v>0</v>
      </c>
      <c r="R69" s="80">
        <f t="shared" si="30"/>
        <v>0</v>
      </c>
      <c r="S69" s="179">
        <v>0</v>
      </c>
      <c r="T69" s="80">
        <f t="shared" si="31"/>
        <v>0</v>
      </c>
      <c r="U69" s="179">
        <v>0</v>
      </c>
      <c r="V69" s="80">
        <f t="shared" si="32"/>
        <v>0</v>
      </c>
      <c r="X69" s="200"/>
    </row>
    <row r="70" spans="1:24" ht="12.75" customHeight="1">
      <c r="A70" s="2" t="s">
        <v>401</v>
      </c>
      <c r="B70" s="35"/>
      <c r="C70" s="179">
        <v>0</v>
      </c>
      <c r="D70" s="80">
        <f t="shared" si="23"/>
        <v>0</v>
      </c>
      <c r="E70" s="179">
        <v>85</v>
      </c>
      <c r="F70" s="80">
        <f t="shared" si="24"/>
        <v>1E-4</v>
      </c>
      <c r="G70" s="179">
        <v>86.7</v>
      </c>
      <c r="H70" s="80">
        <f t="shared" si="25"/>
        <v>1E-4</v>
      </c>
      <c r="I70" s="179">
        <v>88.433999999999997</v>
      </c>
      <c r="J70" s="80">
        <f t="shared" si="26"/>
        <v>9.9999999999999991E-5</v>
      </c>
      <c r="K70" s="179">
        <v>89.31834000000002</v>
      </c>
      <c r="L70" s="80">
        <f t="shared" si="27"/>
        <v>1.0000000000000002E-4</v>
      </c>
      <c r="M70" s="179">
        <v>90.211523400000004</v>
      </c>
      <c r="N70" s="80">
        <f t="shared" si="28"/>
        <v>1E-4</v>
      </c>
      <c r="O70" s="179">
        <v>91.113638634000026</v>
      </c>
      <c r="P70" s="80">
        <f t="shared" si="29"/>
        <v>1.0000000000000002E-4</v>
      </c>
      <c r="Q70" s="179">
        <v>92.024775020340002</v>
      </c>
      <c r="R70" s="80">
        <f t="shared" si="30"/>
        <v>9.9999999999999991E-5</v>
      </c>
      <c r="S70" s="179">
        <v>92.945022770543403</v>
      </c>
      <c r="T70" s="80">
        <f t="shared" si="31"/>
        <v>9.9999999999999991E-5</v>
      </c>
      <c r="U70" s="179">
        <v>93.874472998248862</v>
      </c>
      <c r="V70" s="80">
        <f t="shared" si="32"/>
        <v>1.0000000000000002E-4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3"/>
        <v>0</v>
      </c>
      <c r="E71" s="179">
        <v>0</v>
      </c>
      <c r="F71" s="80">
        <f t="shared" si="24"/>
        <v>0</v>
      </c>
      <c r="G71" s="179">
        <v>0</v>
      </c>
      <c r="H71" s="80">
        <f t="shared" si="25"/>
        <v>0</v>
      </c>
      <c r="I71" s="179">
        <v>0</v>
      </c>
      <c r="J71" s="80">
        <f t="shared" si="26"/>
        <v>0</v>
      </c>
      <c r="K71" s="179">
        <v>0</v>
      </c>
      <c r="L71" s="80">
        <f t="shared" si="27"/>
        <v>0</v>
      </c>
      <c r="M71" s="179">
        <v>0</v>
      </c>
      <c r="N71" s="80">
        <f t="shared" si="28"/>
        <v>0</v>
      </c>
      <c r="O71" s="179">
        <v>0</v>
      </c>
      <c r="P71" s="80">
        <f t="shared" si="29"/>
        <v>0</v>
      </c>
      <c r="Q71" s="179">
        <v>0</v>
      </c>
      <c r="R71" s="80">
        <f t="shared" si="30"/>
        <v>0</v>
      </c>
      <c r="S71" s="179">
        <v>0</v>
      </c>
      <c r="T71" s="80">
        <f t="shared" si="31"/>
        <v>0</v>
      </c>
      <c r="U71" s="179">
        <v>0</v>
      </c>
      <c r="V71" s="80">
        <f t="shared" si="32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3"/>
        <v>0</v>
      </c>
      <c r="E72" s="179">
        <v>0</v>
      </c>
      <c r="F72" s="80">
        <f t="shared" si="24"/>
        <v>0</v>
      </c>
      <c r="G72" s="179">
        <v>0</v>
      </c>
      <c r="H72" s="80">
        <f t="shared" si="25"/>
        <v>0</v>
      </c>
      <c r="I72" s="179">
        <v>0</v>
      </c>
      <c r="J72" s="80">
        <f t="shared" si="26"/>
        <v>0</v>
      </c>
      <c r="K72" s="179">
        <v>0</v>
      </c>
      <c r="L72" s="80">
        <f t="shared" si="27"/>
        <v>0</v>
      </c>
      <c r="M72" s="179">
        <v>0</v>
      </c>
      <c r="N72" s="80">
        <f t="shared" si="28"/>
        <v>0</v>
      </c>
      <c r="O72" s="179">
        <v>0</v>
      </c>
      <c r="P72" s="80">
        <f t="shared" si="29"/>
        <v>0</v>
      </c>
      <c r="Q72" s="179">
        <v>0</v>
      </c>
      <c r="R72" s="80">
        <f t="shared" si="30"/>
        <v>0</v>
      </c>
      <c r="S72" s="179">
        <v>0</v>
      </c>
      <c r="T72" s="80">
        <f t="shared" si="31"/>
        <v>0</v>
      </c>
      <c r="U72" s="179">
        <v>0</v>
      </c>
      <c r="V72" s="80">
        <f t="shared" si="32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3"/>
        <v>0</v>
      </c>
      <c r="E73" s="179">
        <v>0</v>
      </c>
      <c r="F73" s="80">
        <f t="shared" si="24"/>
        <v>0</v>
      </c>
      <c r="G73" s="179">
        <v>0</v>
      </c>
      <c r="H73" s="80">
        <f t="shared" si="25"/>
        <v>0</v>
      </c>
      <c r="I73" s="179">
        <v>0</v>
      </c>
      <c r="J73" s="80">
        <f t="shared" si="26"/>
        <v>0</v>
      </c>
      <c r="K73" s="179">
        <v>0</v>
      </c>
      <c r="L73" s="80">
        <f t="shared" si="27"/>
        <v>0</v>
      </c>
      <c r="M73" s="179">
        <v>0</v>
      </c>
      <c r="N73" s="80">
        <f t="shared" si="28"/>
        <v>0</v>
      </c>
      <c r="O73" s="179">
        <v>0</v>
      </c>
      <c r="P73" s="80">
        <f t="shared" si="29"/>
        <v>0</v>
      </c>
      <c r="Q73" s="179">
        <v>0</v>
      </c>
      <c r="R73" s="80">
        <f t="shared" si="30"/>
        <v>0</v>
      </c>
      <c r="S73" s="179">
        <v>0</v>
      </c>
      <c r="T73" s="80">
        <f t="shared" si="31"/>
        <v>0</v>
      </c>
      <c r="U73" s="179">
        <v>0</v>
      </c>
      <c r="V73" s="80">
        <f t="shared" si="32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3"/>
        <v>0</v>
      </c>
      <c r="E74" s="179">
        <v>0</v>
      </c>
      <c r="F74" s="80">
        <f t="shared" si="24"/>
        <v>0</v>
      </c>
      <c r="G74" s="179">
        <v>0</v>
      </c>
      <c r="H74" s="80">
        <f t="shared" si="25"/>
        <v>0</v>
      </c>
      <c r="I74" s="179">
        <v>0</v>
      </c>
      <c r="J74" s="80">
        <f t="shared" si="26"/>
        <v>0</v>
      </c>
      <c r="K74" s="179">
        <v>0</v>
      </c>
      <c r="L74" s="80">
        <f t="shared" si="27"/>
        <v>0</v>
      </c>
      <c r="M74" s="179">
        <v>0</v>
      </c>
      <c r="N74" s="80">
        <f t="shared" si="28"/>
        <v>0</v>
      </c>
      <c r="O74" s="179">
        <v>0</v>
      </c>
      <c r="P74" s="80">
        <f t="shared" si="29"/>
        <v>0</v>
      </c>
      <c r="Q74" s="179">
        <v>0</v>
      </c>
      <c r="R74" s="80">
        <f t="shared" si="30"/>
        <v>0</v>
      </c>
      <c r="S74" s="179">
        <v>0</v>
      </c>
      <c r="T74" s="80">
        <f t="shared" si="31"/>
        <v>0</v>
      </c>
      <c r="U74" s="179">
        <v>0</v>
      </c>
      <c r="V74" s="80">
        <f t="shared" si="32"/>
        <v>0</v>
      </c>
      <c r="X74" s="200"/>
    </row>
    <row r="75" spans="1:24" ht="12.75" customHeight="1">
      <c r="A75" s="2" t="s">
        <v>406</v>
      </c>
      <c r="B75" s="35"/>
      <c r="C75" s="179">
        <v>0</v>
      </c>
      <c r="D75" s="80">
        <f t="shared" si="23"/>
        <v>0</v>
      </c>
      <c r="E75" s="179">
        <v>4250</v>
      </c>
      <c r="F75" s="80">
        <f t="shared" si="24"/>
        <v>5.0000000000000001E-3</v>
      </c>
      <c r="G75" s="179">
        <v>4335</v>
      </c>
      <c r="H75" s="80">
        <f t="shared" si="25"/>
        <v>5.0000000000000001E-3</v>
      </c>
      <c r="I75" s="179">
        <v>4421.7</v>
      </c>
      <c r="J75" s="80">
        <f t="shared" si="26"/>
        <v>5.0000000000000001E-3</v>
      </c>
      <c r="K75" s="179">
        <v>4465.9170000000013</v>
      </c>
      <c r="L75" s="80">
        <f t="shared" si="27"/>
        <v>5.000000000000001E-3</v>
      </c>
      <c r="M75" s="179">
        <v>4510.5761699999994</v>
      </c>
      <c r="N75" s="80">
        <f t="shared" si="28"/>
        <v>4.9999999999999992E-3</v>
      </c>
      <c r="O75" s="179">
        <v>4555.6819317000009</v>
      </c>
      <c r="P75" s="80">
        <f t="shared" si="29"/>
        <v>5.0000000000000001E-3</v>
      </c>
      <c r="Q75" s="179">
        <v>4601.2387510170001</v>
      </c>
      <c r="R75" s="80">
        <f t="shared" si="30"/>
        <v>5.0000000000000001E-3</v>
      </c>
      <c r="S75" s="179">
        <v>4647.25113852717</v>
      </c>
      <c r="T75" s="80">
        <f t="shared" si="31"/>
        <v>4.9999999999999992E-3</v>
      </c>
      <c r="U75" s="179">
        <v>4693.7236499124419</v>
      </c>
      <c r="V75" s="80">
        <f t="shared" si="32"/>
        <v>5.0000000000000001E-3</v>
      </c>
      <c r="X75" s="200"/>
    </row>
    <row r="76" spans="1:24" ht="12.75" customHeight="1">
      <c r="A76" s="2" t="s">
        <v>407</v>
      </c>
      <c r="B76" s="35"/>
      <c r="C76" s="179">
        <v>0</v>
      </c>
      <c r="D76" s="80">
        <f t="shared" si="23"/>
        <v>0</v>
      </c>
      <c r="E76" s="179">
        <v>340</v>
      </c>
      <c r="F76" s="80">
        <f t="shared" si="24"/>
        <v>4.0000000000000002E-4</v>
      </c>
      <c r="G76" s="179">
        <v>346.8</v>
      </c>
      <c r="H76" s="80">
        <f t="shared" si="25"/>
        <v>4.0000000000000002E-4</v>
      </c>
      <c r="I76" s="179">
        <v>353.73599999999999</v>
      </c>
      <c r="J76" s="80">
        <f t="shared" si="26"/>
        <v>3.9999999999999996E-4</v>
      </c>
      <c r="K76" s="179">
        <v>357.27336000000008</v>
      </c>
      <c r="L76" s="80">
        <f t="shared" si="27"/>
        <v>4.0000000000000007E-4</v>
      </c>
      <c r="M76" s="179">
        <v>360.84609360000002</v>
      </c>
      <c r="N76" s="80">
        <f t="shared" si="28"/>
        <v>4.0000000000000002E-4</v>
      </c>
      <c r="O76" s="179">
        <v>364.4545545360001</v>
      </c>
      <c r="P76" s="80">
        <f t="shared" si="29"/>
        <v>4.0000000000000007E-4</v>
      </c>
      <c r="Q76" s="179">
        <v>368.09910008136001</v>
      </c>
      <c r="R76" s="80">
        <f t="shared" si="30"/>
        <v>3.9999999999999996E-4</v>
      </c>
      <c r="S76" s="179">
        <v>371.78009108217361</v>
      </c>
      <c r="T76" s="80">
        <f t="shared" si="31"/>
        <v>3.9999999999999996E-4</v>
      </c>
      <c r="U76" s="179">
        <v>375.49789199299545</v>
      </c>
      <c r="V76" s="80">
        <f t="shared" si="32"/>
        <v>4.0000000000000007E-4</v>
      </c>
      <c r="X76" s="200"/>
    </row>
    <row r="77" spans="1:24" ht="12.75" customHeight="1">
      <c r="A77" s="2" t="s">
        <v>408</v>
      </c>
      <c r="B77" s="35"/>
      <c r="C77" s="179">
        <v>0</v>
      </c>
      <c r="D77" s="80">
        <f t="shared" si="23"/>
        <v>0</v>
      </c>
      <c r="E77" s="179">
        <v>1105</v>
      </c>
      <c r="F77" s="80">
        <f t="shared" si="24"/>
        <v>1.2999999999999999E-3</v>
      </c>
      <c r="G77" s="179">
        <v>1127.0999999999999</v>
      </c>
      <c r="H77" s="80">
        <f t="shared" si="25"/>
        <v>1.2999999999999999E-3</v>
      </c>
      <c r="I77" s="179">
        <v>1149.6419999999998</v>
      </c>
      <c r="J77" s="80">
        <f t="shared" si="26"/>
        <v>1.2999999999999997E-3</v>
      </c>
      <c r="K77" s="179">
        <v>1161.13842</v>
      </c>
      <c r="L77" s="80">
        <f t="shared" si="27"/>
        <v>1.2999999999999999E-3</v>
      </c>
      <c r="M77" s="179">
        <v>1172.7498042</v>
      </c>
      <c r="N77" s="80">
        <f t="shared" si="28"/>
        <v>1.2999999999999999E-3</v>
      </c>
      <c r="O77" s="179">
        <v>1184.4773022420002</v>
      </c>
      <c r="P77" s="80">
        <f t="shared" si="29"/>
        <v>1.3000000000000002E-3</v>
      </c>
      <c r="Q77" s="179">
        <v>1196.3220752644199</v>
      </c>
      <c r="R77" s="80">
        <f t="shared" si="30"/>
        <v>1.2999999999999999E-3</v>
      </c>
      <c r="S77" s="179">
        <v>1208.2852960170642</v>
      </c>
      <c r="T77" s="80">
        <f t="shared" si="31"/>
        <v>1.2999999999999999E-3</v>
      </c>
      <c r="U77" s="179">
        <v>1220.368148977235</v>
      </c>
      <c r="V77" s="80">
        <f t="shared" si="32"/>
        <v>1.3000000000000002E-3</v>
      </c>
      <c r="X77" s="200"/>
    </row>
    <row r="78" spans="1:24" ht="12.75" customHeight="1">
      <c r="A78" s="2" t="s">
        <v>409</v>
      </c>
      <c r="B78" s="35"/>
      <c r="C78" s="179">
        <v>0</v>
      </c>
      <c r="D78" s="80">
        <f t="shared" si="23"/>
        <v>0</v>
      </c>
      <c r="E78" s="179">
        <v>18700</v>
      </c>
      <c r="F78" s="80">
        <f t="shared" si="24"/>
        <v>2.1999999999999999E-2</v>
      </c>
      <c r="G78" s="179">
        <v>19074</v>
      </c>
      <c r="H78" s="80">
        <f t="shared" si="25"/>
        <v>2.1999999999999999E-2</v>
      </c>
      <c r="I78" s="179">
        <v>19455.479999999996</v>
      </c>
      <c r="J78" s="80">
        <f t="shared" si="26"/>
        <v>2.1999999999999995E-2</v>
      </c>
      <c r="K78" s="179">
        <v>19650.034800000001</v>
      </c>
      <c r="L78" s="80">
        <f t="shared" si="27"/>
        <v>2.2000000000000002E-2</v>
      </c>
      <c r="M78" s="179">
        <v>19846.535147999999</v>
      </c>
      <c r="N78" s="80">
        <f t="shared" si="28"/>
        <v>2.1999999999999999E-2</v>
      </c>
      <c r="O78" s="179">
        <v>20045.000499480004</v>
      </c>
      <c r="P78" s="80">
        <f t="shared" si="29"/>
        <v>2.2000000000000002E-2</v>
      </c>
      <c r="Q78" s="179">
        <v>20245.450504474797</v>
      </c>
      <c r="R78" s="80">
        <f t="shared" si="30"/>
        <v>2.1999999999999995E-2</v>
      </c>
      <c r="S78" s="179">
        <v>20447.905009519545</v>
      </c>
      <c r="T78" s="80">
        <f t="shared" si="31"/>
        <v>2.1999999999999995E-2</v>
      </c>
      <c r="U78" s="179">
        <v>20652.384059614746</v>
      </c>
      <c r="V78" s="80">
        <f t="shared" si="32"/>
        <v>2.1999999999999999E-2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3"/>
        <v>0</v>
      </c>
      <c r="E79" s="179">
        <v>0</v>
      </c>
      <c r="F79" s="80">
        <f t="shared" si="24"/>
        <v>0</v>
      </c>
      <c r="G79" s="179">
        <v>0</v>
      </c>
      <c r="H79" s="80">
        <f t="shared" si="25"/>
        <v>0</v>
      </c>
      <c r="I79" s="179">
        <v>0</v>
      </c>
      <c r="J79" s="80">
        <f t="shared" si="26"/>
        <v>0</v>
      </c>
      <c r="K79" s="179">
        <v>0</v>
      </c>
      <c r="L79" s="80">
        <f t="shared" si="27"/>
        <v>0</v>
      </c>
      <c r="M79" s="179">
        <v>0</v>
      </c>
      <c r="N79" s="80">
        <f t="shared" si="28"/>
        <v>0</v>
      </c>
      <c r="O79" s="179">
        <v>0</v>
      </c>
      <c r="P79" s="80">
        <f t="shared" si="29"/>
        <v>0</v>
      </c>
      <c r="Q79" s="179">
        <v>0</v>
      </c>
      <c r="R79" s="80">
        <f t="shared" si="30"/>
        <v>0</v>
      </c>
      <c r="S79" s="179">
        <v>0</v>
      </c>
      <c r="T79" s="80">
        <f t="shared" si="31"/>
        <v>0</v>
      </c>
      <c r="U79" s="179">
        <v>0</v>
      </c>
      <c r="V79" s="80">
        <f t="shared" si="32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3"/>
        <v>0</v>
      </c>
      <c r="E80" s="179">
        <v>0</v>
      </c>
      <c r="F80" s="80">
        <f t="shared" si="24"/>
        <v>0</v>
      </c>
      <c r="G80" s="179">
        <v>0</v>
      </c>
      <c r="H80" s="80">
        <f t="shared" si="25"/>
        <v>0</v>
      </c>
      <c r="I80" s="179">
        <v>0</v>
      </c>
      <c r="J80" s="80">
        <f t="shared" si="26"/>
        <v>0</v>
      </c>
      <c r="K80" s="179">
        <v>0</v>
      </c>
      <c r="L80" s="80">
        <f t="shared" si="27"/>
        <v>0</v>
      </c>
      <c r="M80" s="179">
        <v>0</v>
      </c>
      <c r="N80" s="80">
        <f t="shared" si="28"/>
        <v>0</v>
      </c>
      <c r="O80" s="179">
        <v>0</v>
      </c>
      <c r="P80" s="80">
        <f t="shared" si="29"/>
        <v>0</v>
      </c>
      <c r="Q80" s="179">
        <v>0</v>
      </c>
      <c r="R80" s="80">
        <f t="shared" si="30"/>
        <v>0</v>
      </c>
      <c r="S80" s="179">
        <v>0</v>
      </c>
      <c r="T80" s="80">
        <f t="shared" si="31"/>
        <v>0</v>
      </c>
      <c r="U80" s="179">
        <v>0</v>
      </c>
      <c r="V80" s="80">
        <f t="shared" si="32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3"/>
        <v>0</v>
      </c>
      <c r="E81" s="179">
        <v>0</v>
      </c>
      <c r="F81" s="80">
        <f t="shared" si="24"/>
        <v>0</v>
      </c>
      <c r="G81" s="179">
        <v>0</v>
      </c>
      <c r="H81" s="80">
        <f t="shared" si="25"/>
        <v>0</v>
      </c>
      <c r="I81" s="179">
        <v>0</v>
      </c>
      <c r="J81" s="80">
        <f t="shared" si="26"/>
        <v>0</v>
      </c>
      <c r="K81" s="179">
        <v>0</v>
      </c>
      <c r="L81" s="80">
        <f t="shared" si="27"/>
        <v>0</v>
      </c>
      <c r="M81" s="179">
        <v>0</v>
      </c>
      <c r="N81" s="80">
        <f t="shared" si="28"/>
        <v>0</v>
      </c>
      <c r="O81" s="179">
        <v>0</v>
      </c>
      <c r="P81" s="80">
        <f t="shared" si="29"/>
        <v>0</v>
      </c>
      <c r="Q81" s="179">
        <v>0</v>
      </c>
      <c r="R81" s="80">
        <f t="shared" si="30"/>
        <v>0</v>
      </c>
      <c r="S81" s="179">
        <v>0</v>
      </c>
      <c r="T81" s="80">
        <f t="shared" si="31"/>
        <v>0</v>
      </c>
      <c r="U81" s="179">
        <v>0</v>
      </c>
      <c r="V81" s="80">
        <f t="shared" si="32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3"/>
        <v>0</v>
      </c>
      <c r="E82" s="179">
        <v>0</v>
      </c>
      <c r="F82" s="80">
        <f t="shared" si="24"/>
        <v>0</v>
      </c>
      <c r="G82" s="179">
        <v>0</v>
      </c>
      <c r="H82" s="80">
        <f t="shared" si="25"/>
        <v>0</v>
      </c>
      <c r="I82" s="179">
        <v>0</v>
      </c>
      <c r="J82" s="80">
        <f t="shared" si="26"/>
        <v>0</v>
      </c>
      <c r="K82" s="179">
        <v>0</v>
      </c>
      <c r="L82" s="80">
        <f t="shared" si="27"/>
        <v>0</v>
      </c>
      <c r="M82" s="179">
        <v>0</v>
      </c>
      <c r="N82" s="80">
        <f t="shared" si="28"/>
        <v>0</v>
      </c>
      <c r="O82" s="179">
        <v>0</v>
      </c>
      <c r="P82" s="80">
        <f t="shared" si="29"/>
        <v>0</v>
      </c>
      <c r="Q82" s="179">
        <v>0</v>
      </c>
      <c r="R82" s="80">
        <f t="shared" si="30"/>
        <v>0</v>
      </c>
      <c r="S82" s="179">
        <v>0</v>
      </c>
      <c r="T82" s="80">
        <f t="shared" si="31"/>
        <v>0</v>
      </c>
      <c r="U82" s="179">
        <v>0</v>
      </c>
      <c r="V82" s="80">
        <f t="shared" si="32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3"/>
        <v>0</v>
      </c>
      <c r="E83" s="179">
        <v>0</v>
      </c>
      <c r="F83" s="80">
        <f t="shared" si="24"/>
        <v>0</v>
      </c>
      <c r="G83" s="179">
        <v>0</v>
      </c>
      <c r="H83" s="80">
        <f t="shared" si="25"/>
        <v>0</v>
      </c>
      <c r="I83" s="179">
        <v>0</v>
      </c>
      <c r="J83" s="80">
        <f t="shared" si="26"/>
        <v>0</v>
      </c>
      <c r="K83" s="179">
        <v>0</v>
      </c>
      <c r="L83" s="80">
        <f t="shared" si="27"/>
        <v>0</v>
      </c>
      <c r="M83" s="179">
        <v>0</v>
      </c>
      <c r="N83" s="80">
        <f t="shared" si="28"/>
        <v>0</v>
      </c>
      <c r="O83" s="179">
        <v>0</v>
      </c>
      <c r="P83" s="80">
        <f t="shared" si="29"/>
        <v>0</v>
      </c>
      <c r="Q83" s="179">
        <v>0</v>
      </c>
      <c r="R83" s="80">
        <f t="shared" si="30"/>
        <v>0</v>
      </c>
      <c r="S83" s="179">
        <v>0</v>
      </c>
      <c r="T83" s="80">
        <f t="shared" si="31"/>
        <v>0</v>
      </c>
      <c r="U83" s="179">
        <v>0</v>
      </c>
      <c r="V83" s="80">
        <f t="shared" si="32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3"/>
        <v>0</v>
      </c>
      <c r="E84" s="179">
        <v>0</v>
      </c>
      <c r="F84" s="80">
        <f t="shared" si="24"/>
        <v>0</v>
      </c>
      <c r="G84" s="179">
        <v>0</v>
      </c>
      <c r="H84" s="80">
        <f t="shared" si="25"/>
        <v>0</v>
      </c>
      <c r="I84" s="179">
        <v>0</v>
      </c>
      <c r="J84" s="80">
        <f t="shared" si="26"/>
        <v>0</v>
      </c>
      <c r="K84" s="179">
        <v>0</v>
      </c>
      <c r="L84" s="80">
        <f t="shared" si="27"/>
        <v>0</v>
      </c>
      <c r="M84" s="179">
        <v>0</v>
      </c>
      <c r="N84" s="80">
        <f t="shared" si="28"/>
        <v>0</v>
      </c>
      <c r="O84" s="179">
        <v>0</v>
      </c>
      <c r="P84" s="80">
        <f t="shared" si="29"/>
        <v>0</v>
      </c>
      <c r="Q84" s="179">
        <v>0</v>
      </c>
      <c r="R84" s="80">
        <f t="shared" si="30"/>
        <v>0</v>
      </c>
      <c r="S84" s="179">
        <v>0</v>
      </c>
      <c r="T84" s="80">
        <f t="shared" si="31"/>
        <v>0</v>
      </c>
      <c r="U84" s="179">
        <v>0</v>
      </c>
      <c r="V84" s="80">
        <f t="shared" si="32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3"/>
        <v>0</v>
      </c>
      <c r="E85" s="179">
        <v>0</v>
      </c>
      <c r="F85" s="80">
        <f t="shared" si="24"/>
        <v>0</v>
      </c>
      <c r="G85" s="179">
        <v>0</v>
      </c>
      <c r="H85" s="80">
        <f t="shared" si="25"/>
        <v>0</v>
      </c>
      <c r="I85" s="179">
        <v>0</v>
      </c>
      <c r="J85" s="80">
        <f t="shared" si="26"/>
        <v>0</v>
      </c>
      <c r="K85" s="179">
        <v>0</v>
      </c>
      <c r="L85" s="80">
        <f t="shared" si="27"/>
        <v>0</v>
      </c>
      <c r="M85" s="179">
        <v>0</v>
      </c>
      <c r="N85" s="80">
        <f t="shared" si="28"/>
        <v>0</v>
      </c>
      <c r="O85" s="179">
        <v>0</v>
      </c>
      <c r="P85" s="80">
        <f t="shared" si="29"/>
        <v>0</v>
      </c>
      <c r="Q85" s="179">
        <v>0</v>
      </c>
      <c r="R85" s="80">
        <f t="shared" si="30"/>
        <v>0</v>
      </c>
      <c r="S85" s="179">
        <v>0</v>
      </c>
      <c r="T85" s="80">
        <f t="shared" si="31"/>
        <v>0</v>
      </c>
      <c r="U85" s="179">
        <v>0</v>
      </c>
      <c r="V85" s="80">
        <f t="shared" si="32"/>
        <v>0</v>
      </c>
      <c r="X85" s="200"/>
    </row>
    <row r="86" spans="1:24" ht="12.75" customHeight="1">
      <c r="A86" s="2" t="s">
        <v>417</v>
      </c>
      <c r="B86" s="35"/>
      <c r="C86" s="179">
        <v>0</v>
      </c>
      <c r="D86" s="80">
        <f t="shared" si="23"/>
        <v>0</v>
      </c>
      <c r="E86" s="179">
        <v>3400</v>
      </c>
      <c r="F86" s="80">
        <f t="shared" si="24"/>
        <v>4.0000000000000001E-3</v>
      </c>
      <c r="G86" s="179">
        <v>3468.0000000000005</v>
      </c>
      <c r="H86" s="80">
        <f t="shared" si="25"/>
        <v>4.000000000000001E-3</v>
      </c>
      <c r="I86" s="179">
        <v>3537.36</v>
      </c>
      <c r="J86" s="80">
        <f t="shared" si="26"/>
        <v>4.0000000000000001E-3</v>
      </c>
      <c r="K86" s="179">
        <v>3572.7336000000005</v>
      </c>
      <c r="L86" s="80">
        <f t="shared" si="27"/>
        <v>4.0000000000000001E-3</v>
      </c>
      <c r="M86" s="179">
        <v>3608.4609360000004</v>
      </c>
      <c r="N86" s="80">
        <f t="shared" si="28"/>
        <v>4.0000000000000001E-3</v>
      </c>
      <c r="O86" s="179">
        <v>3644.5455453600007</v>
      </c>
      <c r="P86" s="80">
        <f t="shared" si="29"/>
        <v>4.0000000000000001E-3</v>
      </c>
      <c r="Q86" s="179">
        <v>3680.9910008136003</v>
      </c>
      <c r="R86" s="80">
        <f t="shared" si="30"/>
        <v>4.0000000000000001E-3</v>
      </c>
      <c r="S86" s="179">
        <v>3717.8009108217361</v>
      </c>
      <c r="T86" s="80">
        <f t="shared" si="31"/>
        <v>4.0000000000000001E-3</v>
      </c>
      <c r="U86" s="179">
        <v>3754.9789199299539</v>
      </c>
      <c r="V86" s="80">
        <f t="shared" si="32"/>
        <v>4.0000000000000001E-3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3"/>
        <v>0</v>
      </c>
      <c r="E87" s="179">
        <v>0</v>
      </c>
      <c r="F87" s="80">
        <f t="shared" si="24"/>
        <v>0</v>
      </c>
      <c r="G87" s="179">
        <v>0</v>
      </c>
      <c r="H87" s="80">
        <f t="shared" si="25"/>
        <v>0</v>
      </c>
      <c r="I87" s="179">
        <v>0</v>
      </c>
      <c r="J87" s="80">
        <f t="shared" si="26"/>
        <v>0</v>
      </c>
      <c r="K87" s="179">
        <v>0</v>
      </c>
      <c r="L87" s="80">
        <f t="shared" si="27"/>
        <v>0</v>
      </c>
      <c r="M87" s="179">
        <v>0</v>
      </c>
      <c r="N87" s="80">
        <f t="shared" si="28"/>
        <v>0</v>
      </c>
      <c r="O87" s="179">
        <v>0</v>
      </c>
      <c r="P87" s="80">
        <f t="shared" si="29"/>
        <v>0</v>
      </c>
      <c r="Q87" s="179">
        <v>0</v>
      </c>
      <c r="R87" s="80">
        <f t="shared" si="30"/>
        <v>0</v>
      </c>
      <c r="S87" s="179">
        <v>0</v>
      </c>
      <c r="T87" s="80">
        <f t="shared" si="31"/>
        <v>0</v>
      </c>
      <c r="U87" s="179">
        <v>0</v>
      </c>
      <c r="V87" s="80">
        <f t="shared" si="32"/>
        <v>0</v>
      </c>
      <c r="X87" s="200"/>
    </row>
    <row r="88" spans="1:24" ht="12.75" customHeight="1">
      <c r="A88" s="2" t="s">
        <v>419</v>
      </c>
      <c r="B88" s="35"/>
      <c r="C88" s="179">
        <v>0</v>
      </c>
      <c r="D88" s="80">
        <f t="shared" si="23"/>
        <v>0</v>
      </c>
      <c r="E88" s="179">
        <v>4335</v>
      </c>
      <c r="F88" s="80">
        <f t="shared" si="24"/>
        <v>5.1000000000000004E-3</v>
      </c>
      <c r="G88" s="179">
        <v>4421.7000000000007</v>
      </c>
      <c r="H88" s="80">
        <f t="shared" si="25"/>
        <v>5.1000000000000012E-3</v>
      </c>
      <c r="I88" s="179">
        <v>4510.134</v>
      </c>
      <c r="J88" s="80">
        <f t="shared" si="26"/>
        <v>5.1000000000000004E-3</v>
      </c>
      <c r="K88" s="179">
        <v>4555.2353400000011</v>
      </c>
      <c r="L88" s="80">
        <f t="shared" si="27"/>
        <v>5.1000000000000012E-3</v>
      </c>
      <c r="M88" s="179">
        <v>4600.7876934000005</v>
      </c>
      <c r="N88" s="80">
        <f t="shared" si="28"/>
        <v>5.1000000000000004E-3</v>
      </c>
      <c r="O88" s="179">
        <v>4646.7955703340012</v>
      </c>
      <c r="P88" s="80">
        <f t="shared" si="29"/>
        <v>5.1000000000000012E-3</v>
      </c>
      <c r="Q88" s="179">
        <v>4693.2635260373409</v>
      </c>
      <c r="R88" s="80">
        <f t="shared" si="30"/>
        <v>5.1000000000000004E-3</v>
      </c>
      <c r="S88" s="179">
        <v>4740.1961612977138</v>
      </c>
      <c r="T88" s="80">
        <f t="shared" si="31"/>
        <v>5.1000000000000004E-3</v>
      </c>
      <c r="U88" s="179">
        <v>4787.5981229106919</v>
      </c>
      <c r="V88" s="80">
        <f t="shared" si="32"/>
        <v>5.1000000000000012E-3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3"/>
        <v>0</v>
      </c>
      <c r="E89" s="179">
        <v>0</v>
      </c>
      <c r="F89" s="80">
        <f t="shared" si="24"/>
        <v>0</v>
      </c>
      <c r="G89" s="179">
        <v>0</v>
      </c>
      <c r="H89" s="80">
        <f t="shared" si="25"/>
        <v>0</v>
      </c>
      <c r="I89" s="179">
        <v>0</v>
      </c>
      <c r="J89" s="80">
        <f t="shared" si="26"/>
        <v>0</v>
      </c>
      <c r="K89" s="179">
        <v>0</v>
      </c>
      <c r="L89" s="80">
        <f t="shared" si="27"/>
        <v>0</v>
      </c>
      <c r="M89" s="179">
        <v>0</v>
      </c>
      <c r="N89" s="80">
        <f t="shared" si="28"/>
        <v>0</v>
      </c>
      <c r="O89" s="179">
        <v>0</v>
      </c>
      <c r="P89" s="80">
        <f t="shared" si="29"/>
        <v>0</v>
      </c>
      <c r="Q89" s="179">
        <v>0</v>
      </c>
      <c r="R89" s="80">
        <f t="shared" si="30"/>
        <v>0</v>
      </c>
      <c r="S89" s="179">
        <v>0</v>
      </c>
      <c r="T89" s="80">
        <f t="shared" si="31"/>
        <v>0</v>
      </c>
      <c r="U89" s="179">
        <v>0</v>
      </c>
      <c r="V89" s="80">
        <f t="shared" si="32"/>
        <v>0</v>
      </c>
      <c r="X89" s="200"/>
    </row>
    <row r="90" spans="1:24" ht="12.75" customHeight="1">
      <c r="A90" s="2" t="s">
        <v>421</v>
      </c>
      <c r="B90" s="35"/>
      <c r="C90" s="179">
        <v>0</v>
      </c>
      <c r="D90" s="80">
        <f t="shared" si="23"/>
        <v>0</v>
      </c>
      <c r="E90" s="179">
        <v>170</v>
      </c>
      <c r="F90" s="80">
        <f t="shared" si="24"/>
        <v>2.0000000000000001E-4</v>
      </c>
      <c r="G90" s="179">
        <v>173.4</v>
      </c>
      <c r="H90" s="80">
        <f t="shared" si="25"/>
        <v>2.0000000000000001E-4</v>
      </c>
      <c r="I90" s="179">
        <v>176.86799999999999</v>
      </c>
      <c r="J90" s="80">
        <f t="shared" si="26"/>
        <v>1.9999999999999998E-4</v>
      </c>
      <c r="K90" s="179">
        <v>178.63668000000004</v>
      </c>
      <c r="L90" s="80">
        <f t="shared" si="27"/>
        <v>2.0000000000000004E-4</v>
      </c>
      <c r="M90" s="179">
        <v>180.42304680000001</v>
      </c>
      <c r="N90" s="80">
        <f t="shared" si="28"/>
        <v>2.0000000000000001E-4</v>
      </c>
      <c r="O90" s="179">
        <v>182.22727726800005</v>
      </c>
      <c r="P90" s="80">
        <f t="shared" si="29"/>
        <v>2.0000000000000004E-4</v>
      </c>
      <c r="Q90" s="179">
        <v>184.04955004068</v>
      </c>
      <c r="R90" s="80">
        <f t="shared" si="30"/>
        <v>1.9999999999999998E-4</v>
      </c>
      <c r="S90" s="179">
        <v>185.89004554108681</v>
      </c>
      <c r="T90" s="80">
        <f t="shared" si="31"/>
        <v>1.9999999999999998E-4</v>
      </c>
      <c r="U90" s="179">
        <v>187.74894599649772</v>
      </c>
      <c r="V90" s="80">
        <f t="shared" si="32"/>
        <v>2.0000000000000004E-4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23"/>
        <v>0</v>
      </c>
      <c r="E91" s="179">
        <v>0</v>
      </c>
      <c r="F91" s="80">
        <f t="shared" si="24"/>
        <v>0</v>
      </c>
      <c r="G91" s="179">
        <v>0</v>
      </c>
      <c r="H91" s="80">
        <f t="shared" si="25"/>
        <v>0</v>
      </c>
      <c r="I91" s="179">
        <v>0</v>
      </c>
      <c r="J91" s="80">
        <f t="shared" si="26"/>
        <v>0</v>
      </c>
      <c r="K91" s="179">
        <v>0</v>
      </c>
      <c r="L91" s="80">
        <f t="shared" si="27"/>
        <v>0</v>
      </c>
      <c r="M91" s="179">
        <v>0</v>
      </c>
      <c r="N91" s="80">
        <f t="shared" si="28"/>
        <v>0</v>
      </c>
      <c r="O91" s="179">
        <v>0</v>
      </c>
      <c r="P91" s="80">
        <f t="shared" si="29"/>
        <v>0</v>
      </c>
      <c r="Q91" s="179">
        <v>0</v>
      </c>
      <c r="R91" s="80">
        <f t="shared" si="30"/>
        <v>0</v>
      </c>
      <c r="S91" s="179">
        <v>0</v>
      </c>
      <c r="T91" s="80">
        <f t="shared" si="31"/>
        <v>0</v>
      </c>
      <c r="U91" s="179">
        <v>0</v>
      </c>
      <c r="V91" s="80">
        <f t="shared" si="32"/>
        <v>0</v>
      </c>
      <c r="X91" s="200"/>
    </row>
    <row r="92" spans="1:24" ht="12.75" customHeight="1">
      <c r="A92" s="2" t="s">
        <v>423</v>
      </c>
      <c r="B92" s="35"/>
      <c r="C92" s="179">
        <v>0</v>
      </c>
      <c r="D92" s="80">
        <f t="shared" si="23"/>
        <v>0</v>
      </c>
      <c r="E92" s="179">
        <v>4420</v>
      </c>
      <c r="F92" s="80">
        <f t="shared" si="24"/>
        <v>5.1999999999999998E-3</v>
      </c>
      <c r="G92" s="179">
        <v>4508.3999999999996</v>
      </c>
      <c r="H92" s="80">
        <f t="shared" si="25"/>
        <v>5.1999999999999998E-3</v>
      </c>
      <c r="I92" s="179">
        <v>4598.5679999999993</v>
      </c>
      <c r="J92" s="80">
        <f t="shared" si="26"/>
        <v>5.1999999999999989E-3</v>
      </c>
      <c r="K92" s="179">
        <v>4644.55368</v>
      </c>
      <c r="L92" s="80">
        <f t="shared" si="27"/>
        <v>5.1999999999999998E-3</v>
      </c>
      <c r="M92" s="179">
        <v>4690.9992167999999</v>
      </c>
      <c r="N92" s="80">
        <f t="shared" si="28"/>
        <v>5.1999999999999998E-3</v>
      </c>
      <c r="O92" s="179">
        <v>4737.9092089680007</v>
      </c>
      <c r="P92" s="80">
        <f t="shared" si="29"/>
        <v>5.2000000000000006E-3</v>
      </c>
      <c r="Q92" s="179">
        <v>4785.2883010576797</v>
      </c>
      <c r="R92" s="80">
        <f t="shared" si="30"/>
        <v>5.1999999999999998E-3</v>
      </c>
      <c r="S92" s="179">
        <v>4833.1411840682567</v>
      </c>
      <c r="T92" s="80">
        <f t="shared" si="31"/>
        <v>5.1999999999999998E-3</v>
      </c>
      <c r="U92" s="179">
        <v>4881.4725959089401</v>
      </c>
      <c r="V92" s="80">
        <f t="shared" si="32"/>
        <v>5.2000000000000006E-3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3"/>
        <v>0</v>
      </c>
      <c r="E93" s="179">
        <v>0</v>
      </c>
      <c r="F93" s="80">
        <f t="shared" si="24"/>
        <v>0</v>
      </c>
      <c r="G93" s="179">
        <v>0</v>
      </c>
      <c r="H93" s="80">
        <f t="shared" si="25"/>
        <v>0</v>
      </c>
      <c r="I93" s="179">
        <v>0</v>
      </c>
      <c r="J93" s="80">
        <f t="shared" si="26"/>
        <v>0</v>
      </c>
      <c r="K93" s="179">
        <v>0</v>
      </c>
      <c r="L93" s="80">
        <f t="shared" si="27"/>
        <v>0</v>
      </c>
      <c r="M93" s="179">
        <v>0</v>
      </c>
      <c r="N93" s="80">
        <f t="shared" si="28"/>
        <v>0</v>
      </c>
      <c r="O93" s="179">
        <v>0</v>
      </c>
      <c r="P93" s="80">
        <f t="shared" si="29"/>
        <v>0</v>
      </c>
      <c r="Q93" s="179">
        <v>0</v>
      </c>
      <c r="R93" s="80">
        <f t="shared" si="30"/>
        <v>0</v>
      </c>
      <c r="S93" s="179">
        <v>0</v>
      </c>
      <c r="T93" s="80">
        <f t="shared" si="31"/>
        <v>0</v>
      </c>
      <c r="U93" s="179">
        <v>0</v>
      </c>
      <c r="V93" s="80">
        <f t="shared" si="32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3"/>
        <v>0</v>
      </c>
      <c r="E94" s="179">
        <v>0</v>
      </c>
      <c r="F94" s="80">
        <f t="shared" si="24"/>
        <v>0</v>
      </c>
      <c r="G94" s="179">
        <v>0</v>
      </c>
      <c r="H94" s="80">
        <f t="shared" si="25"/>
        <v>0</v>
      </c>
      <c r="I94" s="179">
        <v>0</v>
      </c>
      <c r="J94" s="80">
        <f t="shared" si="26"/>
        <v>0</v>
      </c>
      <c r="K94" s="179">
        <v>0</v>
      </c>
      <c r="L94" s="80">
        <f t="shared" si="27"/>
        <v>0</v>
      </c>
      <c r="M94" s="179">
        <v>0</v>
      </c>
      <c r="N94" s="80">
        <f t="shared" si="28"/>
        <v>0</v>
      </c>
      <c r="O94" s="179">
        <v>0</v>
      </c>
      <c r="P94" s="80">
        <f t="shared" si="29"/>
        <v>0</v>
      </c>
      <c r="Q94" s="179">
        <v>0</v>
      </c>
      <c r="R94" s="80">
        <f t="shared" si="30"/>
        <v>0</v>
      </c>
      <c r="S94" s="179">
        <v>0</v>
      </c>
      <c r="T94" s="80">
        <f t="shared" si="31"/>
        <v>0</v>
      </c>
      <c r="U94" s="179">
        <v>0</v>
      </c>
      <c r="V94" s="80">
        <f t="shared" si="32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3"/>
        <v>0</v>
      </c>
      <c r="E95" s="179">
        <v>0</v>
      </c>
      <c r="F95" s="80">
        <f t="shared" si="24"/>
        <v>0</v>
      </c>
      <c r="G95" s="179">
        <v>0</v>
      </c>
      <c r="H95" s="80">
        <f t="shared" si="25"/>
        <v>0</v>
      </c>
      <c r="I95" s="179">
        <v>0</v>
      </c>
      <c r="J95" s="80">
        <f t="shared" si="26"/>
        <v>0</v>
      </c>
      <c r="K95" s="179">
        <v>0</v>
      </c>
      <c r="L95" s="80">
        <f t="shared" si="27"/>
        <v>0</v>
      </c>
      <c r="M95" s="179">
        <v>0</v>
      </c>
      <c r="N95" s="80">
        <f t="shared" si="28"/>
        <v>0</v>
      </c>
      <c r="O95" s="179">
        <v>0</v>
      </c>
      <c r="P95" s="80">
        <f t="shared" si="29"/>
        <v>0</v>
      </c>
      <c r="Q95" s="179">
        <v>0</v>
      </c>
      <c r="R95" s="80">
        <f t="shared" si="30"/>
        <v>0</v>
      </c>
      <c r="S95" s="179">
        <v>0</v>
      </c>
      <c r="T95" s="80">
        <f t="shared" si="31"/>
        <v>0</v>
      </c>
      <c r="U95" s="179">
        <v>0</v>
      </c>
      <c r="V95" s="80">
        <f t="shared" si="32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3"/>
        <v>0</v>
      </c>
      <c r="E96" s="179">
        <v>0</v>
      </c>
      <c r="F96" s="80">
        <f t="shared" si="24"/>
        <v>0</v>
      </c>
      <c r="G96" s="179">
        <v>0</v>
      </c>
      <c r="H96" s="80">
        <f t="shared" si="25"/>
        <v>0</v>
      </c>
      <c r="I96" s="179">
        <v>0</v>
      </c>
      <c r="J96" s="80">
        <f t="shared" si="26"/>
        <v>0</v>
      </c>
      <c r="K96" s="179">
        <v>0</v>
      </c>
      <c r="L96" s="80">
        <f t="shared" si="27"/>
        <v>0</v>
      </c>
      <c r="M96" s="179">
        <v>0</v>
      </c>
      <c r="N96" s="80">
        <f t="shared" si="28"/>
        <v>0</v>
      </c>
      <c r="O96" s="179">
        <v>0</v>
      </c>
      <c r="P96" s="80">
        <f t="shared" si="29"/>
        <v>0</v>
      </c>
      <c r="Q96" s="179">
        <v>0</v>
      </c>
      <c r="R96" s="80">
        <f t="shared" si="30"/>
        <v>0</v>
      </c>
      <c r="S96" s="179">
        <v>0</v>
      </c>
      <c r="T96" s="80">
        <f t="shared" si="31"/>
        <v>0</v>
      </c>
      <c r="U96" s="179">
        <v>0</v>
      </c>
      <c r="V96" s="80">
        <f t="shared" si="32"/>
        <v>0</v>
      </c>
      <c r="X96" s="200"/>
    </row>
    <row r="97" spans="1:24" ht="12.75" customHeight="1">
      <c r="A97" s="2" t="s">
        <v>428</v>
      </c>
      <c r="B97" s="35"/>
      <c r="C97" s="179">
        <v>0</v>
      </c>
      <c r="D97" s="80">
        <f t="shared" si="23"/>
        <v>0</v>
      </c>
      <c r="E97" s="179">
        <v>12846.104507142856</v>
      </c>
      <c r="F97" s="80">
        <f t="shared" si="24"/>
        <v>1.5113064126050419E-2</v>
      </c>
      <c r="G97" s="179">
        <v>13444.109732499997</v>
      </c>
      <c r="H97" s="80">
        <f t="shared" si="25"/>
        <v>1.5506470279700112E-2</v>
      </c>
      <c r="I97" s="179">
        <v>13854.064821967499</v>
      </c>
      <c r="J97" s="80">
        <f t="shared" si="26"/>
        <v>1.5665993647202996E-2</v>
      </c>
      <c r="K97" s="179">
        <v>14200.416442516687</v>
      </c>
      <c r="L97" s="80">
        <f t="shared" si="27"/>
        <v>1.5898656919191161E-2</v>
      </c>
      <c r="M97" s="179">
        <v>14555.426853579602</v>
      </c>
      <c r="N97" s="80">
        <f t="shared" si="28"/>
        <v>1.6134775586307857E-2</v>
      </c>
      <c r="O97" s="179">
        <v>14919.312524919089</v>
      </c>
      <c r="P97" s="80">
        <f t="shared" si="29"/>
        <v>1.6374400966302525E-2</v>
      </c>
      <c r="Q97" s="179">
        <v>15292.295338042069</v>
      </c>
      <c r="R97" s="80">
        <f t="shared" si="30"/>
        <v>1.6617585139069399E-2</v>
      </c>
      <c r="S97" s="179">
        <v>15674.602721493118</v>
      </c>
      <c r="T97" s="80">
        <f t="shared" si="31"/>
        <v>1.6864380957966465E-2</v>
      </c>
      <c r="U97" s="179">
        <v>16066.467789530447</v>
      </c>
      <c r="V97" s="80">
        <f t="shared" si="32"/>
        <v>1.71148420613026E-2</v>
      </c>
      <c r="X97" s="200"/>
    </row>
    <row r="98" spans="1:24" ht="12.75" customHeight="1">
      <c r="A98" s="117" t="s">
        <v>431</v>
      </c>
      <c r="B98" s="35"/>
      <c r="C98" s="179">
        <v>0</v>
      </c>
      <c r="D98" s="80">
        <f t="shared" si="23"/>
        <v>0</v>
      </c>
      <c r="E98" s="179">
        <v>1019.9999999999999</v>
      </c>
      <c r="F98" s="80">
        <f t="shared" si="24"/>
        <v>1.1999999999999999E-3</v>
      </c>
      <c r="G98" s="179">
        <v>1040.3999999999999</v>
      </c>
      <c r="H98" s="80">
        <f t="shared" si="25"/>
        <v>1.1999999999999999E-3</v>
      </c>
      <c r="I98" s="179">
        <v>1061.2079999999999</v>
      </c>
      <c r="J98" s="80">
        <f t="shared" si="26"/>
        <v>1.1999999999999999E-3</v>
      </c>
      <c r="K98" s="179">
        <v>1071.82008</v>
      </c>
      <c r="L98" s="80">
        <f t="shared" si="27"/>
        <v>1.1999999999999999E-3</v>
      </c>
      <c r="M98" s="179">
        <v>1082.5382807999999</v>
      </c>
      <c r="N98" s="80">
        <f t="shared" si="28"/>
        <v>1.1999999999999999E-3</v>
      </c>
      <c r="O98" s="179">
        <v>1093.363663608</v>
      </c>
      <c r="P98" s="80">
        <f t="shared" si="29"/>
        <v>1.1999999999999999E-3</v>
      </c>
      <c r="Q98" s="179">
        <v>1104.2973002440799</v>
      </c>
      <c r="R98" s="80">
        <f t="shared" si="30"/>
        <v>1.1999999999999999E-3</v>
      </c>
      <c r="S98" s="179">
        <v>1115.3402732465208</v>
      </c>
      <c r="T98" s="80">
        <f t="shared" si="31"/>
        <v>1.1999999999999999E-3</v>
      </c>
      <c r="U98" s="179">
        <v>1126.4936759789859</v>
      </c>
      <c r="V98" s="80">
        <f t="shared" si="32"/>
        <v>1.1999999999999999E-3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3"/>
        <v>0</v>
      </c>
      <c r="E99" s="179">
        <v>0</v>
      </c>
      <c r="F99" s="80">
        <f t="shared" si="24"/>
        <v>0</v>
      </c>
      <c r="G99" s="179">
        <v>0</v>
      </c>
      <c r="H99" s="80">
        <f t="shared" si="25"/>
        <v>0</v>
      </c>
      <c r="I99" s="179">
        <v>0</v>
      </c>
      <c r="J99" s="80">
        <f t="shared" si="26"/>
        <v>0</v>
      </c>
      <c r="K99" s="179">
        <v>0</v>
      </c>
      <c r="L99" s="80">
        <f t="shared" si="27"/>
        <v>0</v>
      </c>
      <c r="M99" s="179">
        <v>0</v>
      </c>
      <c r="N99" s="80">
        <f t="shared" si="28"/>
        <v>0</v>
      </c>
      <c r="O99" s="179">
        <v>0</v>
      </c>
      <c r="P99" s="80">
        <f t="shared" si="29"/>
        <v>0</v>
      </c>
      <c r="Q99" s="179">
        <v>0</v>
      </c>
      <c r="R99" s="80">
        <f t="shared" si="30"/>
        <v>0</v>
      </c>
      <c r="S99" s="179">
        <v>0</v>
      </c>
      <c r="T99" s="80">
        <f t="shared" si="31"/>
        <v>0</v>
      </c>
      <c r="U99" s="179">
        <v>0</v>
      </c>
      <c r="V99" s="80">
        <f t="shared" si="32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3"/>
        <v>0</v>
      </c>
      <c r="E100" s="179">
        <v>0</v>
      </c>
      <c r="F100" s="80">
        <f t="shared" si="24"/>
        <v>0</v>
      </c>
      <c r="G100" s="179">
        <v>0</v>
      </c>
      <c r="H100" s="80">
        <f t="shared" si="25"/>
        <v>0</v>
      </c>
      <c r="I100" s="179">
        <v>0</v>
      </c>
      <c r="J100" s="80">
        <f t="shared" si="26"/>
        <v>0</v>
      </c>
      <c r="K100" s="179">
        <v>0</v>
      </c>
      <c r="L100" s="80">
        <f t="shared" si="27"/>
        <v>0</v>
      </c>
      <c r="M100" s="179">
        <v>0</v>
      </c>
      <c r="N100" s="80">
        <f t="shared" si="28"/>
        <v>0</v>
      </c>
      <c r="O100" s="179">
        <v>0</v>
      </c>
      <c r="P100" s="80">
        <f t="shared" si="29"/>
        <v>0</v>
      </c>
      <c r="Q100" s="179">
        <v>0</v>
      </c>
      <c r="R100" s="80">
        <f t="shared" si="30"/>
        <v>0</v>
      </c>
      <c r="S100" s="179">
        <v>0</v>
      </c>
      <c r="T100" s="80">
        <f t="shared" si="31"/>
        <v>0</v>
      </c>
      <c r="U100" s="179">
        <v>0</v>
      </c>
      <c r="V100" s="80">
        <f t="shared" si="32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3"/>
        <v>0</v>
      </c>
      <c r="E101" s="179"/>
      <c r="F101" s="80">
        <f t="shared" si="24"/>
        <v>0</v>
      </c>
      <c r="G101" s="179"/>
      <c r="H101" s="80">
        <f t="shared" si="25"/>
        <v>0</v>
      </c>
      <c r="I101" s="179">
        <v>0</v>
      </c>
      <c r="J101" s="80">
        <f t="shared" si="26"/>
        <v>0</v>
      </c>
      <c r="K101" s="179">
        <v>0</v>
      </c>
      <c r="L101" s="80">
        <f t="shared" si="27"/>
        <v>0</v>
      </c>
      <c r="M101" s="179">
        <v>0</v>
      </c>
      <c r="N101" s="80">
        <f t="shared" si="28"/>
        <v>0</v>
      </c>
      <c r="O101" s="179">
        <v>0</v>
      </c>
      <c r="P101" s="80">
        <f t="shared" si="29"/>
        <v>0</v>
      </c>
      <c r="Q101" s="179">
        <v>0</v>
      </c>
      <c r="R101" s="80">
        <f t="shared" si="30"/>
        <v>0</v>
      </c>
      <c r="S101" s="179">
        <v>0</v>
      </c>
      <c r="T101" s="80">
        <f t="shared" si="31"/>
        <v>0</v>
      </c>
      <c r="U101" s="179">
        <v>0</v>
      </c>
      <c r="V101" s="80">
        <f t="shared" si="32"/>
        <v>0</v>
      </c>
      <c r="X101" s="200"/>
    </row>
    <row r="102" spans="1:24" ht="12.75" customHeight="1">
      <c r="A102" s="117" t="s">
        <v>433</v>
      </c>
      <c r="B102" s="35"/>
      <c r="C102" s="179">
        <v>0</v>
      </c>
      <c r="D102" s="80">
        <f t="shared" si="23"/>
        <v>0</v>
      </c>
      <c r="E102" s="179">
        <v>8500</v>
      </c>
      <c r="F102" s="80">
        <f t="shared" si="24"/>
        <v>0.01</v>
      </c>
      <c r="G102" s="179">
        <v>8670</v>
      </c>
      <c r="H102" s="80">
        <f t="shared" si="25"/>
        <v>0.01</v>
      </c>
      <c r="I102" s="179">
        <v>8843.4</v>
      </c>
      <c r="J102" s="80">
        <f t="shared" si="26"/>
        <v>0.01</v>
      </c>
      <c r="K102" s="179">
        <v>8931.8340000000026</v>
      </c>
      <c r="L102" s="80">
        <f t="shared" si="27"/>
        <v>1.0000000000000002E-2</v>
      </c>
      <c r="M102" s="179">
        <v>9021.1523399999987</v>
      </c>
      <c r="N102" s="80">
        <f t="shared" si="28"/>
        <v>9.9999999999999985E-3</v>
      </c>
      <c r="O102" s="179">
        <v>9111.3638634000017</v>
      </c>
      <c r="P102" s="80">
        <f t="shared" si="29"/>
        <v>0.01</v>
      </c>
      <c r="Q102" s="179">
        <v>9202.4775020340003</v>
      </c>
      <c r="R102" s="80">
        <f t="shared" si="30"/>
        <v>0.01</v>
      </c>
      <c r="S102" s="179">
        <v>9294.5022770543401</v>
      </c>
      <c r="T102" s="80">
        <f t="shared" si="31"/>
        <v>9.9999999999999985E-3</v>
      </c>
      <c r="U102" s="179">
        <v>9387.4472998248839</v>
      </c>
      <c r="V102" s="80">
        <f t="shared" si="32"/>
        <v>0.01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3"/>
        <v>0</v>
      </c>
      <c r="E103" s="179">
        <v>0</v>
      </c>
      <c r="F103" s="80">
        <f t="shared" si="24"/>
        <v>0</v>
      </c>
      <c r="G103" s="179">
        <v>0</v>
      </c>
      <c r="H103" s="80">
        <f t="shared" si="25"/>
        <v>0</v>
      </c>
      <c r="I103" s="179">
        <v>0</v>
      </c>
      <c r="J103" s="80">
        <f t="shared" si="26"/>
        <v>0</v>
      </c>
      <c r="K103" s="179">
        <v>0</v>
      </c>
      <c r="L103" s="80">
        <f t="shared" si="27"/>
        <v>0</v>
      </c>
      <c r="M103" s="179">
        <v>0</v>
      </c>
      <c r="N103" s="80">
        <f t="shared" si="28"/>
        <v>0</v>
      </c>
      <c r="O103" s="179">
        <v>0</v>
      </c>
      <c r="P103" s="80">
        <f t="shared" si="29"/>
        <v>0</v>
      </c>
      <c r="Q103" s="179">
        <v>0</v>
      </c>
      <c r="R103" s="80">
        <f t="shared" si="30"/>
        <v>0</v>
      </c>
      <c r="S103" s="179">
        <v>0</v>
      </c>
      <c r="T103" s="80">
        <f t="shared" si="31"/>
        <v>0</v>
      </c>
      <c r="U103" s="179">
        <v>0</v>
      </c>
      <c r="V103" s="80">
        <f t="shared" si="32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3"/>
        <v>0</v>
      </c>
      <c r="E104" s="179">
        <v>0</v>
      </c>
      <c r="F104" s="80">
        <f t="shared" si="24"/>
        <v>0</v>
      </c>
      <c r="G104" s="179">
        <v>0</v>
      </c>
      <c r="H104" s="80">
        <f t="shared" si="25"/>
        <v>0</v>
      </c>
      <c r="I104" s="179">
        <v>0</v>
      </c>
      <c r="J104" s="80">
        <f t="shared" si="26"/>
        <v>0</v>
      </c>
      <c r="K104" s="179">
        <v>0</v>
      </c>
      <c r="L104" s="80">
        <f t="shared" si="27"/>
        <v>0</v>
      </c>
      <c r="M104" s="179">
        <v>0</v>
      </c>
      <c r="N104" s="80">
        <f t="shared" si="28"/>
        <v>0</v>
      </c>
      <c r="O104" s="179">
        <v>0</v>
      </c>
      <c r="P104" s="80">
        <f t="shared" si="29"/>
        <v>0</v>
      </c>
      <c r="Q104" s="179">
        <v>0</v>
      </c>
      <c r="R104" s="80">
        <f t="shared" si="30"/>
        <v>0</v>
      </c>
      <c r="S104" s="179">
        <v>0</v>
      </c>
      <c r="T104" s="80">
        <f t="shared" si="31"/>
        <v>0</v>
      </c>
      <c r="U104" s="179">
        <v>0</v>
      </c>
      <c r="V104" s="80">
        <f t="shared" si="32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0</v>
      </c>
      <c r="D105" s="83">
        <f t="shared" ref="D105" si="33">IFERROR(C105/C$28,0)</f>
        <v>0</v>
      </c>
      <c r="E105" s="82">
        <f>SUM(E52:E104)</f>
        <v>130373.3268928972</v>
      </c>
      <c r="F105" s="83">
        <f t="shared" ref="F105" si="34">IFERROR(E105/E$28,0)</f>
        <v>0.15338038457987904</v>
      </c>
      <c r="G105" s="82">
        <f>SUM(G52:G104)</f>
        <v>134314.78661226536</v>
      </c>
      <c r="H105" s="83">
        <f t="shared" ref="H105" si="35">IFERROR(G105/G$28,0)</f>
        <v>0.15491901570042141</v>
      </c>
      <c r="I105" s="82">
        <f>SUM(I52:I104)</f>
        <v>137073.27817906783</v>
      </c>
      <c r="J105" s="83">
        <f t="shared" ref="J105" si="36">IFERROR(I105/I$28,0)</f>
        <v>0.15500065379725878</v>
      </c>
      <c r="K105" s="82">
        <f>SUM(K52:K104)</f>
        <v>138561.04995652579</v>
      </c>
      <c r="L105" s="83">
        <f t="shared" ref="L105" si="37">IFERROR(K105/K$28,0)</f>
        <v>0.15513168959087886</v>
      </c>
      <c r="M105" s="82">
        <f>SUM(M52:M104)</f>
        <v>140143.12569205259</v>
      </c>
      <c r="N105" s="83">
        <f t="shared" ref="N105" si="38">IFERROR(M105/M$28,0)</f>
        <v>0.1553494724511576</v>
      </c>
      <c r="O105" s="82">
        <f>SUM(O52:O104)</f>
        <v>141746.65446254058</v>
      </c>
      <c r="P105" s="83">
        <f t="shared" ref="P105" si="39">IFERROR(O105/O$28,0)</f>
        <v>0.1555712806421127</v>
      </c>
      <c r="Q105" s="82">
        <f>SUM(Q52:Q104)</f>
        <v>143371.70737445084</v>
      </c>
      <c r="R105" s="83">
        <f t="shared" ref="R105" si="40">IFERROR(Q105/Q$28,0)</f>
        <v>0.1557968572514975</v>
      </c>
      <c r="S105" s="82">
        <f>SUM(S52:S104)</f>
        <v>145018.37379946426</v>
      </c>
      <c r="T105" s="83">
        <f t="shared" ref="T105" si="41">IFERROR(S105/S$28,0)</f>
        <v>0.15602597048953998</v>
      </c>
      <c r="U105" s="82">
        <f>SUM(U52:U104)</f>
        <v>146997.09456673192</v>
      </c>
      <c r="V105" s="83">
        <f t="shared" si="32"/>
        <v>0.1565889957853335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0</v>
      </c>
      <c r="D107" s="83">
        <f>IFERROR(C107/C$28,0)</f>
        <v>0</v>
      </c>
      <c r="E107" s="82">
        <f>E28-E33-E46-E105</f>
        <v>53099.040669847105</v>
      </c>
      <c r="F107" s="83">
        <f>IFERROR(E107/E$28,0)</f>
        <v>6.2469459611584829E-2</v>
      </c>
      <c r="G107" s="82">
        <f>G28-G33-G46-G105</f>
        <v>46708.59166476471</v>
      </c>
      <c r="H107" s="83">
        <f>IFERROR(G107/G$28,0)</f>
        <v>5.3873808148517541E-2</v>
      </c>
      <c r="I107" s="82">
        <f>I28-I33-I46-I105</f>
        <v>71319.539817282173</v>
      </c>
      <c r="J107" s="83">
        <f>IFERROR(I107/I$28,0)</f>
        <v>8.0647194311330675E-2</v>
      </c>
      <c r="K107" s="82">
        <f>K28-K33-K46-K105</f>
        <v>66419.273489732936</v>
      </c>
      <c r="L107" s="83">
        <f>IFERROR(K107/K$28,0)</f>
        <v>7.4362413687640114E-2</v>
      </c>
      <c r="M107" s="82">
        <f>M28-M33-M46-M105</f>
        <v>61253.167690362723</v>
      </c>
      <c r="N107" s="83">
        <f>IFERROR(M107/M$28,0)</f>
        <v>6.7899493747339515E-2</v>
      </c>
      <c r="O107" s="82">
        <f>O28-O33-O46-O105</f>
        <v>55888.922722935269</v>
      </c>
      <c r="P107" s="83">
        <f>IFERROR(O107/O$28,0)</f>
        <v>6.1339798915768171E-2</v>
      </c>
      <c r="Q107" s="82">
        <f>Q28-Q33-Q46-Q105</f>
        <v>50321.179473846831</v>
      </c>
      <c r="R107" s="83">
        <f>IFERROR(Q107/Q$28,0)</f>
        <v>5.4682208636450853E-2</v>
      </c>
      <c r="S107" s="82">
        <f>S28-S33-S46-S105</f>
        <v>44544.419655557664</v>
      </c>
      <c r="T107" s="83">
        <f>IFERROR(S107/S$28,0)</f>
        <v>4.7925556772981825E-2</v>
      </c>
      <c r="U107" s="82">
        <f>U28-U33-U46-U105</f>
        <v>38242.629004537623</v>
      </c>
      <c r="V107" s="83">
        <f>IFERROR(U107/U$28,0)</f>
        <v>4.0738049208809947E-2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2">IFERROR(C111/C$28,0)</f>
        <v>0</v>
      </c>
      <c r="E111" s="79">
        <f>E59</f>
        <v>0</v>
      </c>
      <c r="F111" s="80">
        <f t="shared" ref="F111:F116" si="43">IFERROR(E111/E$28,0)</f>
        <v>0</v>
      </c>
      <c r="G111" s="79">
        <f>G59</f>
        <v>0</v>
      </c>
      <c r="H111" s="80">
        <f t="shared" ref="H111:H116" si="44">IFERROR(G111/G$28,0)</f>
        <v>0</v>
      </c>
      <c r="I111" s="79">
        <f>I59</f>
        <v>0</v>
      </c>
      <c r="J111" s="80">
        <f t="shared" ref="J111:J116" si="45">IFERROR(I111/I$28,0)</f>
        <v>0</v>
      </c>
      <c r="K111" s="79">
        <f>K59</f>
        <v>0</v>
      </c>
      <c r="L111" s="80">
        <f t="shared" ref="L111:L116" si="46">IFERROR(K111/K$28,0)</f>
        <v>0</v>
      </c>
      <c r="M111" s="79">
        <f>M59</f>
        <v>0</v>
      </c>
      <c r="N111" s="80">
        <f t="shared" ref="N111:N116" si="47">IFERROR(M111/M$28,0)</f>
        <v>0</v>
      </c>
      <c r="O111" s="79">
        <f>O59</f>
        <v>0</v>
      </c>
      <c r="P111" s="80">
        <f t="shared" ref="P111:P116" si="48">IFERROR(O111/O$28,0)</f>
        <v>0</v>
      </c>
      <c r="Q111" s="79">
        <f>Q59</f>
        <v>0</v>
      </c>
      <c r="R111" s="80">
        <f t="shared" ref="R111:R116" si="49">IFERROR(Q111/Q$28,0)</f>
        <v>0</v>
      </c>
      <c r="S111" s="79">
        <f>S59</f>
        <v>0</v>
      </c>
      <c r="T111" s="80">
        <f t="shared" ref="T111:T116" si="50">IFERROR(S111/S$28,0)</f>
        <v>0</v>
      </c>
      <c r="U111" s="79">
        <f>U59</f>
        <v>0</v>
      </c>
      <c r="V111" s="80">
        <f t="shared" ref="V111:V116" si="51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2"/>
        <v>0</v>
      </c>
      <c r="E112" s="79">
        <f>E62</f>
        <v>0</v>
      </c>
      <c r="F112" s="80">
        <f t="shared" si="43"/>
        <v>0</v>
      </c>
      <c r="G112" s="79">
        <f>G62</f>
        <v>0</v>
      </c>
      <c r="H112" s="80">
        <f t="shared" si="44"/>
        <v>0</v>
      </c>
      <c r="I112" s="79">
        <f>I62</f>
        <v>0</v>
      </c>
      <c r="J112" s="80">
        <f t="shared" si="45"/>
        <v>0</v>
      </c>
      <c r="K112" s="79">
        <f>K62</f>
        <v>0</v>
      </c>
      <c r="L112" s="80">
        <f t="shared" si="46"/>
        <v>0</v>
      </c>
      <c r="M112" s="79">
        <f>M62</f>
        <v>0</v>
      </c>
      <c r="N112" s="80">
        <f t="shared" si="47"/>
        <v>0</v>
      </c>
      <c r="O112" s="79">
        <f>O62</f>
        <v>0</v>
      </c>
      <c r="P112" s="80">
        <f t="shared" si="48"/>
        <v>0</v>
      </c>
      <c r="Q112" s="79">
        <f>Q62</f>
        <v>0</v>
      </c>
      <c r="R112" s="80">
        <f t="shared" si="49"/>
        <v>0</v>
      </c>
      <c r="S112" s="79">
        <f>S62</f>
        <v>0</v>
      </c>
      <c r="T112" s="80">
        <f t="shared" si="50"/>
        <v>0</v>
      </c>
      <c r="U112" s="79">
        <f>U62</f>
        <v>0</v>
      </c>
      <c r="V112" s="80">
        <f t="shared" si="51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2"/>
        <v>0</v>
      </c>
      <c r="E113" s="111">
        <v>0</v>
      </c>
      <c r="F113" s="80">
        <f t="shared" si="43"/>
        <v>0</v>
      </c>
      <c r="G113" s="111">
        <v>0</v>
      </c>
      <c r="H113" s="80">
        <f t="shared" si="44"/>
        <v>0</v>
      </c>
      <c r="I113" s="111">
        <v>0</v>
      </c>
      <c r="J113" s="80">
        <f t="shared" si="45"/>
        <v>0</v>
      </c>
      <c r="K113" s="111">
        <v>0</v>
      </c>
      <c r="L113" s="80">
        <f t="shared" si="46"/>
        <v>0</v>
      </c>
      <c r="M113" s="111">
        <v>0</v>
      </c>
      <c r="N113" s="80">
        <f t="shared" si="47"/>
        <v>0</v>
      </c>
      <c r="O113" s="111">
        <v>0</v>
      </c>
      <c r="P113" s="80">
        <f t="shared" si="48"/>
        <v>0</v>
      </c>
      <c r="Q113" s="111">
        <v>0</v>
      </c>
      <c r="R113" s="80">
        <f t="shared" si="49"/>
        <v>0</v>
      </c>
      <c r="S113" s="111">
        <v>0</v>
      </c>
      <c r="T113" s="80">
        <f t="shared" si="50"/>
        <v>0</v>
      </c>
      <c r="U113" s="111">
        <v>0</v>
      </c>
      <c r="V113" s="80">
        <f t="shared" si="51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2"/>
        <v>0</v>
      </c>
      <c r="E114" s="111">
        <v>0</v>
      </c>
      <c r="F114" s="80">
        <f t="shared" si="43"/>
        <v>0</v>
      </c>
      <c r="G114" s="111">
        <v>0</v>
      </c>
      <c r="H114" s="80">
        <f t="shared" si="44"/>
        <v>0</v>
      </c>
      <c r="I114" s="111">
        <v>0</v>
      </c>
      <c r="J114" s="80">
        <f t="shared" si="45"/>
        <v>0</v>
      </c>
      <c r="K114" s="111">
        <v>0</v>
      </c>
      <c r="L114" s="80">
        <f t="shared" si="46"/>
        <v>0</v>
      </c>
      <c r="M114" s="111">
        <v>0</v>
      </c>
      <c r="N114" s="80">
        <f t="shared" si="47"/>
        <v>0</v>
      </c>
      <c r="O114" s="111">
        <v>0</v>
      </c>
      <c r="P114" s="80">
        <f t="shared" si="48"/>
        <v>0</v>
      </c>
      <c r="Q114" s="111">
        <v>0</v>
      </c>
      <c r="R114" s="80">
        <f t="shared" si="49"/>
        <v>0</v>
      </c>
      <c r="S114" s="111">
        <v>0</v>
      </c>
      <c r="T114" s="80">
        <f t="shared" si="50"/>
        <v>0</v>
      </c>
      <c r="U114" s="111">
        <v>0</v>
      </c>
      <c r="V114" s="80">
        <f t="shared" si="51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2"/>
        <v>0</v>
      </c>
      <c r="E115" s="112">
        <v>0</v>
      </c>
      <c r="F115" s="80">
        <f t="shared" si="43"/>
        <v>0</v>
      </c>
      <c r="G115" s="112">
        <v>0</v>
      </c>
      <c r="H115" s="80">
        <f t="shared" si="44"/>
        <v>0</v>
      </c>
      <c r="I115" s="112">
        <v>0</v>
      </c>
      <c r="J115" s="80">
        <f t="shared" si="45"/>
        <v>0</v>
      </c>
      <c r="K115" s="112">
        <v>0</v>
      </c>
      <c r="L115" s="80">
        <f t="shared" si="46"/>
        <v>0</v>
      </c>
      <c r="M115" s="112">
        <v>0</v>
      </c>
      <c r="N115" s="80">
        <f t="shared" si="47"/>
        <v>0</v>
      </c>
      <c r="O115" s="112">
        <v>0</v>
      </c>
      <c r="P115" s="80">
        <f t="shared" si="48"/>
        <v>0</v>
      </c>
      <c r="Q115" s="112">
        <v>0</v>
      </c>
      <c r="R115" s="80">
        <f t="shared" si="49"/>
        <v>0</v>
      </c>
      <c r="S115" s="112">
        <v>0</v>
      </c>
      <c r="T115" s="80">
        <f t="shared" si="50"/>
        <v>0</v>
      </c>
      <c r="U115" s="112">
        <v>0</v>
      </c>
      <c r="V115" s="80">
        <f t="shared" si="51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2"/>
        <v>0</v>
      </c>
      <c r="E116" s="85">
        <f>SUM(E111:E115)</f>
        <v>0</v>
      </c>
      <c r="F116" s="83">
        <f t="shared" si="43"/>
        <v>0</v>
      </c>
      <c r="G116" s="85">
        <f>SUM(G111:G115)</f>
        <v>0</v>
      </c>
      <c r="H116" s="83">
        <f t="shared" si="44"/>
        <v>0</v>
      </c>
      <c r="I116" s="85">
        <f>SUM(I111:I115)</f>
        <v>0</v>
      </c>
      <c r="J116" s="83">
        <f t="shared" si="45"/>
        <v>0</v>
      </c>
      <c r="K116" s="85">
        <f>SUM(K111:K115)</f>
        <v>0</v>
      </c>
      <c r="L116" s="83">
        <f t="shared" si="46"/>
        <v>0</v>
      </c>
      <c r="M116" s="85">
        <f>SUM(M111:M115)</f>
        <v>0</v>
      </c>
      <c r="N116" s="83">
        <f t="shared" si="47"/>
        <v>0</v>
      </c>
      <c r="O116" s="85">
        <f>SUM(O111:O115)</f>
        <v>0</v>
      </c>
      <c r="P116" s="83">
        <f t="shared" si="48"/>
        <v>0</v>
      </c>
      <c r="Q116" s="85">
        <f>SUM(Q111:Q115)</f>
        <v>0</v>
      </c>
      <c r="R116" s="83">
        <f t="shared" si="49"/>
        <v>0</v>
      </c>
      <c r="S116" s="85">
        <f>SUM(S111:S115)</f>
        <v>0</v>
      </c>
      <c r="T116" s="83">
        <f t="shared" si="50"/>
        <v>0</v>
      </c>
      <c r="U116" s="85">
        <f>SUM(U111:U115)</f>
        <v>0</v>
      </c>
      <c r="V116" s="83">
        <f t="shared" si="51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7" tint="0.59999389629810485"/>
  </sheetPr>
  <dimension ref="A1:X119"/>
  <sheetViews>
    <sheetView topLeftCell="A33" zoomScale="70" zoomScaleNormal="70" workbookViewId="0" xr3:uid="{701D7CAA-229E-5CB1-96B2-8F6C91020655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39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59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 xml:space="preserve">Heritage Market 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348</v>
      </c>
      <c r="B7" s="1"/>
    </row>
    <row r="8" spans="1:22" ht="12.75" customHeight="1">
      <c r="A8" s="2" t="s">
        <v>349</v>
      </c>
      <c r="C8" s="109">
        <v>302</v>
      </c>
      <c r="E8" s="109">
        <f>+C8</f>
        <v>302</v>
      </c>
      <c r="G8" s="109">
        <f>+E8</f>
        <v>302</v>
      </c>
      <c r="I8" s="109">
        <f>+G8</f>
        <v>302</v>
      </c>
      <c r="K8" s="109">
        <f>+I8</f>
        <v>302</v>
      </c>
      <c r="M8" s="109">
        <f>+K8</f>
        <v>302</v>
      </c>
      <c r="O8" s="109">
        <f>+M8</f>
        <v>302</v>
      </c>
      <c r="Q8" s="109">
        <f>+O8</f>
        <v>302</v>
      </c>
      <c r="S8" s="109">
        <f>+Q8</f>
        <v>302</v>
      </c>
      <c r="U8" s="109">
        <f>+S8</f>
        <v>302</v>
      </c>
    </row>
    <row r="10" spans="1:22" ht="12.75" customHeight="1">
      <c r="A10" s="2" t="s">
        <v>449</v>
      </c>
      <c r="C10" s="109"/>
      <c r="E10" s="109"/>
      <c r="G10" s="209">
        <f>+G14/G8/G12</f>
        <v>902.08136234626295</v>
      </c>
      <c r="H10" s="186"/>
      <c r="I10" s="209">
        <f>+I14/I8/I12</f>
        <v>916.19643344983183</v>
      </c>
      <c r="J10" s="186"/>
      <c r="K10" s="209">
        <f>+K14/K8/K12</f>
        <v>920.12298959318821</v>
      </c>
      <c r="L10" s="186"/>
      <c r="M10" s="209">
        <f>+M14/M8/M12</f>
        <v>925.39749743494076</v>
      </c>
      <c r="N10" s="186"/>
      <c r="O10" s="209">
        <f t="shared" ref="O10" si="0">+O14/O8/O12</f>
        <v>930.71885751836749</v>
      </c>
      <c r="P10" s="186"/>
      <c r="Q10" s="209">
        <f t="shared" ref="Q10" si="1">+Q14/Q8/Q12</f>
        <v>936.08738947584072</v>
      </c>
      <c r="R10" s="186"/>
      <c r="S10" s="209">
        <f>+S14/S8/S12</f>
        <v>941.50341665278017</v>
      </c>
      <c r="T10" s="186"/>
      <c r="U10" s="209">
        <f>+U14/U8/U12</f>
        <v>946.96726612061298</v>
      </c>
    </row>
    <row r="12" spans="1:22" ht="12.75" customHeight="1">
      <c r="A12" s="2" t="s">
        <v>450</v>
      </c>
      <c r="C12" s="110"/>
      <c r="E12" s="110"/>
      <c r="G12" s="110">
        <v>7</v>
      </c>
      <c r="I12" s="110">
        <v>7.03</v>
      </c>
      <c r="K12" s="110">
        <v>7.07</v>
      </c>
      <c r="M12" s="110">
        <v>7.1</v>
      </c>
      <c r="O12" s="110">
        <v>7.13</v>
      </c>
      <c r="Q12" s="110">
        <v>7.16</v>
      </c>
      <c r="S12" s="110">
        <v>7.19</v>
      </c>
      <c r="U12" s="110">
        <v>7.22</v>
      </c>
    </row>
    <row r="14" spans="1:22" ht="12.75" customHeight="1">
      <c r="A14" s="2" t="s">
        <v>451</v>
      </c>
      <c r="C14" s="121"/>
      <c r="E14" s="121"/>
      <c r="G14" s="206">
        <v>1907000</v>
      </c>
      <c r="H14" s="12"/>
      <c r="I14" s="206">
        <f>+G14*1.02</f>
        <v>1945140</v>
      </c>
      <c r="J14" s="12"/>
      <c r="K14" s="206">
        <f>+I14*1.01</f>
        <v>1964591.4</v>
      </c>
      <c r="L14" s="12"/>
      <c r="M14" s="206">
        <f>+K14*1.01</f>
        <v>1984237.314</v>
      </c>
      <c r="N14" s="12"/>
      <c r="O14" s="206">
        <f>+M14*1.01</f>
        <v>2004079.6871400001</v>
      </c>
      <c r="P14" s="12"/>
      <c r="Q14" s="206">
        <f>+O14*1.01</f>
        <v>2024120.4840114</v>
      </c>
      <c r="R14" s="12"/>
      <c r="S14" s="206">
        <f>+Q14*1.01</f>
        <v>2044361.6888515141</v>
      </c>
      <c r="T14" s="12"/>
      <c r="U14" s="206">
        <f>+S14*1.01</f>
        <v>2064805.3057400293</v>
      </c>
    </row>
    <row r="15" spans="1:22" ht="12.75" customHeight="1">
      <c r="A15" s="39">
        <v>7.0000000000000007E-2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356</v>
      </c>
      <c r="B19" s="35"/>
      <c r="C19" s="208">
        <f>+C14-C20</f>
        <v>0</v>
      </c>
      <c r="D19" s="80">
        <f>IFERROR(C19/C$28,0)</f>
        <v>0</v>
      </c>
      <c r="E19" s="208">
        <f>+E14-E20</f>
        <v>0</v>
      </c>
      <c r="F19" s="80">
        <f>IFERROR(E19/E$28,0)</f>
        <v>0</v>
      </c>
      <c r="G19" s="208">
        <f>+G14-G20</f>
        <v>891141.09999999986</v>
      </c>
      <c r="H19" s="80">
        <f>IFERROR(G19/G$28,0)</f>
        <v>0.46729999999999994</v>
      </c>
      <c r="I19" s="208">
        <f>+I14-I20</f>
        <v>908963.92199999979</v>
      </c>
      <c r="J19" s="80">
        <f>IFERROR(I19/I$28,0)</f>
        <v>0.46729999999999988</v>
      </c>
      <c r="K19" s="208">
        <f>+K14-K20</f>
        <v>907691.80043999967</v>
      </c>
      <c r="L19" s="80">
        <f>IFERROR(K19/K$28,0)</f>
        <v>0.46202574257425727</v>
      </c>
      <c r="M19" s="208">
        <f>+M14-M20</f>
        <v>906199.72244879976</v>
      </c>
      <c r="N19" s="80">
        <f>IFERROR(M19/M$28,0)</f>
        <v>0.4566992647779628</v>
      </c>
      <c r="O19" s="208">
        <f>+O14-O20</f>
        <v>904481.34375777585</v>
      </c>
      <c r="P19" s="80">
        <f>IFERROR(O19/O$28,0)</f>
        <v>0.45132004957774469</v>
      </c>
      <c r="Q19" s="208">
        <f>+Q14-Q20</f>
        <v>902530.17376153124</v>
      </c>
      <c r="R19" s="80">
        <f>IFERROR(Q19/Q$28,0)</f>
        <v>0.44588757482108859</v>
      </c>
      <c r="S19" s="208">
        <f>+S14-S20</f>
        <v>900339.57239664788</v>
      </c>
      <c r="T19" s="80">
        <f>IFERROR(S19/S$28,0)</f>
        <v>0.44040131318565384</v>
      </c>
      <c r="U19" s="208">
        <f>+U14-U20</f>
        <v>897902.74695606576</v>
      </c>
      <c r="V19" s="80">
        <f>IFERROR(U19/U$28,0)</f>
        <v>0.43486073212808607</v>
      </c>
    </row>
    <row r="20" spans="1:24" ht="12.75" customHeight="1">
      <c r="A20" s="2" t="s">
        <v>357</v>
      </c>
      <c r="B20" s="35"/>
      <c r="C20" s="111">
        <f>+C14*12.38%</f>
        <v>0</v>
      </c>
      <c r="D20" s="80">
        <f>IFERROR(C20/C$28,0)</f>
        <v>0</v>
      </c>
      <c r="E20" s="111">
        <f>+E14*53.27%</f>
        <v>0</v>
      </c>
      <c r="F20" s="80">
        <f>IFERROR(E20/E$28,0)</f>
        <v>0</v>
      </c>
      <c r="G20" s="111">
        <f>+G14*53.27%</f>
        <v>1015858.9000000001</v>
      </c>
      <c r="H20" s="80">
        <f>IFERROR(G20/G$28,0)</f>
        <v>0.53270000000000006</v>
      </c>
      <c r="I20" s="111">
        <f t="shared" ref="G20:U21" si="2">G20*1.02</f>
        <v>1036176.0780000002</v>
      </c>
      <c r="J20" s="80">
        <f>IFERROR(I20/I$28,0)</f>
        <v>0.53270000000000006</v>
      </c>
      <c r="K20" s="111">
        <f t="shared" si="2"/>
        <v>1056899.5995600002</v>
      </c>
      <c r="L20" s="80">
        <f>IFERROR(K20/K$28,0)</f>
        <v>0.53797425742574267</v>
      </c>
      <c r="M20" s="111">
        <f t="shared" si="2"/>
        <v>1078037.5915512003</v>
      </c>
      <c r="N20" s="80">
        <f>IFERROR(M20/M$28,0)</f>
        <v>0.54330073522203715</v>
      </c>
      <c r="O20" s="111">
        <f t="shared" si="2"/>
        <v>1099598.3433822242</v>
      </c>
      <c r="P20" s="80">
        <f>IFERROR(O20/O$28,0)</f>
        <v>0.54867995042225537</v>
      </c>
      <c r="Q20" s="111">
        <f t="shared" si="2"/>
        <v>1121590.3102498688</v>
      </c>
      <c r="R20" s="80">
        <f>IFERROR(Q20/Q$28,0)</f>
        <v>0.55411242517891135</v>
      </c>
      <c r="S20" s="111">
        <f t="shared" si="2"/>
        <v>1144022.1164548662</v>
      </c>
      <c r="T20" s="80">
        <f>IFERROR(S20/S$28,0)</f>
        <v>0.55959868681434621</v>
      </c>
      <c r="U20" s="111">
        <f t="shared" si="2"/>
        <v>1166902.5587839636</v>
      </c>
      <c r="V20" s="80">
        <f>IFERROR(U20/U$28,0)</f>
        <v>0.56513926787191393</v>
      </c>
    </row>
    <row r="21" spans="1:24" ht="12.75" customHeight="1">
      <c r="A21" s="2" t="s">
        <v>358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2"/>
        <v>0</v>
      </c>
      <c r="H21" s="80">
        <f>IFERROR(G21/G$28,0)</f>
        <v>0</v>
      </c>
      <c r="I21" s="111">
        <f t="shared" si="2"/>
        <v>0</v>
      </c>
      <c r="J21" s="80">
        <f>IFERROR(I21/I$28,0)</f>
        <v>0</v>
      </c>
      <c r="K21" s="111">
        <f t="shared" si="2"/>
        <v>0</v>
      </c>
      <c r="L21" s="80">
        <f>IFERROR(K21/K$28,0)</f>
        <v>0</v>
      </c>
      <c r="M21" s="111">
        <f t="shared" si="2"/>
        <v>0</v>
      </c>
      <c r="N21" s="80">
        <f>IFERROR(M21/M$28,0)</f>
        <v>0</v>
      </c>
      <c r="O21" s="111">
        <f t="shared" si="2"/>
        <v>0</v>
      </c>
      <c r="P21" s="80">
        <f>IFERROR(O21/O$28,0)</f>
        <v>0</v>
      </c>
      <c r="Q21" s="111">
        <f t="shared" si="2"/>
        <v>0</v>
      </c>
      <c r="R21" s="80">
        <f>IFERROR(Q21/Q$28,0)</f>
        <v>0</v>
      </c>
      <c r="S21" s="111">
        <f t="shared" si="2"/>
        <v>0</v>
      </c>
      <c r="T21" s="80">
        <f>IFERROR(S21/S$28,0)</f>
        <v>0</v>
      </c>
      <c r="U21" s="111">
        <f t="shared" si="2"/>
        <v>0</v>
      </c>
      <c r="V21" s="80">
        <f>IFERROR(U21/U$28,0)</f>
        <v>0</v>
      </c>
    </row>
    <row r="22" spans="1:24" ht="12.75" customHeight="1">
      <c r="A22" s="2" t="s">
        <v>359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360</v>
      </c>
      <c r="B23" s="123"/>
      <c r="C23" s="79"/>
      <c r="D23" s="80">
        <f t="shared" ref="D23:D28" si="3">IFERROR(C23/C$28,0)</f>
        <v>0</v>
      </c>
      <c r="E23" s="79"/>
      <c r="F23" s="80">
        <f t="shared" ref="F23:F28" si="4">IFERROR(E23/E$28,0)</f>
        <v>0</v>
      </c>
      <c r="G23" s="79"/>
      <c r="H23" s="80">
        <f t="shared" ref="H23:H28" si="5">IFERROR(G23/G$28,0)</f>
        <v>0</v>
      </c>
      <c r="I23" s="79"/>
      <c r="J23" s="80">
        <f t="shared" ref="J23:J28" si="6">IFERROR(I23/I$28,0)</f>
        <v>0</v>
      </c>
      <c r="K23" s="79"/>
      <c r="L23" s="80">
        <f t="shared" ref="L23:L28" si="7">IFERROR(K23/K$28,0)</f>
        <v>0</v>
      </c>
      <c r="M23" s="79"/>
      <c r="N23" s="80">
        <f t="shared" ref="N23:N28" si="8">IFERROR(M23/M$28,0)</f>
        <v>0</v>
      </c>
      <c r="O23" s="79"/>
      <c r="P23" s="80">
        <f t="shared" ref="P23:P28" si="9">IFERROR(O23/O$28,0)</f>
        <v>0</v>
      </c>
      <c r="Q23" s="79"/>
      <c r="R23" s="80">
        <f t="shared" ref="R23:R28" si="10">IFERROR(Q23/Q$28,0)</f>
        <v>0</v>
      </c>
      <c r="S23" s="79"/>
      <c r="T23" s="80">
        <f t="shared" ref="T23:T28" si="11">IFERROR(S23/S$28,0)</f>
        <v>0</v>
      </c>
      <c r="U23" s="79"/>
      <c r="V23" s="80">
        <f t="shared" ref="V23:V28" si="12">IFERROR(U23/U$28,0)</f>
        <v>0</v>
      </c>
    </row>
    <row r="24" spans="1:24" ht="12.75" customHeight="1">
      <c r="A24" s="122" t="s">
        <v>361</v>
      </c>
      <c r="B24" s="123"/>
      <c r="C24" s="79"/>
      <c r="D24" s="80">
        <f t="shared" si="3"/>
        <v>0</v>
      </c>
      <c r="E24" s="79"/>
      <c r="F24" s="80">
        <f t="shared" si="4"/>
        <v>0</v>
      </c>
      <c r="G24" s="79"/>
      <c r="H24" s="80">
        <f t="shared" si="5"/>
        <v>0</v>
      </c>
      <c r="I24" s="79"/>
      <c r="J24" s="80">
        <f t="shared" si="6"/>
        <v>0</v>
      </c>
      <c r="K24" s="79"/>
      <c r="L24" s="80">
        <f t="shared" si="7"/>
        <v>0</v>
      </c>
      <c r="M24" s="79"/>
      <c r="N24" s="80">
        <f t="shared" si="8"/>
        <v>0</v>
      </c>
      <c r="O24" s="79"/>
      <c r="P24" s="80">
        <f t="shared" si="9"/>
        <v>0</v>
      </c>
      <c r="Q24" s="79"/>
      <c r="R24" s="80">
        <f t="shared" si="10"/>
        <v>0</v>
      </c>
      <c r="S24" s="79"/>
      <c r="T24" s="80">
        <f t="shared" si="11"/>
        <v>0</v>
      </c>
      <c r="U24" s="79"/>
      <c r="V24" s="80">
        <f t="shared" si="12"/>
        <v>0</v>
      </c>
      <c r="X24" s="79"/>
    </row>
    <row r="25" spans="1:24" ht="12.75" customHeight="1">
      <c r="A25" s="2" t="s">
        <v>362</v>
      </c>
      <c r="B25" s="35"/>
      <c r="C25" s="111"/>
      <c r="D25" s="80">
        <f t="shared" si="3"/>
        <v>0</v>
      </c>
      <c r="E25" s="111"/>
      <c r="F25" s="80">
        <f t="shared" si="4"/>
        <v>0</v>
      </c>
      <c r="G25" s="111"/>
      <c r="H25" s="80">
        <f t="shared" si="5"/>
        <v>0</v>
      </c>
      <c r="I25" s="111"/>
      <c r="J25" s="80">
        <f t="shared" si="6"/>
        <v>0</v>
      </c>
      <c r="K25" s="111"/>
      <c r="L25" s="80">
        <f t="shared" si="7"/>
        <v>0</v>
      </c>
      <c r="M25" s="111"/>
      <c r="N25" s="80">
        <f t="shared" si="8"/>
        <v>0</v>
      </c>
      <c r="O25" s="111"/>
      <c r="P25" s="80">
        <f t="shared" si="9"/>
        <v>0</v>
      </c>
      <c r="Q25" s="111"/>
      <c r="R25" s="80">
        <f t="shared" si="10"/>
        <v>0</v>
      </c>
      <c r="S25" s="111"/>
      <c r="T25" s="80">
        <f t="shared" si="11"/>
        <v>0</v>
      </c>
      <c r="U25" s="111"/>
      <c r="V25" s="80">
        <f t="shared" si="12"/>
        <v>0</v>
      </c>
      <c r="X25" s="79"/>
    </row>
    <row r="26" spans="1:24" ht="12.75" customHeight="1">
      <c r="A26" s="122" t="s">
        <v>363</v>
      </c>
      <c r="B26" s="35"/>
      <c r="C26" s="79"/>
      <c r="D26" s="80">
        <f t="shared" si="3"/>
        <v>0</v>
      </c>
      <c r="E26" s="79"/>
      <c r="F26" s="80">
        <f t="shared" si="4"/>
        <v>0</v>
      </c>
      <c r="G26" s="79"/>
      <c r="H26" s="80">
        <f t="shared" si="5"/>
        <v>0</v>
      </c>
      <c r="I26" s="79"/>
      <c r="J26" s="80">
        <f t="shared" si="6"/>
        <v>0</v>
      </c>
      <c r="K26" s="79"/>
      <c r="L26" s="80">
        <f t="shared" si="7"/>
        <v>0</v>
      </c>
      <c r="M26" s="79"/>
      <c r="N26" s="80">
        <f t="shared" si="8"/>
        <v>0</v>
      </c>
      <c r="O26" s="79"/>
      <c r="P26" s="80">
        <f t="shared" si="9"/>
        <v>0</v>
      </c>
      <c r="Q26" s="79"/>
      <c r="R26" s="80">
        <f t="shared" si="10"/>
        <v>0</v>
      </c>
      <c r="S26" s="79"/>
      <c r="T26" s="80">
        <f t="shared" si="11"/>
        <v>0</v>
      </c>
      <c r="U26" s="79"/>
      <c r="V26" s="80">
        <f t="shared" si="12"/>
        <v>0</v>
      </c>
    </row>
    <row r="27" spans="1:24" ht="12.75" customHeight="1">
      <c r="A27" s="2" t="s">
        <v>364</v>
      </c>
      <c r="B27" s="35"/>
      <c r="C27" s="112"/>
      <c r="D27" s="80">
        <f t="shared" si="3"/>
        <v>0</v>
      </c>
      <c r="E27" s="112"/>
      <c r="F27" s="80">
        <f t="shared" si="4"/>
        <v>0</v>
      </c>
      <c r="G27" s="112"/>
      <c r="H27" s="80">
        <f t="shared" si="5"/>
        <v>0</v>
      </c>
      <c r="I27" s="112"/>
      <c r="J27" s="80">
        <f t="shared" si="6"/>
        <v>0</v>
      </c>
      <c r="K27" s="112"/>
      <c r="L27" s="80">
        <f t="shared" si="7"/>
        <v>0</v>
      </c>
      <c r="M27" s="112"/>
      <c r="N27" s="80">
        <f t="shared" si="8"/>
        <v>0</v>
      </c>
      <c r="O27" s="112"/>
      <c r="P27" s="80">
        <f t="shared" si="9"/>
        <v>0</v>
      </c>
      <c r="Q27" s="112"/>
      <c r="R27" s="80">
        <f t="shared" si="10"/>
        <v>0</v>
      </c>
      <c r="S27" s="112"/>
      <c r="T27" s="80">
        <f t="shared" si="11"/>
        <v>0</v>
      </c>
      <c r="U27" s="112"/>
      <c r="V27" s="80">
        <f t="shared" si="12"/>
        <v>0</v>
      </c>
    </row>
    <row r="28" spans="1:24" ht="12.75" customHeight="1">
      <c r="A28" s="1" t="s">
        <v>365</v>
      </c>
      <c r="B28" s="53"/>
      <c r="C28" s="82">
        <f>SUM(C19:C27)</f>
        <v>0</v>
      </c>
      <c r="D28" s="83">
        <f t="shared" si="3"/>
        <v>0</v>
      </c>
      <c r="E28" s="82">
        <f>SUM(E19:E27)</f>
        <v>0</v>
      </c>
      <c r="F28" s="83">
        <f t="shared" si="4"/>
        <v>0</v>
      </c>
      <c r="G28" s="82">
        <f>SUM(G19:G27)</f>
        <v>1907000</v>
      </c>
      <c r="H28" s="83">
        <f t="shared" si="5"/>
        <v>1</v>
      </c>
      <c r="I28" s="82">
        <f>SUM(I19:I27)</f>
        <v>1945140</v>
      </c>
      <c r="J28" s="83">
        <f t="shared" si="6"/>
        <v>1</v>
      </c>
      <c r="K28" s="82">
        <f>SUM(K19:K27)</f>
        <v>1964591.4</v>
      </c>
      <c r="L28" s="83">
        <f t="shared" si="7"/>
        <v>1</v>
      </c>
      <c r="M28" s="82">
        <f>SUM(M19:M27)</f>
        <v>1984237.314</v>
      </c>
      <c r="N28" s="83">
        <f t="shared" si="8"/>
        <v>1</v>
      </c>
      <c r="O28" s="82">
        <f>SUM(O19:O27)</f>
        <v>2004079.6871400001</v>
      </c>
      <c r="P28" s="83">
        <f t="shared" si="9"/>
        <v>1</v>
      </c>
      <c r="Q28" s="82">
        <f>SUM(Q19:Q27)</f>
        <v>2024120.4840114</v>
      </c>
      <c r="R28" s="83">
        <f t="shared" si="10"/>
        <v>1</v>
      </c>
      <c r="S28" s="82">
        <f>SUM(S19:S27)</f>
        <v>2044361.6888515141</v>
      </c>
      <c r="T28" s="83">
        <f t="shared" si="11"/>
        <v>1</v>
      </c>
      <c r="U28" s="82">
        <f>SUM(U19:U27)</f>
        <v>2064805.3057400293</v>
      </c>
      <c r="V28" s="83">
        <f t="shared" si="12"/>
        <v>1</v>
      </c>
    </row>
    <row r="29" spans="1:24" ht="12.75" customHeight="1">
      <c r="A29" s="1"/>
      <c r="B29" s="53"/>
      <c r="C29" s="121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205">
        <v>0.33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367</v>
      </c>
      <c r="B31" s="35"/>
      <c r="C31" s="179">
        <f>$C$30*C14</f>
        <v>0</v>
      </c>
      <c r="D31" s="80">
        <f>IFERROR(C31/C$28,0)</f>
        <v>0</v>
      </c>
      <c r="E31" s="179">
        <f>$C$30*E14</f>
        <v>0</v>
      </c>
      <c r="F31" s="80">
        <f>IFERROR(E31/E$28,0)</f>
        <v>0</v>
      </c>
      <c r="G31" s="179">
        <f>$C$30*G14</f>
        <v>629310</v>
      </c>
      <c r="H31" s="80">
        <f>IFERROR(G31/G$28,0)</f>
        <v>0.33</v>
      </c>
      <c r="I31" s="179">
        <f>$C$30*I14</f>
        <v>641896.20000000007</v>
      </c>
      <c r="J31" s="80">
        <f>IFERROR(I31/I$28,0)</f>
        <v>0.33</v>
      </c>
      <c r="K31" s="179">
        <f>$C$30*K14</f>
        <v>648315.16200000001</v>
      </c>
      <c r="L31" s="80">
        <f>IFERROR(K31/K$28,0)</f>
        <v>0.33</v>
      </c>
      <c r="M31" s="179">
        <f>$C$30*M14</f>
        <v>654798.31362000003</v>
      </c>
      <c r="N31" s="80">
        <f>IFERROR(M31/M$28,0)</f>
        <v>0.33</v>
      </c>
      <c r="O31" s="179">
        <f>$C$30*O14</f>
        <v>661346.29675620003</v>
      </c>
      <c r="P31" s="80">
        <f>IFERROR(O31/O$28,0)</f>
        <v>0.33</v>
      </c>
      <c r="Q31" s="179">
        <f>$C$30*Q14</f>
        <v>667959.75972376205</v>
      </c>
      <c r="R31" s="80">
        <f>IFERROR(Q31/Q$28,0)</f>
        <v>0.33</v>
      </c>
      <c r="S31" s="179">
        <f>$C$30*S14</f>
        <v>674639.35732099973</v>
      </c>
      <c r="T31" s="80">
        <f>IFERROR(S31/S$28,0)</f>
        <v>0.33</v>
      </c>
      <c r="U31" s="179">
        <f>$C$30*U14</f>
        <v>681385.75089420972</v>
      </c>
      <c r="V31" s="80">
        <f>IFERROR(U31/U$28,0)</f>
        <v>0.33</v>
      </c>
    </row>
    <row r="32" spans="1:24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0</v>
      </c>
      <c r="D33" s="83">
        <f>IFERROR(C33/C$28,0)</f>
        <v>0</v>
      </c>
      <c r="E33" s="82">
        <f>SUM(E31:E32)</f>
        <v>0</v>
      </c>
      <c r="F33" s="83">
        <f>IFERROR(E33/E$28,0)</f>
        <v>0</v>
      </c>
      <c r="G33" s="82">
        <f>SUM(G31:G32)</f>
        <v>629310</v>
      </c>
      <c r="H33" s="83">
        <f>IFERROR(G33/G$28,0)</f>
        <v>0.33</v>
      </c>
      <c r="I33" s="82">
        <f>SUM(I31:I32)</f>
        <v>641896.20000000007</v>
      </c>
      <c r="J33" s="83">
        <f>IFERROR(I33/I$28,0)</f>
        <v>0.33</v>
      </c>
      <c r="K33" s="82">
        <f>SUM(K31:K32)</f>
        <v>648315.16200000001</v>
      </c>
      <c r="L33" s="83">
        <f>IFERROR(K33/K$28,0)</f>
        <v>0.33</v>
      </c>
      <c r="M33" s="82">
        <f>SUM(M31:M32)</f>
        <v>654798.31362000003</v>
      </c>
      <c r="N33" s="83">
        <f>IFERROR(M33/M$28,0)</f>
        <v>0.33</v>
      </c>
      <c r="O33" s="82">
        <f>SUM(O31:O32)</f>
        <v>661346.29675620003</v>
      </c>
      <c r="P33" s="83">
        <f>IFERROR(O33/O$28,0)</f>
        <v>0.33</v>
      </c>
      <c r="Q33" s="82">
        <f>SUM(Q31:Q32)</f>
        <v>667959.75972376205</v>
      </c>
      <c r="R33" s="83">
        <f>IFERROR(Q33/Q$28,0)</f>
        <v>0.33</v>
      </c>
      <c r="S33" s="82">
        <f>SUM(S31:S32)</f>
        <v>674639.35732099973</v>
      </c>
      <c r="T33" s="83">
        <f>IFERROR(S33/S$28,0)</f>
        <v>0.33</v>
      </c>
      <c r="U33" s="82">
        <f>SUM(U31:U32)</f>
        <v>681385.75089420972</v>
      </c>
      <c r="V33" s="83">
        <f>IFERROR(U33/U$28,0)</f>
        <v>0.33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13"/>
      <c r="D36" s="80">
        <f t="shared" ref="D36:D46" si="13">IFERROR(C36/C$28,0)</f>
        <v>0</v>
      </c>
      <c r="E36" s="179"/>
      <c r="F36" s="80">
        <f t="shared" ref="F36:F46" si="14">IFERROR(E36/E$28,0)</f>
        <v>0</v>
      </c>
      <c r="G36" s="179">
        <v>110000</v>
      </c>
      <c r="H36" s="80">
        <f t="shared" ref="H36:H46" si="15">IFERROR(G36/G$28,0)</f>
        <v>5.7682223387519667E-2</v>
      </c>
      <c r="I36" s="179">
        <f>+G36*1.025</f>
        <v>112749.99999999999</v>
      </c>
      <c r="J36" s="80">
        <f t="shared" ref="J36:J46" si="16">IFERROR(I36/I$28,0)</f>
        <v>5.79649793845173E-2</v>
      </c>
      <c r="K36" s="179">
        <f>+I36*1.025</f>
        <v>115568.74999999997</v>
      </c>
      <c r="L36" s="80">
        <f t="shared" ref="L36:L46" si="17">IFERROR(K36/K$28,0)</f>
        <v>5.8825845414980427E-2</v>
      </c>
      <c r="M36" s="179">
        <f>+K36*1.025</f>
        <v>118457.96874999996</v>
      </c>
      <c r="N36" s="80">
        <f t="shared" ref="N36:N46" si="18">IFERROR(M36/M$28,0)</f>
        <v>5.9699496584509827E-2</v>
      </c>
      <c r="O36" s="179">
        <f>+M36*1.025</f>
        <v>121419.41796874994</v>
      </c>
      <c r="P36" s="80">
        <f t="shared" ref="P36:P46" si="19">IFERROR(O36/O$28,0)</f>
        <v>6.0586122771408478E-2</v>
      </c>
      <c r="Q36" s="179">
        <f>+O36*1.025</f>
        <v>124454.90341796869</v>
      </c>
      <c r="R36" s="80">
        <f t="shared" ref="R36:R46" si="20">IFERROR(Q36/Q$28,0)</f>
        <v>6.1485916673954151E-2</v>
      </c>
      <c r="S36" s="179">
        <f>+Q36*1.025</f>
        <v>127566.27600341789</v>
      </c>
      <c r="T36" s="80">
        <f t="shared" ref="T36:T46" si="21">IFERROR(S36/S$28,0)</f>
        <v>6.2399073852280197E-2</v>
      </c>
      <c r="U36" s="179">
        <f>+S36*1.025</f>
        <v>130755.43290350333</v>
      </c>
      <c r="V36" s="80">
        <f t="shared" ref="V36:V46" si="22">IFERROR(U36/U$28,0)</f>
        <v>6.3325792770878409E-2</v>
      </c>
    </row>
    <row r="37" spans="1:22" ht="12.75" customHeight="1">
      <c r="A37" s="2" t="s">
        <v>372</v>
      </c>
      <c r="B37" s="35"/>
      <c r="C37" s="113"/>
      <c r="D37" s="80">
        <f t="shared" si="13"/>
        <v>0</v>
      </c>
      <c r="E37" s="179"/>
      <c r="F37" s="80">
        <f t="shared" si="14"/>
        <v>0</v>
      </c>
      <c r="G37" s="179">
        <f>258000</f>
        <v>258000</v>
      </c>
      <c r="H37" s="80">
        <f t="shared" si="15"/>
        <v>0.13529103303618248</v>
      </c>
      <c r="I37" s="179">
        <f>+G37*1.032</f>
        <v>266256</v>
      </c>
      <c r="J37" s="80">
        <f t="shared" si="16"/>
        <v>0.13688269224837288</v>
      </c>
      <c r="K37" s="179">
        <f>+I37*1.025</f>
        <v>272912.39999999997</v>
      </c>
      <c r="L37" s="80">
        <f t="shared" si="17"/>
        <v>0.13891560351938831</v>
      </c>
      <c r="M37" s="179">
        <f>+K37*1.025</f>
        <v>279735.20999999996</v>
      </c>
      <c r="N37" s="80">
        <f t="shared" si="18"/>
        <v>0.14097870654195346</v>
      </c>
      <c r="O37" s="179">
        <f>+M37*1.025</f>
        <v>286728.59024999995</v>
      </c>
      <c r="P37" s="80">
        <f t="shared" si="19"/>
        <v>0.14307244970841809</v>
      </c>
      <c r="Q37" s="179">
        <f>+O37*1.025</f>
        <v>293896.80500624992</v>
      </c>
      <c r="R37" s="80">
        <f t="shared" si="20"/>
        <v>0.14519728807042431</v>
      </c>
      <c r="S37" s="179">
        <f>+Q37*1.025</f>
        <v>301244.22513140616</v>
      </c>
      <c r="T37" s="80">
        <f t="shared" si="21"/>
        <v>0.14735368343780683</v>
      </c>
      <c r="U37" s="179">
        <f>+S37*1.025</f>
        <v>308775.33075969131</v>
      </c>
      <c r="V37" s="80">
        <f t="shared" si="22"/>
        <v>0.14954210447896238</v>
      </c>
    </row>
    <row r="38" spans="1:22" ht="12.75" customHeight="1">
      <c r="A38" s="2" t="s">
        <v>373</v>
      </c>
      <c r="B38" s="35"/>
      <c r="C38" s="113"/>
      <c r="D38" s="80">
        <f t="shared" si="13"/>
        <v>0</v>
      </c>
      <c r="E38" s="179"/>
      <c r="F38" s="80">
        <f t="shared" si="14"/>
        <v>0</v>
      </c>
      <c r="G38" s="179">
        <v>110000</v>
      </c>
      <c r="H38" s="80">
        <f t="shared" si="15"/>
        <v>5.7682223387519667E-2</v>
      </c>
      <c r="I38" s="179">
        <f>+G38*1.032</f>
        <v>113520</v>
      </c>
      <c r="J38" s="80">
        <f t="shared" si="16"/>
        <v>5.8360837780314014E-2</v>
      </c>
      <c r="K38" s="179">
        <f>+I38*1.025</f>
        <v>116357.99999999999</v>
      </c>
      <c r="L38" s="80">
        <f t="shared" si="17"/>
        <v>5.9227582895863225E-2</v>
      </c>
      <c r="M38" s="179">
        <f>+K38*1.025</f>
        <v>119266.94999999997</v>
      </c>
      <c r="N38" s="80">
        <f t="shared" si="18"/>
        <v>6.0107200463623563E-2</v>
      </c>
      <c r="O38" s="179">
        <f>+M38*1.025</f>
        <v>122248.62374999996</v>
      </c>
      <c r="P38" s="80">
        <f t="shared" si="19"/>
        <v>6.0999881658627866E-2</v>
      </c>
      <c r="Q38" s="179">
        <f>+O38*1.025</f>
        <v>125304.83934374995</v>
      </c>
      <c r="R38" s="80">
        <f t="shared" si="20"/>
        <v>6.1905820495142136E-2</v>
      </c>
      <c r="S38" s="179">
        <f>+Q38*1.025</f>
        <v>128437.46032734368</v>
      </c>
      <c r="T38" s="80">
        <f t="shared" si="21"/>
        <v>6.2825213868832358E-2</v>
      </c>
      <c r="U38" s="179">
        <f>+S38*1.025</f>
        <v>131648.39683552727</v>
      </c>
      <c r="V38" s="80">
        <f t="shared" si="22"/>
        <v>6.3758261599557581E-2</v>
      </c>
    </row>
    <row r="39" spans="1:22" ht="12.75" customHeight="1">
      <c r="A39" s="2" t="s">
        <v>374</v>
      </c>
      <c r="B39" s="35"/>
      <c r="C39" s="113"/>
      <c r="D39" s="80">
        <f t="shared" si="13"/>
        <v>0</v>
      </c>
      <c r="E39" s="179"/>
      <c r="F39" s="80">
        <f t="shared" si="14"/>
        <v>0</v>
      </c>
      <c r="G39" s="179">
        <v>47000</v>
      </c>
      <c r="H39" s="80">
        <f t="shared" si="15"/>
        <v>2.4646040901940221E-2</v>
      </c>
      <c r="I39" s="179">
        <f>+G39*1.032</f>
        <v>48504</v>
      </c>
      <c r="J39" s="80">
        <f t="shared" si="16"/>
        <v>2.4935994324315987E-2</v>
      </c>
      <c r="K39" s="179">
        <f>+I39*1.025</f>
        <v>49716.6</v>
      </c>
      <c r="L39" s="80">
        <f t="shared" si="17"/>
        <v>2.5306330873687017E-2</v>
      </c>
      <c r="M39" s="179">
        <f>+K39*1.025</f>
        <v>50959.514999999992</v>
      </c>
      <c r="N39" s="80">
        <f t="shared" si="18"/>
        <v>2.5682167470820978E-2</v>
      </c>
      <c r="O39" s="179">
        <f>+M39*1.025</f>
        <v>52233.502874999991</v>
      </c>
      <c r="P39" s="80">
        <f t="shared" si="19"/>
        <v>2.6063585799595546E-2</v>
      </c>
      <c r="Q39" s="179">
        <f>+O39*1.025</f>
        <v>53539.340446874987</v>
      </c>
      <c r="R39" s="80">
        <f t="shared" si="20"/>
        <v>2.645066875701528E-2</v>
      </c>
      <c r="S39" s="179">
        <f>+Q39*1.025</f>
        <v>54877.823958046858</v>
      </c>
      <c r="T39" s="80">
        <f t="shared" si="21"/>
        <v>2.6843500471228375E-2</v>
      </c>
      <c r="U39" s="179">
        <f>+S39*1.025</f>
        <v>56249.769556998028</v>
      </c>
      <c r="V39" s="80">
        <f t="shared" si="22"/>
        <v>2.7242166319810975E-2</v>
      </c>
    </row>
    <row r="40" spans="1:22" ht="12.75" customHeight="1">
      <c r="A40" s="2" t="s">
        <v>375</v>
      </c>
      <c r="B40" s="35"/>
      <c r="C40" s="113"/>
      <c r="D40" s="80">
        <f t="shared" si="13"/>
        <v>0</v>
      </c>
      <c r="E40" s="113"/>
      <c r="F40" s="80">
        <f t="shared" si="14"/>
        <v>0</v>
      </c>
      <c r="G40" s="179">
        <f>G36*0.124</f>
        <v>13640</v>
      </c>
      <c r="H40" s="80">
        <f t="shared" si="15"/>
        <v>7.1525957000524382E-3</v>
      </c>
      <c r="I40" s="179">
        <f>I36*0.124</f>
        <v>13980.999999999998</v>
      </c>
      <c r="J40" s="80">
        <f t="shared" si="16"/>
        <v>7.1876574436801456E-3</v>
      </c>
      <c r="K40" s="179">
        <f>K36*0.124</f>
        <v>14330.524999999996</v>
      </c>
      <c r="L40" s="80">
        <f t="shared" si="17"/>
        <v>7.2944048314575729E-3</v>
      </c>
      <c r="M40" s="179">
        <f>M36*0.124</f>
        <v>14688.788124999994</v>
      </c>
      <c r="N40" s="80">
        <f t="shared" si="18"/>
        <v>7.402737576479218E-3</v>
      </c>
      <c r="O40" s="179">
        <f>O36*0.124</f>
        <v>15056.007828124993</v>
      </c>
      <c r="P40" s="80">
        <f t="shared" si="19"/>
        <v>7.5126792236546516E-3</v>
      </c>
      <c r="Q40" s="179">
        <f>Q36*0.124</f>
        <v>15432.408023828117</v>
      </c>
      <c r="R40" s="80">
        <f t="shared" si="20"/>
        <v>7.6242536675703142E-3</v>
      </c>
      <c r="S40" s="179">
        <f>S36*0.124</f>
        <v>15818.218224423819</v>
      </c>
      <c r="T40" s="80">
        <f t="shared" si="21"/>
        <v>7.7374851576827441E-3</v>
      </c>
      <c r="U40" s="179">
        <f>U36*0.124</f>
        <v>16213.673680034413</v>
      </c>
      <c r="V40" s="80">
        <f t="shared" si="22"/>
        <v>7.8523983035889231E-3</v>
      </c>
    </row>
    <row r="41" spans="1:22" ht="12.75" customHeight="1">
      <c r="A41" s="2" t="s">
        <v>376</v>
      </c>
      <c r="B41" s="35"/>
      <c r="C41" s="113"/>
      <c r="D41" s="80">
        <f t="shared" si="13"/>
        <v>0</v>
      </c>
      <c r="E41" s="113"/>
      <c r="F41" s="80">
        <f t="shared" si="14"/>
        <v>0</v>
      </c>
      <c r="G41" s="179">
        <f>G37*0.124</f>
        <v>31992</v>
      </c>
      <c r="H41" s="80">
        <f t="shared" si="15"/>
        <v>1.6776088096486629E-2</v>
      </c>
      <c r="I41" s="179">
        <f>I37*0.124</f>
        <v>33015.743999999999</v>
      </c>
      <c r="J41" s="80">
        <f t="shared" si="16"/>
        <v>1.6973453838798235E-2</v>
      </c>
      <c r="K41" s="179">
        <f>K37*0.124</f>
        <v>33841.137599999995</v>
      </c>
      <c r="L41" s="80">
        <f t="shared" si="17"/>
        <v>1.7225534836404148E-2</v>
      </c>
      <c r="M41" s="179">
        <f>M37*0.124</f>
        <v>34687.166039999996</v>
      </c>
      <c r="N41" s="80">
        <f t="shared" si="18"/>
        <v>1.748135961120223E-2</v>
      </c>
      <c r="O41" s="179">
        <f>O37*0.124</f>
        <v>35554.345190999993</v>
      </c>
      <c r="P41" s="80">
        <f t="shared" si="19"/>
        <v>1.7740983763843844E-2</v>
      </c>
      <c r="Q41" s="179">
        <f>Q37*0.124</f>
        <v>36443.203820774994</v>
      </c>
      <c r="R41" s="80">
        <f t="shared" si="20"/>
        <v>1.8004463720732614E-2</v>
      </c>
      <c r="S41" s="179">
        <f>S37*0.124</f>
        <v>37354.283916294364</v>
      </c>
      <c r="T41" s="80">
        <f t="shared" si="21"/>
        <v>1.8271856746288048E-2</v>
      </c>
      <c r="U41" s="179">
        <f>U37*0.124</f>
        <v>38288.141014201719</v>
      </c>
      <c r="V41" s="80">
        <f t="shared" si="22"/>
        <v>1.8543220955391331E-2</v>
      </c>
    </row>
    <row r="42" spans="1:22" ht="12.75" customHeight="1">
      <c r="A42" s="2" t="s">
        <v>377</v>
      </c>
      <c r="B42" s="35"/>
      <c r="C42" s="113"/>
      <c r="D42" s="80">
        <f t="shared" si="13"/>
        <v>0</v>
      </c>
      <c r="E42" s="179"/>
      <c r="F42" s="80">
        <f t="shared" si="14"/>
        <v>0</v>
      </c>
      <c r="G42" s="179"/>
      <c r="H42" s="80">
        <f t="shared" si="15"/>
        <v>0</v>
      </c>
      <c r="I42" s="179"/>
      <c r="J42" s="80">
        <f t="shared" si="16"/>
        <v>0</v>
      </c>
      <c r="K42" s="179"/>
      <c r="L42" s="80">
        <f t="shared" si="17"/>
        <v>0</v>
      </c>
      <c r="M42" s="179"/>
      <c r="N42" s="80">
        <f t="shared" si="18"/>
        <v>0</v>
      </c>
      <c r="O42" s="179"/>
      <c r="P42" s="80">
        <f t="shared" si="19"/>
        <v>0</v>
      </c>
      <c r="Q42" s="179"/>
      <c r="R42" s="80">
        <f t="shared" si="20"/>
        <v>0</v>
      </c>
      <c r="S42" s="179"/>
      <c r="T42" s="80">
        <f t="shared" si="21"/>
        <v>0</v>
      </c>
      <c r="U42" s="179"/>
      <c r="V42" s="80">
        <f t="shared" si="22"/>
        <v>0</v>
      </c>
    </row>
    <row r="43" spans="1:22" ht="12.75" customHeight="1">
      <c r="A43" s="2" t="s">
        <v>378</v>
      </c>
      <c r="B43" s="35"/>
      <c r="C43" s="113"/>
      <c r="D43" s="80">
        <f t="shared" si="13"/>
        <v>0</v>
      </c>
      <c r="E43" s="179"/>
      <c r="F43" s="80">
        <f t="shared" si="14"/>
        <v>0</v>
      </c>
      <c r="G43" s="179"/>
      <c r="H43" s="80">
        <f t="shared" si="15"/>
        <v>0</v>
      </c>
      <c r="I43" s="179"/>
      <c r="J43" s="80">
        <f t="shared" si="16"/>
        <v>0</v>
      </c>
      <c r="K43" s="179"/>
      <c r="L43" s="80">
        <f t="shared" si="17"/>
        <v>0</v>
      </c>
      <c r="M43" s="179"/>
      <c r="N43" s="80">
        <f t="shared" si="18"/>
        <v>0</v>
      </c>
      <c r="O43" s="179"/>
      <c r="P43" s="80">
        <f t="shared" si="19"/>
        <v>0</v>
      </c>
      <c r="Q43" s="179"/>
      <c r="R43" s="80">
        <f t="shared" si="20"/>
        <v>0</v>
      </c>
      <c r="S43" s="179"/>
      <c r="T43" s="80">
        <f t="shared" si="21"/>
        <v>0</v>
      </c>
      <c r="U43" s="179"/>
      <c r="V43" s="80">
        <f t="shared" si="22"/>
        <v>0</v>
      </c>
    </row>
    <row r="44" spans="1:22" ht="12.75" customHeight="1">
      <c r="A44" s="2" t="s">
        <v>379</v>
      </c>
      <c r="B44" s="35"/>
      <c r="C44" s="113"/>
      <c r="D44" s="80">
        <f t="shared" si="13"/>
        <v>0</v>
      </c>
      <c r="E44" s="179"/>
      <c r="F44" s="80">
        <f t="shared" si="14"/>
        <v>0</v>
      </c>
      <c r="G44" s="179"/>
      <c r="H44" s="80">
        <f t="shared" si="15"/>
        <v>0</v>
      </c>
      <c r="I44" s="179"/>
      <c r="J44" s="80">
        <f t="shared" si="16"/>
        <v>0</v>
      </c>
      <c r="K44" s="179"/>
      <c r="L44" s="80">
        <f t="shared" si="17"/>
        <v>0</v>
      </c>
      <c r="M44" s="179"/>
      <c r="N44" s="80">
        <f t="shared" si="18"/>
        <v>0</v>
      </c>
      <c r="O44" s="179"/>
      <c r="P44" s="80">
        <f t="shared" si="19"/>
        <v>0</v>
      </c>
      <c r="Q44" s="179"/>
      <c r="R44" s="80">
        <f t="shared" si="20"/>
        <v>0</v>
      </c>
      <c r="S44" s="179"/>
      <c r="T44" s="80">
        <f t="shared" si="21"/>
        <v>0</v>
      </c>
      <c r="U44" s="179"/>
      <c r="V44" s="80">
        <f t="shared" si="22"/>
        <v>0</v>
      </c>
    </row>
    <row r="45" spans="1:22" ht="12.75" customHeight="1">
      <c r="A45" s="2" t="s">
        <v>380</v>
      </c>
      <c r="B45" s="35"/>
      <c r="C45" s="114"/>
      <c r="D45" s="80">
        <f t="shared" si="13"/>
        <v>0</v>
      </c>
      <c r="E45" s="114"/>
      <c r="F45" s="80">
        <f t="shared" si="14"/>
        <v>0</v>
      </c>
      <c r="G45" s="182">
        <f>SUM(G36:G39)*0.094</f>
        <v>49350</v>
      </c>
      <c r="H45" s="80">
        <f t="shared" si="15"/>
        <v>2.5878342947037232E-2</v>
      </c>
      <c r="I45" s="182">
        <f>SUM(I36:I39)*0.094</f>
        <v>50856.82</v>
      </c>
      <c r="J45" s="80">
        <f t="shared" si="16"/>
        <v>2.6145583351326898E-2</v>
      </c>
      <c r="K45" s="182">
        <f>SUM(K36:K39)*0.094</f>
        <v>52128.240499999993</v>
      </c>
      <c r="L45" s="80">
        <f t="shared" si="17"/>
        <v>2.6533884094168382E-2</v>
      </c>
      <c r="M45" s="182">
        <f>SUM(M36:M39)*0.094</f>
        <v>53431.446512499984</v>
      </c>
      <c r="N45" s="80">
        <f t="shared" si="18"/>
        <v>2.6927951679725334E-2</v>
      </c>
      <c r="O45" s="182">
        <f>SUM(O36:O39)*0.094</f>
        <v>54767.23267531248</v>
      </c>
      <c r="P45" s="80">
        <f t="shared" si="19"/>
        <v>2.7327871754176697E-2</v>
      </c>
      <c r="Q45" s="182">
        <f>SUM(Q36:Q39)*0.094</f>
        <v>56136.413492195286</v>
      </c>
      <c r="R45" s="80">
        <f t="shared" si="20"/>
        <v>2.773373123567437E-2</v>
      </c>
      <c r="S45" s="182">
        <f>SUM(S36:S39)*0.094</f>
        <v>57539.823829500179</v>
      </c>
      <c r="T45" s="80">
        <f t="shared" si="21"/>
        <v>2.8145618333233893E-2</v>
      </c>
      <c r="U45" s="182">
        <f>SUM(U36:U39)*0.094</f>
        <v>58978.319425237671</v>
      </c>
      <c r="V45" s="80">
        <f t="shared" si="22"/>
        <v>2.8563622565905677E-2</v>
      </c>
    </row>
    <row r="46" spans="1:22" ht="12.75" customHeight="1">
      <c r="A46" s="1" t="s">
        <v>381</v>
      </c>
      <c r="B46" s="53"/>
      <c r="C46" s="82">
        <f>SUM(C36:C45)</f>
        <v>0</v>
      </c>
      <c r="D46" s="83">
        <f t="shared" si="13"/>
        <v>0</v>
      </c>
      <c r="E46" s="82">
        <f>SUM(E36:E45)</f>
        <v>0</v>
      </c>
      <c r="F46" s="83">
        <f t="shared" si="14"/>
        <v>0</v>
      </c>
      <c r="G46" s="82">
        <f>SUM(G36:G45)</f>
        <v>619982</v>
      </c>
      <c r="H46" s="83">
        <f t="shared" si="15"/>
        <v>0.32510854745673834</v>
      </c>
      <c r="I46" s="82">
        <f>SUM(I36:I45)</f>
        <v>638883.5639999999</v>
      </c>
      <c r="J46" s="83">
        <f t="shared" si="16"/>
        <v>0.32845119837132541</v>
      </c>
      <c r="K46" s="82">
        <f>SUM(K36:K45)</f>
        <v>654855.65309999988</v>
      </c>
      <c r="L46" s="83">
        <f t="shared" si="17"/>
        <v>0.33332918646594906</v>
      </c>
      <c r="M46" s="82">
        <f>SUM(M36:M45)</f>
        <v>671227.04442749976</v>
      </c>
      <c r="N46" s="83">
        <f t="shared" si="18"/>
        <v>0.33827961992831457</v>
      </c>
      <c r="O46" s="82">
        <f>SUM(O36:O45)</f>
        <v>688007.72053818731</v>
      </c>
      <c r="P46" s="83">
        <f t="shared" si="19"/>
        <v>0.34330357467972517</v>
      </c>
      <c r="Q46" s="82">
        <f>SUM(Q36:Q45)</f>
        <v>705207.91355164186</v>
      </c>
      <c r="R46" s="83">
        <f t="shared" si="20"/>
        <v>0.34840214262051311</v>
      </c>
      <c r="S46" s="82">
        <f>SUM(S36:S45)</f>
        <v>722838.11139043304</v>
      </c>
      <c r="T46" s="83">
        <f t="shared" si="21"/>
        <v>0.35357643186735249</v>
      </c>
      <c r="U46" s="82">
        <f>SUM(U36:U45)</f>
        <v>740909.06417519378</v>
      </c>
      <c r="V46" s="83">
        <f t="shared" si="22"/>
        <v>0.35882756699409529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3">IFERROR(C52/C$28,0)</f>
        <v>0</v>
      </c>
      <c r="E52" s="179">
        <v>0</v>
      </c>
      <c r="F52" s="80">
        <f t="shared" ref="F52:F104" si="24">IFERROR(E52/E$28,0)</f>
        <v>0</v>
      </c>
      <c r="G52" s="179">
        <v>0</v>
      </c>
      <c r="H52" s="80">
        <f t="shared" ref="H52:H104" si="25">IFERROR(G52/G$28,0)</f>
        <v>0</v>
      </c>
      <c r="I52" s="179">
        <v>0</v>
      </c>
      <c r="J52" s="80">
        <f t="shared" ref="J52:J104" si="26">IFERROR(I52/I$28,0)</f>
        <v>0</v>
      </c>
      <c r="K52" s="179">
        <v>0</v>
      </c>
      <c r="L52" s="80">
        <f t="shared" ref="L52:L104" si="27">IFERROR(K52/K$28,0)</f>
        <v>0</v>
      </c>
      <c r="M52" s="179">
        <v>0</v>
      </c>
      <c r="N52" s="80">
        <f t="shared" ref="N52:N104" si="28">IFERROR(M52/M$28,0)</f>
        <v>0</v>
      </c>
      <c r="O52" s="179">
        <v>0</v>
      </c>
      <c r="P52" s="80">
        <f t="shared" ref="P52:P104" si="29">IFERROR(O52/O$28,0)</f>
        <v>0</v>
      </c>
      <c r="Q52" s="179">
        <v>0</v>
      </c>
      <c r="R52" s="80">
        <f t="shared" ref="R52:R104" si="30">IFERROR(Q52/Q$28,0)</f>
        <v>0</v>
      </c>
      <c r="S52" s="179">
        <v>0</v>
      </c>
      <c r="T52" s="80">
        <f t="shared" ref="T52:T104" si="31">IFERROR(S52/S$28,0)</f>
        <v>0</v>
      </c>
      <c r="U52" s="179">
        <v>0</v>
      </c>
      <c r="V52" s="80">
        <f t="shared" ref="V52:V105" si="32">IFERROR(U52/U$28,0)</f>
        <v>0</v>
      </c>
      <c r="X52" s="200"/>
    </row>
    <row r="53" spans="1:24" ht="12.75" customHeight="1">
      <c r="A53" s="2" t="s">
        <v>384</v>
      </c>
      <c r="B53" s="35"/>
      <c r="C53" s="179">
        <v>0</v>
      </c>
      <c r="D53" s="80">
        <f t="shared" si="23"/>
        <v>0</v>
      </c>
      <c r="E53" s="179">
        <v>0</v>
      </c>
      <c r="F53" s="80">
        <f t="shared" si="24"/>
        <v>0</v>
      </c>
      <c r="G53" s="179">
        <v>0</v>
      </c>
      <c r="H53" s="80">
        <f t="shared" si="25"/>
        <v>0</v>
      </c>
      <c r="I53" s="179">
        <v>0</v>
      </c>
      <c r="J53" s="80">
        <f t="shared" si="26"/>
        <v>0</v>
      </c>
      <c r="K53" s="179">
        <v>0</v>
      </c>
      <c r="L53" s="80">
        <f t="shared" si="27"/>
        <v>0</v>
      </c>
      <c r="M53" s="179">
        <v>0</v>
      </c>
      <c r="N53" s="80">
        <f t="shared" si="28"/>
        <v>0</v>
      </c>
      <c r="O53" s="179">
        <v>0</v>
      </c>
      <c r="P53" s="80">
        <f t="shared" si="29"/>
        <v>0</v>
      </c>
      <c r="Q53" s="179">
        <v>0</v>
      </c>
      <c r="R53" s="80">
        <f t="shared" si="30"/>
        <v>0</v>
      </c>
      <c r="S53" s="179">
        <v>0</v>
      </c>
      <c r="T53" s="80">
        <f t="shared" si="31"/>
        <v>0</v>
      </c>
      <c r="U53" s="179">
        <v>0</v>
      </c>
      <c r="V53" s="80">
        <f t="shared" si="32"/>
        <v>0</v>
      </c>
      <c r="X53" s="200"/>
    </row>
    <row r="54" spans="1:24" ht="12.75" customHeight="1">
      <c r="A54" s="2" t="s">
        <v>385</v>
      </c>
      <c r="B54" s="35"/>
      <c r="C54" s="179">
        <v>0</v>
      </c>
      <c r="D54" s="80">
        <f t="shared" si="23"/>
        <v>0</v>
      </c>
      <c r="E54" s="179">
        <v>0</v>
      </c>
      <c r="F54" s="80">
        <f t="shared" si="24"/>
        <v>0</v>
      </c>
      <c r="G54" s="179">
        <v>1334.9</v>
      </c>
      <c r="H54" s="80">
        <f t="shared" si="25"/>
        <v>7.000000000000001E-4</v>
      </c>
      <c r="I54" s="179">
        <v>1361.598</v>
      </c>
      <c r="J54" s="80">
        <f t="shared" si="26"/>
        <v>6.9999999999999999E-4</v>
      </c>
      <c r="K54" s="179">
        <v>1375.21398</v>
      </c>
      <c r="L54" s="80">
        <f t="shared" si="27"/>
        <v>6.9999999999999999E-4</v>
      </c>
      <c r="M54" s="179">
        <v>1388.9661197999999</v>
      </c>
      <c r="N54" s="80">
        <f t="shared" si="28"/>
        <v>6.9999999999999999E-4</v>
      </c>
      <c r="O54" s="179">
        <v>1402.855780998</v>
      </c>
      <c r="P54" s="80">
        <f t="shared" si="29"/>
        <v>6.9999999999999999E-4</v>
      </c>
      <c r="Q54" s="179">
        <v>1416.8843388079799</v>
      </c>
      <c r="R54" s="80">
        <f t="shared" si="30"/>
        <v>6.9999999999999999E-4</v>
      </c>
      <c r="S54" s="179">
        <v>1431.0531821960599</v>
      </c>
      <c r="T54" s="80">
        <f t="shared" si="31"/>
        <v>6.9999999999999999E-4</v>
      </c>
      <c r="U54" s="179">
        <v>1445.3637140180206</v>
      </c>
      <c r="V54" s="80">
        <f t="shared" si="32"/>
        <v>6.9999999999999999E-4</v>
      </c>
      <c r="X54" s="200"/>
    </row>
    <row r="55" spans="1:24" ht="12.75" customHeight="1">
      <c r="A55" s="2" t="s">
        <v>386</v>
      </c>
      <c r="B55" s="35"/>
      <c r="C55" s="179">
        <v>0</v>
      </c>
      <c r="D55" s="80">
        <f t="shared" si="23"/>
        <v>0</v>
      </c>
      <c r="E55" s="179">
        <v>0</v>
      </c>
      <c r="F55" s="80">
        <f t="shared" si="24"/>
        <v>0</v>
      </c>
      <c r="G55" s="179"/>
      <c r="H55" s="80">
        <f t="shared" si="25"/>
        <v>0</v>
      </c>
      <c r="I55" s="179"/>
      <c r="J55" s="80">
        <f t="shared" si="26"/>
        <v>0</v>
      </c>
      <c r="K55" s="179"/>
      <c r="L55" s="80">
        <f t="shared" si="27"/>
        <v>0</v>
      </c>
      <c r="M55" s="179"/>
      <c r="N55" s="80">
        <f t="shared" si="28"/>
        <v>0</v>
      </c>
      <c r="O55" s="179"/>
      <c r="P55" s="80">
        <f t="shared" si="29"/>
        <v>0</v>
      </c>
      <c r="Q55" s="179"/>
      <c r="R55" s="80">
        <f t="shared" si="30"/>
        <v>0</v>
      </c>
      <c r="S55" s="179"/>
      <c r="T55" s="80">
        <f t="shared" si="31"/>
        <v>0</v>
      </c>
      <c r="U55" s="179"/>
      <c r="V55" s="80">
        <f t="shared" si="32"/>
        <v>0</v>
      </c>
      <c r="X55" s="200"/>
    </row>
    <row r="56" spans="1:24" ht="12.75" customHeight="1">
      <c r="A56" s="2" t="s">
        <v>387</v>
      </c>
      <c r="B56" s="35"/>
      <c r="C56" s="179">
        <v>0</v>
      </c>
      <c r="D56" s="80">
        <f t="shared" si="23"/>
        <v>0</v>
      </c>
      <c r="E56" s="179">
        <v>0</v>
      </c>
      <c r="F56" s="80">
        <f t="shared" si="24"/>
        <v>0</v>
      </c>
      <c r="G56" s="179">
        <v>972.57</v>
      </c>
      <c r="H56" s="80">
        <f t="shared" si="25"/>
        <v>5.1000000000000004E-4</v>
      </c>
      <c r="I56" s="179">
        <v>992.02140000000009</v>
      </c>
      <c r="J56" s="80">
        <f t="shared" si="26"/>
        <v>5.1000000000000004E-4</v>
      </c>
      <c r="K56" s="179">
        <v>1001.9416140000001</v>
      </c>
      <c r="L56" s="80">
        <f t="shared" si="27"/>
        <v>5.1000000000000004E-4</v>
      </c>
      <c r="M56" s="179">
        <v>1011.96103014</v>
      </c>
      <c r="N56" s="80">
        <f t="shared" si="28"/>
        <v>5.1000000000000004E-4</v>
      </c>
      <c r="O56" s="179">
        <v>1022.0806404414002</v>
      </c>
      <c r="P56" s="80">
        <f t="shared" si="29"/>
        <v>5.1000000000000004E-4</v>
      </c>
      <c r="Q56" s="179">
        <v>1032.3014468458141</v>
      </c>
      <c r="R56" s="80">
        <f t="shared" si="30"/>
        <v>5.1000000000000004E-4</v>
      </c>
      <c r="S56" s="179">
        <v>1042.6244613142724</v>
      </c>
      <c r="T56" s="80">
        <f t="shared" si="31"/>
        <v>5.1000000000000004E-4</v>
      </c>
      <c r="U56" s="179">
        <v>1053.050705927415</v>
      </c>
      <c r="V56" s="80">
        <f t="shared" si="32"/>
        <v>5.1000000000000004E-4</v>
      </c>
      <c r="X56" s="200"/>
    </row>
    <row r="57" spans="1:24" ht="12.75" customHeight="1">
      <c r="A57" s="2" t="s">
        <v>388</v>
      </c>
      <c r="B57" s="35"/>
      <c r="C57" s="179">
        <v>0</v>
      </c>
      <c r="D57" s="80">
        <f t="shared" si="23"/>
        <v>0</v>
      </c>
      <c r="E57" s="179">
        <v>0</v>
      </c>
      <c r="F57" s="80">
        <f t="shared" si="24"/>
        <v>0</v>
      </c>
      <c r="G57" s="179">
        <v>0</v>
      </c>
      <c r="H57" s="80">
        <f t="shared" si="25"/>
        <v>0</v>
      </c>
      <c r="I57" s="179">
        <v>0</v>
      </c>
      <c r="J57" s="80">
        <f t="shared" si="26"/>
        <v>0</v>
      </c>
      <c r="K57" s="179">
        <v>0</v>
      </c>
      <c r="L57" s="80">
        <f t="shared" si="27"/>
        <v>0</v>
      </c>
      <c r="M57" s="179">
        <v>0</v>
      </c>
      <c r="N57" s="80">
        <f t="shared" si="28"/>
        <v>0</v>
      </c>
      <c r="O57" s="179">
        <v>0</v>
      </c>
      <c r="P57" s="80">
        <f t="shared" si="29"/>
        <v>0</v>
      </c>
      <c r="Q57" s="179">
        <v>0</v>
      </c>
      <c r="R57" s="80">
        <f t="shared" si="30"/>
        <v>0</v>
      </c>
      <c r="S57" s="179">
        <v>0</v>
      </c>
      <c r="T57" s="80">
        <f t="shared" si="31"/>
        <v>0</v>
      </c>
      <c r="U57" s="179">
        <v>0</v>
      </c>
      <c r="V57" s="80">
        <f t="shared" si="32"/>
        <v>0</v>
      </c>
      <c r="X57" s="200"/>
    </row>
    <row r="58" spans="1:24" ht="12.75" customHeight="1">
      <c r="A58" s="2" t="s">
        <v>389</v>
      </c>
      <c r="B58" s="35"/>
      <c r="C58" s="179">
        <v>0</v>
      </c>
      <c r="D58" s="80">
        <f t="shared" si="23"/>
        <v>0</v>
      </c>
      <c r="E58" s="179">
        <v>0</v>
      </c>
      <c r="F58" s="80">
        <f t="shared" si="24"/>
        <v>0</v>
      </c>
      <c r="G58" s="179">
        <v>0</v>
      </c>
      <c r="H58" s="80">
        <f t="shared" si="25"/>
        <v>0</v>
      </c>
      <c r="I58" s="179">
        <v>0</v>
      </c>
      <c r="J58" s="80">
        <f t="shared" si="26"/>
        <v>0</v>
      </c>
      <c r="K58" s="179">
        <v>0</v>
      </c>
      <c r="L58" s="80">
        <f t="shared" si="27"/>
        <v>0</v>
      </c>
      <c r="M58" s="179">
        <v>0</v>
      </c>
      <c r="N58" s="80">
        <f t="shared" si="28"/>
        <v>0</v>
      </c>
      <c r="O58" s="179">
        <v>0</v>
      </c>
      <c r="P58" s="80">
        <f t="shared" si="29"/>
        <v>0</v>
      </c>
      <c r="Q58" s="179">
        <v>0</v>
      </c>
      <c r="R58" s="80">
        <f t="shared" si="30"/>
        <v>0</v>
      </c>
      <c r="S58" s="179">
        <v>0</v>
      </c>
      <c r="T58" s="80">
        <f t="shared" si="31"/>
        <v>0</v>
      </c>
      <c r="U58" s="179">
        <v>0</v>
      </c>
      <c r="V58" s="80">
        <f t="shared" si="32"/>
        <v>0</v>
      </c>
      <c r="X58" s="200"/>
    </row>
    <row r="59" spans="1:24" ht="12.75" customHeight="1">
      <c r="A59" s="2" t="s">
        <v>390</v>
      </c>
      <c r="B59" s="35"/>
      <c r="C59" s="179">
        <v>0</v>
      </c>
      <c r="D59" s="80">
        <f t="shared" si="23"/>
        <v>0</v>
      </c>
      <c r="E59" s="179">
        <v>0</v>
      </c>
      <c r="F59" s="80">
        <f t="shared" si="24"/>
        <v>0</v>
      </c>
      <c r="G59" s="179">
        <v>0</v>
      </c>
      <c r="H59" s="80">
        <f t="shared" si="25"/>
        <v>0</v>
      </c>
      <c r="I59" s="179">
        <v>0</v>
      </c>
      <c r="J59" s="80">
        <f t="shared" si="26"/>
        <v>0</v>
      </c>
      <c r="K59" s="179">
        <v>0</v>
      </c>
      <c r="L59" s="80">
        <f t="shared" si="27"/>
        <v>0</v>
      </c>
      <c r="M59" s="179">
        <v>0</v>
      </c>
      <c r="N59" s="80">
        <f t="shared" si="28"/>
        <v>0</v>
      </c>
      <c r="O59" s="179">
        <v>0</v>
      </c>
      <c r="P59" s="80">
        <f t="shared" si="29"/>
        <v>0</v>
      </c>
      <c r="Q59" s="179">
        <v>0</v>
      </c>
      <c r="R59" s="80">
        <f t="shared" si="30"/>
        <v>0</v>
      </c>
      <c r="S59" s="179">
        <v>0</v>
      </c>
      <c r="T59" s="80">
        <f t="shared" si="31"/>
        <v>0</v>
      </c>
      <c r="U59" s="179">
        <v>0</v>
      </c>
      <c r="V59" s="80">
        <f t="shared" si="32"/>
        <v>0</v>
      </c>
      <c r="X59" s="200"/>
    </row>
    <row r="60" spans="1:24" ht="12.75" customHeight="1">
      <c r="A60" s="2" t="s">
        <v>391</v>
      </c>
      <c r="B60" s="35"/>
      <c r="C60" s="179">
        <v>0</v>
      </c>
      <c r="D60" s="80">
        <f t="shared" si="23"/>
        <v>0</v>
      </c>
      <c r="E60" s="179">
        <v>0</v>
      </c>
      <c r="F60" s="80">
        <f t="shared" si="24"/>
        <v>0</v>
      </c>
      <c r="G60" s="179">
        <v>0</v>
      </c>
      <c r="H60" s="80">
        <f t="shared" si="25"/>
        <v>0</v>
      </c>
      <c r="I60" s="179">
        <v>0</v>
      </c>
      <c r="J60" s="80">
        <f t="shared" si="26"/>
        <v>0</v>
      </c>
      <c r="K60" s="179">
        <v>0</v>
      </c>
      <c r="L60" s="80">
        <f t="shared" si="27"/>
        <v>0</v>
      </c>
      <c r="M60" s="179">
        <v>0</v>
      </c>
      <c r="N60" s="80">
        <f t="shared" si="28"/>
        <v>0</v>
      </c>
      <c r="O60" s="179">
        <v>0</v>
      </c>
      <c r="P60" s="80">
        <f t="shared" si="29"/>
        <v>0</v>
      </c>
      <c r="Q60" s="179">
        <v>0</v>
      </c>
      <c r="R60" s="80">
        <f t="shared" si="30"/>
        <v>0</v>
      </c>
      <c r="S60" s="179">
        <v>0</v>
      </c>
      <c r="T60" s="80">
        <f t="shared" si="31"/>
        <v>0</v>
      </c>
      <c r="U60" s="179">
        <v>0</v>
      </c>
      <c r="V60" s="80">
        <f t="shared" si="32"/>
        <v>0</v>
      </c>
      <c r="X60" s="200"/>
    </row>
    <row r="61" spans="1:24" ht="12.75" customHeight="1">
      <c r="A61" s="2" t="s">
        <v>392</v>
      </c>
      <c r="B61" s="35"/>
      <c r="C61" s="179">
        <v>0</v>
      </c>
      <c r="D61" s="80">
        <f t="shared" si="23"/>
        <v>0</v>
      </c>
      <c r="E61" s="179">
        <v>0</v>
      </c>
      <c r="F61" s="80">
        <f t="shared" si="24"/>
        <v>0</v>
      </c>
      <c r="G61" s="179">
        <v>0</v>
      </c>
      <c r="H61" s="80">
        <f t="shared" si="25"/>
        <v>0</v>
      </c>
      <c r="I61" s="179">
        <v>0</v>
      </c>
      <c r="J61" s="80">
        <f t="shared" si="26"/>
        <v>0</v>
      </c>
      <c r="K61" s="179">
        <v>0</v>
      </c>
      <c r="L61" s="80">
        <f t="shared" si="27"/>
        <v>0</v>
      </c>
      <c r="M61" s="179">
        <v>0</v>
      </c>
      <c r="N61" s="80">
        <f t="shared" si="28"/>
        <v>0</v>
      </c>
      <c r="O61" s="179">
        <v>0</v>
      </c>
      <c r="P61" s="80">
        <f t="shared" si="29"/>
        <v>0</v>
      </c>
      <c r="Q61" s="179">
        <v>0</v>
      </c>
      <c r="R61" s="80">
        <f t="shared" si="30"/>
        <v>0</v>
      </c>
      <c r="S61" s="179">
        <v>0</v>
      </c>
      <c r="T61" s="80">
        <f t="shared" si="31"/>
        <v>0</v>
      </c>
      <c r="U61" s="179">
        <v>0</v>
      </c>
      <c r="V61" s="80">
        <f t="shared" si="32"/>
        <v>0</v>
      </c>
      <c r="X61" s="200"/>
    </row>
    <row r="62" spans="1:24" ht="12.75" customHeight="1">
      <c r="A62" s="2" t="s">
        <v>393</v>
      </c>
      <c r="B62" s="35"/>
      <c r="C62" s="179">
        <v>0</v>
      </c>
      <c r="D62" s="80">
        <f t="shared" si="23"/>
        <v>0</v>
      </c>
      <c r="E62" s="179">
        <v>0</v>
      </c>
      <c r="F62" s="80">
        <f t="shared" si="24"/>
        <v>0</v>
      </c>
      <c r="G62" s="179">
        <v>0</v>
      </c>
      <c r="H62" s="80">
        <f t="shared" si="25"/>
        <v>0</v>
      </c>
      <c r="I62" s="179">
        <v>0</v>
      </c>
      <c r="J62" s="80">
        <f t="shared" si="26"/>
        <v>0</v>
      </c>
      <c r="K62" s="179">
        <v>0</v>
      </c>
      <c r="L62" s="80">
        <f t="shared" si="27"/>
        <v>0</v>
      </c>
      <c r="M62" s="179">
        <v>0</v>
      </c>
      <c r="N62" s="80">
        <f t="shared" si="28"/>
        <v>0</v>
      </c>
      <c r="O62" s="179">
        <v>0</v>
      </c>
      <c r="P62" s="80">
        <f t="shared" si="29"/>
        <v>0</v>
      </c>
      <c r="Q62" s="179">
        <v>0</v>
      </c>
      <c r="R62" s="80">
        <f t="shared" si="30"/>
        <v>0</v>
      </c>
      <c r="S62" s="179">
        <v>0</v>
      </c>
      <c r="T62" s="80">
        <f t="shared" si="31"/>
        <v>0</v>
      </c>
      <c r="U62" s="179">
        <v>0</v>
      </c>
      <c r="V62" s="80">
        <f t="shared" si="32"/>
        <v>0</v>
      </c>
      <c r="X62" s="200"/>
    </row>
    <row r="63" spans="1:24" ht="12.75" customHeight="1">
      <c r="A63" s="2" t="s">
        <v>394</v>
      </c>
      <c r="B63" s="35"/>
      <c r="C63" s="179">
        <v>0</v>
      </c>
      <c r="D63" s="80">
        <f t="shared" si="23"/>
        <v>0</v>
      </c>
      <c r="E63" s="179">
        <v>0</v>
      </c>
      <c r="F63" s="80">
        <f t="shared" si="24"/>
        <v>0</v>
      </c>
      <c r="G63" s="179">
        <v>16977.154117315575</v>
      </c>
      <c r="H63" s="80">
        <f t="shared" si="25"/>
        <v>8.9025454207213289E-3</v>
      </c>
      <c r="I63" s="179">
        <v>17165.199444279486</v>
      </c>
      <c r="J63" s="80">
        <f t="shared" si="26"/>
        <v>8.8246601500557732E-3</v>
      </c>
      <c r="K63" s="179">
        <v>17137.194968716649</v>
      </c>
      <c r="L63" s="80">
        <f t="shared" si="27"/>
        <v>8.723032671687685E-3</v>
      </c>
      <c r="M63" s="179">
        <v>17272.184326293675</v>
      </c>
      <c r="N63" s="80">
        <f t="shared" si="28"/>
        <v>8.7046968648497435E-3</v>
      </c>
      <c r="O63" s="179">
        <v>17409.199102920469</v>
      </c>
      <c r="P63" s="80">
        <f t="shared" si="29"/>
        <v>8.6868796758101698E-3</v>
      </c>
      <c r="Q63" s="179">
        <v>17547.651264234504</v>
      </c>
      <c r="R63" s="80">
        <f t="shared" si="30"/>
        <v>8.6692721124281037E-3</v>
      </c>
      <c r="S63" s="179">
        <v>17686.978186017775</v>
      </c>
      <c r="T63" s="80">
        <f t="shared" si="31"/>
        <v>8.6515895315735468E-3</v>
      </c>
      <c r="U63" s="179">
        <v>18509.23217084823</v>
      </c>
      <c r="V63" s="80">
        <f t="shared" si="32"/>
        <v>8.9641537240308933E-3</v>
      </c>
      <c r="X63" s="200"/>
    </row>
    <row r="64" spans="1:24" ht="12.75" customHeight="1">
      <c r="A64" s="2" t="s">
        <v>395</v>
      </c>
      <c r="B64" s="35"/>
      <c r="C64" s="179">
        <v>0</v>
      </c>
      <c r="D64" s="80">
        <f t="shared" si="23"/>
        <v>0</v>
      </c>
      <c r="E64" s="179">
        <v>0</v>
      </c>
      <c r="F64" s="80">
        <f t="shared" si="24"/>
        <v>0</v>
      </c>
      <c r="G64" s="179">
        <v>9153.5999999999985</v>
      </c>
      <c r="H64" s="80">
        <f t="shared" si="25"/>
        <v>4.7999999999999996E-3</v>
      </c>
      <c r="I64" s="179">
        <v>9336.6719999999987</v>
      </c>
      <c r="J64" s="80">
        <f t="shared" si="26"/>
        <v>4.7999999999999996E-3</v>
      </c>
      <c r="K64" s="179">
        <v>9430.0387199999986</v>
      </c>
      <c r="L64" s="80">
        <f t="shared" si="27"/>
        <v>4.7999999999999996E-3</v>
      </c>
      <c r="M64" s="179">
        <v>9524.3391071999995</v>
      </c>
      <c r="N64" s="80">
        <f t="shared" si="28"/>
        <v>4.7999999999999996E-3</v>
      </c>
      <c r="O64" s="179">
        <v>9619.5824982720005</v>
      </c>
      <c r="P64" s="80">
        <f t="shared" si="29"/>
        <v>4.8000000000000004E-3</v>
      </c>
      <c r="Q64" s="179">
        <v>9715.778323254719</v>
      </c>
      <c r="R64" s="80">
        <f t="shared" si="30"/>
        <v>4.7999999999999996E-3</v>
      </c>
      <c r="S64" s="179">
        <v>9812.9361064872683</v>
      </c>
      <c r="T64" s="80">
        <f t="shared" si="31"/>
        <v>4.8000000000000004E-3</v>
      </c>
      <c r="U64" s="179">
        <v>9911.06546755214</v>
      </c>
      <c r="V64" s="80">
        <f t="shared" si="32"/>
        <v>4.7999999999999996E-3</v>
      </c>
      <c r="X64" s="200"/>
    </row>
    <row r="65" spans="1:24" ht="12.75" customHeight="1">
      <c r="A65" s="2" t="s">
        <v>396</v>
      </c>
      <c r="B65" s="35"/>
      <c r="C65" s="179">
        <v>0</v>
      </c>
      <c r="D65" s="80">
        <f t="shared" si="23"/>
        <v>0</v>
      </c>
      <c r="E65" s="179">
        <v>0</v>
      </c>
      <c r="F65" s="80">
        <f t="shared" si="24"/>
        <v>0</v>
      </c>
      <c r="G65" s="179">
        <v>953.50000000000011</v>
      </c>
      <c r="H65" s="80">
        <f t="shared" si="25"/>
        <v>5.0000000000000001E-4</v>
      </c>
      <c r="I65" s="179">
        <v>972.57</v>
      </c>
      <c r="J65" s="80">
        <f t="shared" si="26"/>
        <v>5.0000000000000001E-4</v>
      </c>
      <c r="K65" s="179">
        <v>982.29570000000012</v>
      </c>
      <c r="L65" s="80">
        <f t="shared" si="27"/>
        <v>5.0000000000000012E-4</v>
      </c>
      <c r="M65" s="179">
        <v>992.11865699999998</v>
      </c>
      <c r="N65" s="80">
        <f t="shared" si="28"/>
        <v>5.0000000000000001E-4</v>
      </c>
      <c r="O65" s="179">
        <v>1002.0398435700001</v>
      </c>
      <c r="P65" s="80">
        <f t="shared" si="29"/>
        <v>5.0000000000000001E-4</v>
      </c>
      <c r="Q65" s="179">
        <v>1012.0602420057</v>
      </c>
      <c r="R65" s="80">
        <f t="shared" si="30"/>
        <v>5.0000000000000001E-4</v>
      </c>
      <c r="S65" s="179">
        <v>1022.1808444257571</v>
      </c>
      <c r="T65" s="80">
        <f t="shared" si="31"/>
        <v>5.0000000000000001E-4</v>
      </c>
      <c r="U65" s="179">
        <v>1032.4026528700147</v>
      </c>
      <c r="V65" s="80">
        <f t="shared" si="32"/>
        <v>5.0000000000000001E-4</v>
      </c>
      <c r="X65" s="200"/>
    </row>
    <row r="66" spans="1:24" ht="12.75" customHeight="1">
      <c r="A66" s="2" t="s">
        <v>397</v>
      </c>
      <c r="B66" s="35"/>
      <c r="C66" s="179">
        <v>0</v>
      </c>
      <c r="D66" s="80">
        <f t="shared" si="23"/>
        <v>0</v>
      </c>
      <c r="E66" s="179">
        <v>0</v>
      </c>
      <c r="F66" s="80">
        <f t="shared" si="24"/>
        <v>0</v>
      </c>
      <c r="G66" s="179">
        <v>5339.6</v>
      </c>
      <c r="H66" s="80">
        <f t="shared" si="25"/>
        <v>2.8000000000000004E-3</v>
      </c>
      <c r="I66" s="179">
        <v>5446.3919999999998</v>
      </c>
      <c r="J66" s="80">
        <f t="shared" si="26"/>
        <v>2.8E-3</v>
      </c>
      <c r="K66" s="179">
        <v>5500.85592</v>
      </c>
      <c r="L66" s="80">
        <f t="shared" si="27"/>
        <v>2.8E-3</v>
      </c>
      <c r="M66" s="179">
        <v>5555.8644791999996</v>
      </c>
      <c r="N66" s="80">
        <f t="shared" si="28"/>
        <v>2.8E-3</v>
      </c>
      <c r="O66" s="179">
        <v>5611.423123992</v>
      </c>
      <c r="P66" s="80">
        <f t="shared" si="29"/>
        <v>2.8E-3</v>
      </c>
      <c r="Q66" s="179">
        <v>5667.5373552319197</v>
      </c>
      <c r="R66" s="80">
        <f t="shared" si="30"/>
        <v>2.8E-3</v>
      </c>
      <c r="S66" s="179">
        <v>5724.2127287842395</v>
      </c>
      <c r="T66" s="80">
        <f t="shared" si="31"/>
        <v>2.8E-3</v>
      </c>
      <c r="U66" s="179">
        <v>5781.4548560720823</v>
      </c>
      <c r="V66" s="80">
        <f t="shared" si="32"/>
        <v>2.8E-3</v>
      </c>
      <c r="X66" s="200"/>
    </row>
    <row r="67" spans="1:24" ht="12.75" customHeight="1">
      <c r="A67" s="2" t="s">
        <v>398</v>
      </c>
      <c r="B67" s="35"/>
      <c r="C67" s="179">
        <v>0</v>
      </c>
      <c r="D67" s="80">
        <f t="shared" si="23"/>
        <v>0</v>
      </c>
      <c r="E67" s="179">
        <v>0</v>
      </c>
      <c r="F67" s="80">
        <f t="shared" si="24"/>
        <v>0</v>
      </c>
      <c r="G67" s="179">
        <v>28605</v>
      </c>
      <c r="H67" s="80">
        <f t="shared" si="25"/>
        <v>1.4999999999999999E-2</v>
      </c>
      <c r="I67" s="179">
        <v>29177.1</v>
      </c>
      <c r="J67" s="80">
        <f t="shared" si="26"/>
        <v>1.4999999999999999E-2</v>
      </c>
      <c r="K67" s="179">
        <v>29468.870999999999</v>
      </c>
      <c r="L67" s="80">
        <f t="shared" si="27"/>
        <v>1.4999999999999999E-2</v>
      </c>
      <c r="M67" s="179">
        <v>29763.559709999998</v>
      </c>
      <c r="N67" s="80">
        <f t="shared" si="28"/>
        <v>1.4999999999999999E-2</v>
      </c>
      <c r="O67" s="179">
        <v>30061.195307100003</v>
      </c>
      <c r="P67" s="80">
        <f t="shared" si="29"/>
        <v>1.5000000000000001E-2</v>
      </c>
      <c r="Q67" s="179">
        <v>30361.807260171001</v>
      </c>
      <c r="R67" s="80">
        <f t="shared" si="30"/>
        <v>1.4999999999999999E-2</v>
      </c>
      <c r="S67" s="179">
        <v>30665.425332772713</v>
      </c>
      <c r="T67" s="80">
        <f t="shared" si="31"/>
        <v>1.5000000000000001E-2</v>
      </c>
      <c r="U67" s="179">
        <v>30972.079586100441</v>
      </c>
      <c r="V67" s="80">
        <f t="shared" si="32"/>
        <v>1.5000000000000001E-2</v>
      </c>
      <c r="X67" s="200"/>
    </row>
    <row r="68" spans="1:24" ht="12.75" customHeight="1">
      <c r="A68" s="2" t="s">
        <v>399</v>
      </c>
      <c r="B68" s="35"/>
      <c r="C68" s="179">
        <v>0</v>
      </c>
      <c r="D68" s="80">
        <f t="shared" si="23"/>
        <v>0</v>
      </c>
      <c r="E68" s="179">
        <v>0</v>
      </c>
      <c r="F68" s="80">
        <f t="shared" si="24"/>
        <v>0</v>
      </c>
      <c r="G68" s="179">
        <v>3241.9</v>
      </c>
      <c r="H68" s="80">
        <f t="shared" si="25"/>
        <v>1.7000000000000001E-3</v>
      </c>
      <c r="I68" s="179">
        <v>3306.7379999999998</v>
      </c>
      <c r="J68" s="80">
        <f t="shared" si="26"/>
        <v>1.6999999999999999E-3</v>
      </c>
      <c r="K68" s="179">
        <v>3339.8053799999998</v>
      </c>
      <c r="L68" s="80">
        <f t="shared" si="27"/>
        <v>1.6999999999999999E-3</v>
      </c>
      <c r="M68" s="179">
        <v>3373.2034337999999</v>
      </c>
      <c r="N68" s="80">
        <f t="shared" si="28"/>
        <v>1.6999999999999999E-3</v>
      </c>
      <c r="O68" s="179">
        <v>3406.9354681380005</v>
      </c>
      <c r="P68" s="80">
        <f t="shared" si="29"/>
        <v>1.7000000000000001E-3</v>
      </c>
      <c r="Q68" s="179">
        <v>3441.00482281938</v>
      </c>
      <c r="R68" s="80">
        <f t="shared" si="30"/>
        <v>1.6999999999999999E-3</v>
      </c>
      <c r="S68" s="179">
        <v>3475.4148710475738</v>
      </c>
      <c r="T68" s="80">
        <f t="shared" si="31"/>
        <v>1.6999999999999999E-3</v>
      </c>
      <c r="U68" s="179">
        <v>3510.1690197580497</v>
      </c>
      <c r="V68" s="80">
        <f t="shared" si="32"/>
        <v>1.6999999999999999E-3</v>
      </c>
      <c r="X68" s="200"/>
    </row>
    <row r="69" spans="1:24" ht="12.75" customHeight="1">
      <c r="A69" s="2" t="s">
        <v>400</v>
      </c>
      <c r="B69" s="35"/>
      <c r="C69" s="179">
        <v>0</v>
      </c>
      <c r="D69" s="80">
        <f t="shared" si="23"/>
        <v>0</v>
      </c>
      <c r="E69" s="179">
        <v>0</v>
      </c>
      <c r="F69" s="80">
        <f t="shared" si="24"/>
        <v>0</v>
      </c>
      <c r="G69" s="179">
        <v>0</v>
      </c>
      <c r="H69" s="80">
        <f t="shared" si="25"/>
        <v>0</v>
      </c>
      <c r="I69" s="179">
        <v>0</v>
      </c>
      <c r="J69" s="80">
        <f t="shared" si="26"/>
        <v>0</v>
      </c>
      <c r="K69" s="179">
        <v>0</v>
      </c>
      <c r="L69" s="80">
        <f t="shared" si="27"/>
        <v>0</v>
      </c>
      <c r="M69" s="179">
        <v>0</v>
      </c>
      <c r="N69" s="80">
        <f t="shared" si="28"/>
        <v>0</v>
      </c>
      <c r="O69" s="179">
        <v>0</v>
      </c>
      <c r="P69" s="80">
        <f t="shared" si="29"/>
        <v>0</v>
      </c>
      <c r="Q69" s="179">
        <v>0</v>
      </c>
      <c r="R69" s="80">
        <f t="shared" si="30"/>
        <v>0</v>
      </c>
      <c r="S69" s="179">
        <v>0</v>
      </c>
      <c r="T69" s="80">
        <f t="shared" si="31"/>
        <v>0</v>
      </c>
      <c r="U69" s="179">
        <v>0</v>
      </c>
      <c r="V69" s="80">
        <f t="shared" si="32"/>
        <v>0</v>
      </c>
      <c r="X69" s="200"/>
    </row>
    <row r="70" spans="1:24" ht="12.75" customHeight="1">
      <c r="A70" s="2" t="s">
        <v>401</v>
      </c>
      <c r="B70" s="35"/>
      <c r="C70" s="179">
        <v>0</v>
      </c>
      <c r="D70" s="80">
        <f t="shared" si="23"/>
        <v>0</v>
      </c>
      <c r="E70" s="179">
        <v>0</v>
      </c>
      <c r="F70" s="80">
        <f t="shared" si="24"/>
        <v>0</v>
      </c>
      <c r="G70" s="179">
        <v>190.70000000000002</v>
      </c>
      <c r="H70" s="80">
        <f t="shared" si="25"/>
        <v>1E-4</v>
      </c>
      <c r="I70" s="179">
        <v>194.51400000000001</v>
      </c>
      <c r="J70" s="80">
        <f t="shared" si="26"/>
        <v>1E-4</v>
      </c>
      <c r="K70" s="179">
        <v>196.45914000000002</v>
      </c>
      <c r="L70" s="80">
        <f t="shared" si="27"/>
        <v>1.0000000000000002E-4</v>
      </c>
      <c r="M70" s="179">
        <v>198.42373140000001</v>
      </c>
      <c r="N70" s="80">
        <f t="shared" si="28"/>
        <v>1E-4</v>
      </c>
      <c r="O70" s="179">
        <v>200.40796871400005</v>
      </c>
      <c r="P70" s="80">
        <f t="shared" si="29"/>
        <v>1.0000000000000002E-4</v>
      </c>
      <c r="Q70" s="179">
        <v>202.41204840114</v>
      </c>
      <c r="R70" s="80">
        <f t="shared" si="30"/>
        <v>9.9999999999999991E-5</v>
      </c>
      <c r="S70" s="179">
        <v>204.43616888515143</v>
      </c>
      <c r="T70" s="80">
        <f t="shared" si="31"/>
        <v>1E-4</v>
      </c>
      <c r="U70" s="179">
        <v>206.48053057400296</v>
      </c>
      <c r="V70" s="80">
        <f t="shared" si="32"/>
        <v>1E-4</v>
      </c>
      <c r="X70" s="200"/>
    </row>
    <row r="71" spans="1:24" ht="12.75" customHeight="1">
      <c r="A71" s="2" t="s">
        <v>402</v>
      </c>
      <c r="B71" s="35"/>
      <c r="C71" s="179">
        <v>0</v>
      </c>
      <c r="D71" s="80">
        <f t="shared" si="23"/>
        <v>0</v>
      </c>
      <c r="E71" s="179">
        <v>0</v>
      </c>
      <c r="F71" s="80">
        <f t="shared" si="24"/>
        <v>0</v>
      </c>
      <c r="G71" s="179">
        <v>0</v>
      </c>
      <c r="H71" s="80">
        <f t="shared" si="25"/>
        <v>0</v>
      </c>
      <c r="I71" s="179">
        <v>0</v>
      </c>
      <c r="J71" s="80">
        <f t="shared" si="26"/>
        <v>0</v>
      </c>
      <c r="K71" s="179">
        <v>0</v>
      </c>
      <c r="L71" s="80">
        <f t="shared" si="27"/>
        <v>0</v>
      </c>
      <c r="M71" s="179">
        <v>0</v>
      </c>
      <c r="N71" s="80">
        <f t="shared" si="28"/>
        <v>0</v>
      </c>
      <c r="O71" s="179">
        <v>0</v>
      </c>
      <c r="P71" s="80">
        <f t="shared" si="29"/>
        <v>0</v>
      </c>
      <c r="Q71" s="179">
        <v>0</v>
      </c>
      <c r="R71" s="80">
        <f t="shared" si="30"/>
        <v>0</v>
      </c>
      <c r="S71" s="179">
        <v>0</v>
      </c>
      <c r="T71" s="80">
        <f t="shared" si="31"/>
        <v>0</v>
      </c>
      <c r="U71" s="179">
        <v>0</v>
      </c>
      <c r="V71" s="80">
        <f t="shared" si="32"/>
        <v>0</v>
      </c>
      <c r="X71" s="200"/>
    </row>
    <row r="72" spans="1:24" ht="12.75" customHeight="1">
      <c r="A72" s="2" t="s">
        <v>403</v>
      </c>
      <c r="B72" s="35"/>
      <c r="C72" s="179">
        <v>0</v>
      </c>
      <c r="D72" s="80">
        <f t="shared" si="23"/>
        <v>0</v>
      </c>
      <c r="E72" s="179">
        <v>0</v>
      </c>
      <c r="F72" s="80">
        <f t="shared" si="24"/>
        <v>0</v>
      </c>
      <c r="G72" s="179">
        <v>0</v>
      </c>
      <c r="H72" s="80">
        <f t="shared" si="25"/>
        <v>0</v>
      </c>
      <c r="I72" s="179">
        <v>0</v>
      </c>
      <c r="J72" s="80">
        <f t="shared" si="26"/>
        <v>0</v>
      </c>
      <c r="K72" s="179">
        <v>0</v>
      </c>
      <c r="L72" s="80">
        <f t="shared" si="27"/>
        <v>0</v>
      </c>
      <c r="M72" s="179">
        <v>0</v>
      </c>
      <c r="N72" s="80">
        <f t="shared" si="28"/>
        <v>0</v>
      </c>
      <c r="O72" s="179">
        <v>0</v>
      </c>
      <c r="P72" s="80">
        <f t="shared" si="29"/>
        <v>0</v>
      </c>
      <c r="Q72" s="179">
        <v>0</v>
      </c>
      <c r="R72" s="80">
        <f t="shared" si="30"/>
        <v>0</v>
      </c>
      <c r="S72" s="179">
        <v>0</v>
      </c>
      <c r="T72" s="80">
        <f t="shared" si="31"/>
        <v>0</v>
      </c>
      <c r="U72" s="179">
        <v>0</v>
      </c>
      <c r="V72" s="80">
        <f t="shared" si="32"/>
        <v>0</v>
      </c>
      <c r="X72" s="200"/>
    </row>
    <row r="73" spans="1:24" ht="12.75" customHeight="1">
      <c r="A73" s="2" t="s">
        <v>404</v>
      </c>
      <c r="B73" s="35"/>
      <c r="C73" s="179">
        <v>0</v>
      </c>
      <c r="D73" s="80">
        <f t="shared" si="23"/>
        <v>0</v>
      </c>
      <c r="E73" s="179">
        <v>0</v>
      </c>
      <c r="F73" s="80">
        <f t="shared" si="24"/>
        <v>0</v>
      </c>
      <c r="G73" s="179">
        <v>0</v>
      </c>
      <c r="H73" s="80">
        <f t="shared" si="25"/>
        <v>0</v>
      </c>
      <c r="I73" s="179">
        <v>0</v>
      </c>
      <c r="J73" s="80">
        <f t="shared" si="26"/>
        <v>0</v>
      </c>
      <c r="K73" s="179">
        <v>0</v>
      </c>
      <c r="L73" s="80">
        <f t="shared" si="27"/>
        <v>0</v>
      </c>
      <c r="M73" s="179">
        <v>0</v>
      </c>
      <c r="N73" s="80">
        <f t="shared" si="28"/>
        <v>0</v>
      </c>
      <c r="O73" s="179">
        <v>0</v>
      </c>
      <c r="P73" s="80">
        <f t="shared" si="29"/>
        <v>0</v>
      </c>
      <c r="Q73" s="179">
        <v>0</v>
      </c>
      <c r="R73" s="80">
        <f t="shared" si="30"/>
        <v>0</v>
      </c>
      <c r="S73" s="179">
        <v>0</v>
      </c>
      <c r="T73" s="80">
        <f t="shared" si="31"/>
        <v>0</v>
      </c>
      <c r="U73" s="179">
        <v>0</v>
      </c>
      <c r="V73" s="80">
        <f t="shared" si="32"/>
        <v>0</v>
      </c>
      <c r="X73" s="200"/>
    </row>
    <row r="74" spans="1:24" ht="12.75" customHeight="1">
      <c r="A74" s="2" t="s">
        <v>405</v>
      </c>
      <c r="B74" s="35"/>
      <c r="C74" s="179">
        <v>0</v>
      </c>
      <c r="D74" s="80">
        <f t="shared" si="23"/>
        <v>0</v>
      </c>
      <c r="E74" s="179">
        <v>0</v>
      </c>
      <c r="F74" s="80">
        <f t="shared" si="24"/>
        <v>0</v>
      </c>
      <c r="G74" s="179">
        <v>0</v>
      </c>
      <c r="H74" s="80">
        <f t="shared" si="25"/>
        <v>0</v>
      </c>
      <c r="I74" s="179">
        <v>0</v>
      </c>
      <c r="J74" s="80">
        <f t="shared" si="26"/>
        <v>0</v>
      </c>
      <c r="K74" s="179">
        <v>0</v>
      </c>
      <c r="L74" s="80">
        <f t="shared" si="27"/>
        <v>0</v>
      </c>
      <c r="M74" s="179">
        <v>0</v>
      </c>
      <c r="N74" s="80">
        <f t="shared" si="28"/>
        <v>0</v>
      </c>
      <c r="O74" s="179">
        <v>0</v>
      </c>
      <c r="P74" s="80">
        <f t="shared" si="29"/>
        <v>0</v>
      </c>
      <c r="Q74" s="179">
        <v>0</v>
      </c>
      <c r="R74" s="80">
        <f t="shared" si="30"/>
        <v>0</v>
      </c>
      <c r="S74" s="179">
        <v>0</v>
      </c>
      <c r="T74" s="80">
        <f t="shared" si="31"/>
        <v>0</v>
      </c>
      <c r="U74" s="179">
        <v>0</v>
      </c>
      <c r="V74" s="80">
        <f t="shared" si="32"/>
        <v>0</v>
      </c>
      <c r="X74" s="200"/>
    </row>
    <row r="75" spans="1:24" ht="12.75" customHeight="1">
      <c r="A75" s="2" t="s">
        <v>406</v>
      </c>
      <c r="B75" s="35"/>
      <c r="C75" s="179">
        <v>0</v>
      </c>
      <c r="D75" s="80">
        <f t="shared" si="23"/>
        <v>0</v>
      </c>
      <c r="E75" s="179">
        <v>0</v>
      </c>
      <c r="F75" s="80">
        <f t="shared" si="24"/>
        <v>0</v>
      </c>
      <c r="G75" s="179">
        <v>9535</v>
      </c>
      <c r="H75" s="80">
        <f t="shared" si="25"/>
        <v>5.0000000000000001E-3</v>
      </c>
      <c r="I75" s="179">
        <v>9725.7000000000007</v>
      </c>
      <c r="J75" s="80">
        <f t="shared" si="26"/>
        <v>5.0000000000000001E-3</v>
      </c>
      <c r="K75" s="179">
        <v>9822.9570000000003</v>
      </c>
      <c r="L75" s="80">
        <f t="shared" si="27"/>
        <v>5.0000000000000001E-3</v>
      </c>
      <c r="M75" s="179">
        <v>9921.1865699999998</v>
      </c>
      <c r="N75" s="80">
        <f t="shared" si="28"/>
        <v>5.0000000000000001E-3</v>
      </c>
      <c r="O75" s="179">
        <v>10020.398435700003</v>
      </c>
      <c r="P75" s="80">
        <f t="shared" si="29"/>
        <v>5.000000000000001E-3</v>
      </c>
      <c r="Q75" s="179">
        <v>10120.602420056999</v>
      </c>
      <c r="R75" s="80">
        <f t="shared" si="30"/>
        <v>4.9999999999999992E-3</v>
      </c>
      <c r="S75" s="179">
        <v>10221.808444257571</v>
      </c>
      <c r="T75" s="80">
        <f t="shared" si="31"/>
        <v>5.0000000000000001E-3</v>
      </c>
      <c r="U75" s="179">
        <v>10324.026528700146</v>
      </c>
      <c r="V75" s="80">
        <f t="shared" si="32"/>
        <v>4.9999999999999992E-3</v>
      </c>
      <c r="X75" s="200"/>
    </row>
    <row r="76" spans="1:24" ht="12.75" customHeight="1">
      <c r="A76" s="2" t="s">
        <v>407</v>
      </c>
      <c r="B76" s="35"/>
      <c r="C76" s="179">
        <v>0</v>
      </c>
      <c r="D76" s="80">
        <f t="shared" si="23"/>
        <v>0</v>
      </c>
      <c r="E76" s="179">
        <v>0</v>
      </c>
      <c r="F76" s="80">
        <f t="shared" si="24"/>
        <v>0</v>
      </c>
      <c r="G76" s="179">
        <v>762.80000000000007</v>
      </c>
      <c r="H76" s="80">
        <f t="shared" si="25"/>
        <v>4.0000000000000002E-4</v>
      </c>
      <c r="I76" s="179">
        <v>778.05600000000004</v>
      </c>
      <c r="J76" s="80">
        <f t="shared" si="26"/>
        <v>4.0000000000000002E-4</v>
      </c>
      <c r="K76" s="179">
        <v>785.83656000000008</v>
      </c>
      <c r="L76" s="80">
        <f t="shared" si="27"/>
        <v>4.0000000000000007E-4</v>
      </c>
      <c r="M76" s="179">
        <v>793.69492560000003</v>
      </c>
      <c r="N76" s="80">
        <f t="shared" si="28"/>
        <v>4.0000000000000002E-4</v>
      </c>
      <c r="O76" s="179">
        <v>801.63187485600019</v>
      </c>
      <c r="P76" s="80">
        <f t="shared" si="29"/>
        <v>4.0000000000000007E-4</v>
      </c>
      <c r="Q76" s="179">
        <v>809.64819360455999</v>
      </c>
      <c r="R76" s="80">
        <f t="shared" si="30"/>
        <v>3.9999999999999996E-4</v>
      </c>
      <c r="S76" s="179">
        <v>817.74467554060573</v>
      </c>
      <c r="T76" s="80">
        <f t="shared" si="31"/>
        <v>4.0000000000000002E-4</v>
      </c>
      <c r="U76" s="179">
        <v>825.92212229601182</v>
      </c>
      <c r="V76" s="80">
        <f t="shared" si="32"/>
        <v>4.0000000000000002E-4</v>
      </c>
      <c r="X76" s="200"/>
    </row>
    <row r="77" spans="1:24" ht="12.75" customHeight="1">
      <c r="A77" s="2" t="s">
        <v>408</v>
      </c>
      <c r="B77" s="35"/>
      <c r="C77" s="179">
        <v>0</v>
      </c>
      <c r="D77" s="80">
        <f t="shared" si="23"/>
        <v>0</v>
      </c>
      <c r="E77" s="179">
        <v>0</v>
      </c>
      <c r="F77" s="80">
        <f t="shared" si="24"/>
        <v>0</v>
      </c>
      <c r="G77" s="179">
        <v>2479.1</v>
      </c>
      <c r="H77" s="80">
        <f t="shared" si="25"/>
        <v>1.2999999999999999E-3</v>
      </c>
      <c r="I77" s="179">
        <v>2528.6819999999998</v>
      </c>
      <c r="J77" s="80">
        <f t="shared" si="26"/>
        <v>1.2999999999999999E-3</v>
      </c>
      <c r="K77" s="179">
        <v>2553.9688199999996</v>
      </c>
      <c r="L77" s="80">
        <f t="shared" si="27"/>
        <v>1.2999999999999999E-3</v>
      </c>
      <c r="M77" s="179">
        <v>2579.5085082000001</v>
      </c>
      <c r="N77" s="80">
        <f t="shared" si="28"/>
        <v>1.2999999999999999E-3</v>
      </c>
      <c r="O77" s="179">
        <v>2605.3035932820003</v>
      </c>
      <c r="P77" s="80">
        <f t="shared" si="29"/>
        <v>1.3000000000000002E-3</v>
      </c>
      <c r="Q77" s="179">
        <v>2631.3566292148198</v>
      </c>
      <c r="R77" s="80">
        <f t="shared" si="30"/>
        <v>1.2999999999999999E-3</v>
      </c>
      <c r="S77" s="179">
        <v>2657.6701955069684</v>
      </c>
      <c r="T77" s="80">
        <f t="shared" si="31"/>
        <v>1.2999999999999999E-3</v>
      </c>
      <c r="U77" s="179">
        <v>2684.2468974620383</v>
      </c>
      <c r="V77" s="80">
        <f t="shared" si="32"/>
        <v>1.3000000000000002E-3</v>
      </c>
      <c r="X77" s="200"/>
    </row>
    <row r="78" spans="1:24" ht="12.75" customHeight="1">
      <c r="A78" s="2" t="s">
        <v>409</v>
      </c>
      <c r="B78" s="35"/>
      <c r="C78" s="179">
        <v>0</v>
      </c>
      <c r="D78" s="80">
        <f t="shared" si="23"/>
        <v>0</v>
      </c>
      <c r="E78" s="179">
        <v>0</v>
      </c>
      <c r="F78" s="80">
        <f t="shared" si="24"/>
        <v>0</v>
      </c>
      <c r="G78" s="179">
        <v>41954</v>
      </c>
      <c r="H78" s="80">
        <f t="shared" si="25"/>
        <v>2.1999999999999999E-2</v>
      </c>
      <c r="I78" s="179">
        <v>42793.079999999994</v>
      </c>
      <c r="J78" s="80">
        <f t="shared" si="26"/>
        <v>2.1999999999999999E-2</v>
      </c>
      <c r="K78" s="179">
        <v>43221.010799999996</v>
      </c>
      <c r="L78" s="80">
        <f t="shared" si="27"/>
        <v>2.1999999999999999E-2</v>
      </c>
      <c r="M78" s="179">
        <v>43653.220907999996</v>
      </c>
      <c r="N78" s="80">
        <f t="shared" si="28"/>
        <v>2.1999999999999999E-2</v>
      </c>
      <c r="O78" s="179">
        <v>44089.753117079999</v>
      </c>
      <c r="P78" s="80">
        <f t="shared" si="29"/>
        <v>2.1999999999999999E-2</v>
      </c>
      <c r="Q78" s="179">
        <v>44530.65064825079</v>
      </c>
      <c r="R78" s="80">
        <f t="shared" si="30"/>
        <v>2.1999999999999995E-2</v>
      </c>
      <c r="S78" s="179">
        <v>44975.957154733311</v>
      </c>
      <c r="T78" s="80">
        <f t="shared" si="31"/>
        <v>2.1999999999999999E-2</v>
      </c>
      <c r="U78" s="179">
        <v>45425.716726280647</v>
      </c>
      <c r="V78" s="80">
        <f t="shared" si="32"/>
        <v>2.2000000000000002E-2</v>
      </c>
      <c r="X78" s="200"/>
    </row>
    <row r="79" spans="1:24" ht="12.75" customHeight="1">
      <c r="A79" s="2" t="s">
        <v>410</v>
      </c>
      <c r="B79" s="35"/>
      <c r="C79" s="179">
        <v>0</v>
      </c>
      <c r="D79" s="80">
        <f t="shared" si="23"/>
        <v>0</v>
      </c>
      <c r="E79" s="179">
        <v>0</v>
      </c>
      <c r="F79" s="80">
        <f t="shared" si="24"/>
        <v>0</v>
      </c>
      <c r="G79" s="179">
        <v>0</v>
      </c>
      <c r="H79" s="80">
        <f t="shared" si="25"/>
        <v>0</v>
      </c>
      <c r="I79" s="179">
        <v>0</v>
      </c>
      <c r="J79" s="80">
        <f t="shared" si="26"/>
        <v>0</v>
      </c>
      <c r="K79" s="179">
        <v>0</v>
      </c>
      <c r="L79" s="80">
        <f t="shared" si="27"/>
        <v>0</v>
      </c>
      <c r="M79" s="179">
        <v>0</v>
      </c>
      <c r="N79" s="80">
        <f t="shared" si="28"/>
        <v>0</v>
      </c>
      <c r="O79" s="179">
        <v>0</v>
      </c>
      <c r="P79" s="80">
        <f t="shared" si="29"/>
        <v>0</v>
      </c>
      <c r="Q79" s="179">
        <v>0</v>
      </c>
      <c r="R79" s="80">
        <f t="shared" si="30"/>
        <v>0</v>
      </c>
      <c r="S79" s="179">
        <v>0</v>
      </c>
      <c r="T79" s="80">
        <f t="shared" si="31"/>
        <v>0</v>
      </c>
      <c r="U79" s="179">
        <v>0</v>
      </c>
      <c r="V79" s="80">
        <f t="shared" si="32"/>
        <v>0</v>
      </c>
      <c r="X79" s="200"/>
    </row>
    <row r="80" spans="1:24" ht="12.75" customHeight="1">
      <c r="A80" s="2" t="s">
        <v>411</v>
      </c>
      <c r="B80" s="35"/>
      <c r="C80" s="179">
        <v>0</v>
      </c>
      <c r="D80" s="80">
        <f t="shared" si="23"/>
        <v>0</v>
      </c>
      <c r="E80" s="179">
        <v>0</v>
      </c>
      <c r="F80" s="80">
        <f t="shared" si="24"/>
        <v>0</v>
      </c>
      <c r="G80" s="179">
        <v>0</v>
      </c>
      <c r="H80" s="80">
        <f t="shared" si="25"/>
        <v>0</v>
      </c>
      <c r="I80" s="179">
        <v>0</v>
      </c>
      <c r="J80" s="80">
        <f t="shared" si="26"/>
        <v>0</v>
      </c>
      <c r="K80" s="179">
        <v>0</v>
      </c>
      <c r="L80" s="80">
        <f t="shared" si="27"/>
        <v>0</v>
      </c>
      <c r="M80" s="179">
        <v>0</v>
      </c>
      <c r="N80" s="80">
        <f t="shared" si="28"/>
        <v>0</v>
      </c>
      <c r="O80" s="179">
        <v>0</v>
      </c>
      <c r="P80" s="80">
        <f t="shared" si="29"/>
        <v>0</v>
      </c>
      <c r="Q80" s="179">
        <v>0</v>
      </c>
      <c r="R80" s="80">
        <f t="shared" si="30"/>
        <v>0</v>
      </c>
      <c r="S80" s="179">
        <v>0</v>
      </c>
      <c r="T80" s="80">
        <f t="shared" si="31"/>
        <v>0</v>
      </c>
      <c r="U80" s="179">
        <v>0</v>
      </c>
      <c r="V80" s="80">
        <f t="shared" si="32"/>
        <v>0</v>
      </c>
      <c r="X80" s="200"/>
    </row>
    <row r="81" spans="1:24" ht="12.75" customHeight="1">
      <c r="A81" s="2" t="s">
        <v>412</v>
      </c>
      <c r="B81" s="35"/>
      <c r="C81" s="179">
        <v>0</v>
      </c>
      <c r="D81" s="80">
        <f t="shared" si="23"/>
        <v>0</v>
      </c>
      <c r="E81" s="179">
        <v>0</v>
      </c>
      <c r="F81" s="80">
        <f t="shared" si="24"/>
        <v>0</v>
      </c>
      <c r="G81" s="179">
        <v>0</v>
      </c>
      <c r="H81" s="80">
        <f t="shared" si="25"/>
        <v>0</v>
      </c>
      <c r="I81" s="179">
        <v>0</v>
      </c>
      <c r="J81" s="80">
        <f t="shared" si="26"/>
        <v>0</v>
      </c>
      <c r="K81" s="179">
        <v>0</v>
      </c>
      <c r="L81" s="80">
        <f t="shared" si="27"/>
        <v>0</v>
      </c>
      <c r="M81" s="179">
        <v>0</v>
      </c>
      <c r="N81" s="80">
        <f t="shared" si="28"/>
        <v>0</v>
      </c>
      <c r="O81" s="179">
        <v>0</v>
      </c>
      <c r="P81" s="80">
        <f t="shared" si="29"/>
        <v>0</v>
      </c>
      <c r="Q81" s="179">
        <v>0</v>
      </c>
      <c r="R81" s="80">
        <f t="shared" si="30"/>
        <v>0</v>
      </c>
      <c r="S81" s="179">
        <v>0</v>
      </c>
      <c r="T81" s="80">
        <f t="shared" si="31"/>
        <v>0</v>
      </c>
      <c r="U81" s="179">
        <v>0</v>
      </c>
      <c r="V81" s="80">
        <f t="shared" si="32"/>
        <v>0</v>
      </c>
      <c r="X81" s="200"/>
    </row>
    <row r="82" spans="1:24" ht="12.75" customHeight="1">
      <c r="A82" s="2" t="s">
        <v>413</v>
      </c>
      <c r="B82" s="35"/>
      <c r="C82" s="179">
        <v>0</v>
      </c>
      <c r="D82" s="80">
        <f t="shared" si="23"/>
        <v>0</v>
      </c>
      <c r="E82" s="179">
        <v>0</v>
      </c>
      <c r="F82" s="80">
        <f t="shared" si="24"/>
        <v>0</v>
      </c>
      <c r="G82" s="179">
        <v>0</v>
      </c>
      <c r="H82" s="80">
        <f t="shared" si="25"/>
        <v>0</v>
      </c>
      <c r="I82" s="179">
        <v>0</v>
      </c>
      <c r="J82" s="80">
        <f t="shared" si="26"/>
        <v>0</v>
      </c>
      <c r="K82" s="179">
        <v>0</v>
      </c>
      <c r="L82" s="80">
        <f t="shared" si="27"/>
        <v>0</v>
      </c>
      <c r="M82" s="179">
        <v>0</v>
      </c>
      <c r="N82" s="80">
        <f t="shared" si="28"/>
        <v>0</v>
      </c>
      <c r="O82" s="179">
        <v>0</v>
      </c>
      <c r="P82" s="80">
        <f t="shared" si="29"/>
        <v>0</v>
      </c>
      <c r="Q82" s="179">
        <v>0</v>
      </c>
      <c r="R82" s="80">
        <f t="shared" si="30"/>
        <v>0</v>
      </c>
      <c r="S82" s="179">
        <v>0</v>
      </c>
      <c r="T82" s="80">
        <f t="shared" si="31"/>
        <v>0</v>
      </c>
      <c r="U82" s="179">
        <v>0</v>
      </c>
      <c r="V82" s="80">
        <f t="shared" si="32"/>
        <v>0</v>
      </c>
      <c r="X82" s="200"/>
    </row>
    <row r="83" spans="1:24" ht="12.75" customHeight="1">
      <c r="A83" s="2" t="s">
        <v>414</v>
      </c>
      <c r="B83" s="35"/>
      <c r="C83" s="179">
        <v>0</v>
      </c>
      <c r="D83" s="80">
        <f t="shared" si="23"/>
        <v>0</v>
      </c>
      <c r="E83" s="179">
        <v>0</v>
      </c>
      <c r="F83" s="80">
        <f t="shared" si="24"/>
        <v>0</v>
      </c>
      <c r="G83" s="179">
        <v>0</v>
      </c>
      <c r="H83" s="80">
        <f t="shared" si="25"/>
        <v>0</v>
      </c>
      <c r="I83" s="179">
        <v>0</v>
      </c>
      <c r="J83" s="80">
        <f t="shared" si="26"/>
        <v>0</v>
      </c>
      <c r="K83" s="179">
        <v>0</v>
      </c>
      <c r="L83" s="80">
        <f t="shared" si="27"/>
        <v>0</v>
      </c>
      <c r="M83" s="179">
        <v>0</v>
      </c>
      <c r="N83" s="80">
        <f t="shared" si="28"/>
        <v>0</v>
      </c>
      <c r="O83" s="179">
        <v>0</v>
      </c>
      <c r="P83" s="80">
        <f t="shared" si="29"/>
        <v>0</v>
      </c>
      <c r="Q83" s="179">
        <v>0</v>
      </c>
      <c r="R83" s="80">
        <f t="shared" si="30"/>
        <v>0</v>
      </c>
      <c r="S83" s="179">
        <v>0</v>
      </c>
      <c r="T83" s="80">
        <f t="shared" si="31"/>
        <v>0</v>
      </c>
      <c r="U83" s="179">
        <v>0</v>
      </c>
      <c r="V83" s="80">
        <f t="shared" si="32"/>
        <v>0</v>
      </c>
      <c r="X83" s="200"/>
    </row>
    <row r="84" spans="1:24" ht="12.75" customHeight="1">
      <c r="A84" s="2" t="s">
        <v>415</v>
      </c>
      <c r="B84" s="35"/>
      <c r="C84" s="179">
        <v>0</v>
      </c>
      <c r="D84" s="80">
        <f t="shared" si="23"/>
        <v>0</v>
      </c>
      <c r="E84" s="179">
        <v>0</v>
      </c>
      <c r="F84" s="80">
        <f t="shared" si="24"/>
        <v>0</v>
      </c>
      <c r="G84" s="179">
        <v>0</v>
      </c>
      <c r="H84" s="80">
        <f t="shared" si="25"/>
        <v>0</v>
      </c>
      <c r="I84" s="179">
        <v>0</v>
      </c>
      <c r="J84" s="80">
        <f t="shared" si="26"/>
        <v>0</v>
      </c>
      <c r="K84" s="179">
        <v>0</v>
      </c>
      <c r="L84" s="80">
        <f t="shared" si="27"/>
        <v>0</v>
      </c>
      <c r="M84" s="179">
        <v>0</v>
      </c>
      <c r="N84" s="80">
        <f t="shared" si="28"/>
        <v>0</v>
      </c>
      <c r="O84" s="179">
        <v>0</v>
      </c>
      <c r="P84" s="80">
        <f t="shared" si="29"/>
        <v>0</v>
      </c>
      <c r="Q84" s="179">
        <v>0</v>
      </c>
      <c r="R84" s="80">
        <f t="shared" si="30"/>
        <v>0</v>
      </c>
      <c r="S84" s="179">
        <v>0</v>
      </c>
      <c r="T84" s="80">
        <f t="shared" si="31"/>
        <v>0</v>
      </c>
      <c r="U84" s="179">
        <v>0</v>
      </c>
      <c r="V84" s="80">
        <f t="shared" si="32"/>
        <v>0</v>
      </c>
      <c r="X84" s="200"/>
    </row>
    <row r="85" spans="1:24" ht="12.75" customHeight="1">
      <c r="A85" s="2" t="s">
        <v>416</v>
      </c>
      <c r="B85" s="35"/>
      <c r="C85" s="179">
        <v>0</v>
      </c>
      <c r="D85" s="80">
        <f t="shared" si="23"/>
        <v>0</v>
      </c>
      <c r="E85" s="179">
        <v>0</v>
      </c>
      <c r="F85" s="80">
        <f t="shared" si="24"/>
        <v>0</v>
      </c>
      <c r="G85" s="179">
        <v>0</v>
      </c>
      <c r="H85" s="80">
        <f t="shared" si="25"/>
        <v>0</v>
      </c>
      <c r="I85" s="179">
        <v>0</v>
      </c>
      <c r="J85" s="80">
        <f t="shared" si="26"/>
        <v>0</v>
      </c>
      <c r="K85" s="179">
        <v>0</v>
      </c>
      <c r="L85" s="80">
        <f t="shared" si="27"/>
        <v>0</v>
      </c>
      <c r="M85" s="179">
        <v>0</v>
      </c>
      <c r="N85" s="80">
        <f t="shared" si="28"/>
        <v>0</v>
      </c>
      <c r="O85" s="179">
        <v>0</v>
      </c>
      <c r="P85" s="80">
        <f t="shared" si="29"/>
        <v>0</v>
      </c>
      <c r="Q85" s="179">
        <v>0</v>
      </c>
      <c r="R85" s="80">
        <f t="shared" si="30"/>
        <v>0</v>
      </c>
      <c r="S85" s="179">
        <v>0</v>
      </c>
      <c r="T85" s="80">
        <f t="shared" si="31"/>
        <v>0</v>
      </c>
      <c r="U85" s="179">
        <v>0</v>
      </c>
      <c r="V85" s="80">
        <f t="shared" si="32"/>
        <v>0</v>
      </c>
      <c r="X85" s="200"/>
    </row>
    <row r="86" spans="1:24" ht="12.75" customHeight="1">
      <c r="A86" s="2" t="s">
        <v>417</v>
      </c>
      <c r="B86" s="35"/>
      <c r="C86" s="179">
        <v>0</v>
      </c>
      <c r="D86" s="80">
        <f t="shared" si="23"/>
        <v>0</v>
      </c>
      <c r="E86" s="179">
        <v>0</v>
      </c>
      <c r="F86" s="80">
        <f t="shared" si="24"/>
        <v>0</v>
      </c>
      <c r="G86" s="179">
        <v>7628.0000000000009</v>
      </c>
      <c r="H86" s="80">
        <f t="shared" si="25"/>
        <v>4.0000000000000001E-3</v>
      </c>
      <c r="I86" s="179">
        <v>7780.56</v>
      </c>
      <c r="J86" s="80">
        <f t="shared" si="26"/>
        <v>4.0000000000000001E-3</v>
      </c>
      <c r="K86" s="179">
        <v>7858.365600000001</v>
      </c>
      <c r="L86" s="80">
        <f t="shared" si="27"/>
        <v>4.000000000000001E-3</v>
      </c>
      <c r="M86" s="179">
        <v>7936.9492559999999</v>
      </c>
      <c r="N86" s="80">
        <f t="shared" si="28"/>
        <v>4.0000000000000001E-3</v>
      </c>
      <c r="O86" s="179">
        <v>8016.318748560001</v>
      </c>
      <c r="P86" s="80">
        <f t="shared" si="29"/>
        <v>4.0000000000000001E-3</v>
      </c>
      <c r="Q86" s="179">
        <v>8096.4819360456004</v>
      </c>
      <c r="R86" s="80">
        <f t="shared" si="30"/>
        <v>4.0000000000000001E-3</v>
      </c>
      <c r="S86" s="179">
        <v>8177.4467554060566</v>
      </c>
      <c r="T86" s="80">
        <f t="shared" si="31"/>
        <v>4.0000000000000001E-3</v>
      </c>
      <c r="U86" s="179">
        <v>8259.2212229601173</v>
      </c>
      <c r="V86" s="80">
        <f t="shared" si="32"/>
        <v>4.0000000000000001E-3</v>
      </c>
      <c r="X86" s="200"/>
    </row>
    <row r="87" spans="1:24" ht="12.75" customHeight="1">
      <c r="A87" s="2" t="s">
        <v>418</v>
      </c>
      <c r="B87" s="35"/>
      <c r="C87" s="179">
        <v>0</v>
      </c>
      <c r="D87" s="80">
        <f t="shared" si="23"/>
        <v>0</v>
      </c>
      <c r="E87" s="179">
        <v>0</v>
      </c>
      <c r="F87" s="80">
        <f t="shared" si="24"/>
        <v>0</v>
      </c>
      <c r="G87" s="179">
        <v>0</v>
      </c>
      <c r="H87" s="80">
        <f t="shared" si="25"/>
        <v>0</v>
      </c>
      <c r="I87" s="179">
        <v>0</v>
      </c>
      <c r="J87" s="80">
        <f t="shared" si="26"/>
        <v>0</v>
      </c>
      <c r="K87" s="179">
        <v>0</v>
      </c>
      <c r="L87" s="80">
        <f t="shared" si="27"/>
        <v>0</v>
      </c>
      <c r="M87" s="179">
        <v>0</v>
      </c>
      <c r="N87" s="80">
        <f t="shared" si="28"/>
        <v>0</v>
      </c>
      <c r="O87" s="179">
        <v>0</v>
      </c>
      <c r="P87" s="80">
        <f t="shared" si="29"/>
        <v>0</v>
      </c>
      <c r="Q87" s="179">
        <v>0</v>
      </c>
      <c r="R87" s="80">
        <f t="shared" si="30"/>
        <v>0</v>
      </c>
      <c r="S87" s="179">
        <v>0</v>
      </c>
      <c r="T87" s="80">
        <f t="shared" si="31"/>
        <v>0</v>
      </c>
      <c r="U87" s="179">
        <v>0</v>
      </c>
      <c r="V87" s="80">
        <f t="shared" si="32"/>
        <v>0</v>
      </c>
      <c r="X87" s="200"/>
    </row>
    <row r="88" spans="1:24" ht="12.75" customHeight="1">
      <c r="A88" s="2" t="s">
        <v>419</v>
      </c>
      <c r="B88" s="35"/>
      <c r="C88" s="179">
        <v>0</v>
      </c>
      <c r="D88" s="80">
        <f t="shared" si="23"/>
        <v>0</v>
      </c>
      <c r="E88" s="179">
        <v>0</v>
      </c>
      <c r="F88" s="80">
        <f t="shared" si="24"/>
        <v>0</v>
      </c>
      <c r="G88" s="179">
        <v>9725.7000000000025</v>
      </c>
      <c r="H88" s="80">
        <f t="shared" si="25"/>
        <v>5.1000000000000012E-3</v>
      </c>
      <c r="I88" s="179">
        <v>9920.2140000000018</v>
      </c>
      <c r="J88" s="80">
        <f t="shared" si="26"/>
        <v>5.1000000000000012E-3</v>
      </c>
      <c r="K88" s="179">
        <v>10019.416140000001</v>
      </c>
      <c r="L88" s="80">
        <f t="shared" si="27"/>
        <v>5.1000000000000012E-3</v>
      </c>
      <c r="M88" s="179">
        <v>10119.610301400002</v>
      </c>
      <c r="N88" s="80">
        <f t="shared" si="28"/>
        <v>5.1000000000000012E-3</v>
      </c>
      <c r="O88" s="179">
        <v>10220.806404414003</v>
      </c>
      <c r="P88" s="80">
        <f t="shared" si="29"/>
        <v>5.1000000000000012E-3</v>
      </c>
      <c r="Q88" s="179">
        <v>10323.014468458141</v>
      </c>
      <c r="R88" s="80">
        <f t="shared" si="30"/>
        <v>5.1000000000000004E-3</v>
      </c>
      <c r="S88" s="179">
        <v>10426.244613142724</v>
      </c>
      <c r="T88" s="80">
        <f t="shared" si="31"/>
        <v>5.1000000000000012E-3</v>
      </c>
      <c r="U88" s="179">
        <v>10530.507059274152</v>
      </c>
      <c r="V88" s="80">
        <f t="shared" si="32"/>
        <v>5.1000000000000012E-3</v>
      </c>
      <c r="X88" s="200"/>
    </row>
    <row r="89" spans="1:24" ht="12.75" customHeight="1">
      <c r="A89" s="2" t="s">
        <v>420</v>
      </c>
      <c r="B89" s="35"/>
      <c r="C89" s="179">
        <v>0</v>
      </c>
      <c r="D89" s="80">
        <f t="shared" si="23"/>
        <v>0</v>
      </c>
      <c r="E89" s="179">
        <v>0</v>
      </c>
      <c r="F89" s="80">
        <f t="shared" si="24"/>
        <v>0</v>
      </c>
      <c r="G89" s="179">
        <v>0</v>
      </c>
      <c r="H89" s="80">
        <f t="shared" si="25"/>
        <v>0</v>
      </c>
      <c r="I89" s="179">
        <v>0</v>
      </c>
      <c r="J89" s="80">
        <f t="shared" si="26"/>
        <v>0</v>
      </c>
      <c r="K89" s="179">
        <v>0</v>
      </c>
      <c r="L89" s="80">
        <f t="shared" si="27"/>
        <v>0</v>
      </c>
      <c r="M89" s="179">
        <v>0</v>
      </c>
      <c r="N89" s="80">
        <f t="shared" si="28"/>
        <v>0</v>
      </c>
      <c r="O89" s="179">
        <v>0</v>
      </c>
      <c r="P89" s="80">
        <f t="shared" si="29"/>
        <v>0</v>
      </c>
      <c r="Q89" s="179">
        <v>0</v>
      </c>
      <c r="R89" s="80">
        <f t="shared" si="30"/>
        <v>0</v>
      </c>
      <c r="S89" s="179">
        <v>0</v>
      </c>
      <c r="T89" s="80">
        <f t="shared" si="31"/>
        <v>0</v>
      </c>
      <c r="U89" s="179">
        <v>0</v>
      </c>
      <c r="V89" s="80">
        <f t="shared" si="32"/>
        <v>0</v>
      </c>
      <c r="X89" s="200"/>
    </row>
    <row r="90" spans="1:24" ht="12.75" customHeight="1">
      <c r="A90" s="2" t="s">
        <v>421</v>
      </c>
      <c r="B90" s="35"/>
      <c r="C90" s="179">
        <v>0</v>
      </c>
      <c r="D90" s="80">
        <f t="shared" si="23"/>
        <v>0</v>
      </c>
      <c r="E90" s="179">
        <v>0</v>
      </c>
      <c r="F90" s="80">
        <f t="shared" si="24"/>
        <v>0</v>
      </c>
      <c r="G90" s="179">
        <v>381.40000000000003</v>
      </c>
      <c r="H90" s="80">
        <f t="shared" si="25"/>
        <v>2.0000000000000001E-4</v>
      </c>
      <c r="I90" s="179">
        <v>389.02800000000002</v>
      </c>
      <c r="J90" s="80">
        <f t="shared" si="26"/>
        <v>2.0000000000000001E-4</v>
      </c>
      <c r="K90" s="179">
        <v>392.91828000000004</v>
      </c>
      <c r="L90" s="80">
        <f t="shared" si="27"/>
        <v>2.0000000000000004E-4</v>
      </c>
      <c r="M90" s="179">
        <v>396.84746280000002</v>
      </c>
      <c r="N90" s="80">
        <f t="shared" si="28"/>
        <v>2.0000000000000001E-4</v>
      </c>
      <c r="O90" s="179">
        <v>400.8159374280001</v>
      </c>
      <c r="P90" s="80">
        <f t="shared" si="29"/>
        <v>2.0000000000000004E-4</v>
      </c>
      <c r="Q90" s="179">
        <v>404.82409680228</v>
      </c>
      <c r="R90" s="80">
        <f t="shared" si="30"/>
        <v>1.9999999999999998E-4</v>
      </c>
      <c r="S90" s="179">
        <v>408.87233777030286</v>
      </c>
      <c r="T90" s="80">
        <f t="shared" si="31"/>
        <v>2.0000000000000001E-4</v>
      </c>
      <c r="U90" s="179">
        <v>412.96106114800591</v>
      </c>
      <c r="V90" s="80">
        <f t="shared" si="32"/>
        <v>2.0000000000000001E-4</v>
      </c>
      <c r="X90" s="200"/>
    </row>
    <row r="91" spans="1:24" ht="12.75" customHeight="1">
      <c r="A91" s="2" t="s">
        <v>422</v>
      </c>
      <c r="C91" s="179">
        <v>0</v>
      </c>
      <c r="D91" s="80">
        <f t="shared" si="23"/>
        <v>0</v>
      </c>
      <c r="E91" s="179">
        <v>0</v>
      </c>
      <c r="F91" s="80">
        <f t="shared" si="24"/>
        <v>0</v>
      </c>
      <c r="G91" s="179">
        <v>0</v>
      </c>
      <c r="H91" s="80">
        <f t="shared" si="25"/>
        <v>0</v>
      </c>
      <c r="I91" s="179">
        <v>0</v>
      </c>
      <c r="J91" s="80">
        <f t="shared" si="26"/>
        <v>0</v>
      </c>
      <c r="K91" s="179">
        <v>0</v>
      </c>
      <c r="L91" s="80">
        <f t="shared" si="27"/>
        <v>0</v>
      </c>
      <c r="M91" s="179">
        <v>0</v>
      </c>
      <c r="N91" s="80">
        <f t="shared" si="28"/>
        <v>0</v>
      </c>
      <c r="O91" s="179">
        <v>0</v>
      </c>
      <c r="P91" s="80">
        <f t="shared" si="29"/>
        <v>0</v>
      </c>
      <c r="Q91" s="179">
        <v>0</v>
      </c>
      <c r="R91" s="80">
        <f t="shared" si="30"/>
        <v>0</v>
      </c>
      <c r="S91" s="179">
        <v>0</v>
      </c>
      <c r="T91" s="80">
        <f t="shared" si="31"/>
        <v>0</v>
      </c>
      <c r="U91" s="179">
        <v>0</v>
      </c>
      <c r="V91" s="80">
        <f t="shared" si="32"/>
        <v>0</v>
      </c>
      <c r="X91" s="200"/>
    </row>
    <row r="92" spans="1:24" ht="12.75" customHeight="1">
      <c r="A92" s="2" t="s">
        <v>423</v>
      </c>
      <c r="B92" s="35"/>
      <c r="C92" s="179">
        <v>0</v>
      </c>
      <c r="D92" s="80">
        <f t="shared" si="23"/>
        <v>0</v>
      </c>
      <c r="E92" s="179">
        <v>0</v>
      </c>
      <c r="F92" s="80">
        <f t="shared" si="24"/>
        <v>0</v>
      </c>
      <c r="G92" s="179">
        <v>9916.4</v>
      </c>
      <c r="H92" s="80">
        <f t="shared" si="25"/>
        <v>5.1999999999999998E-3</v>
      </c>
      <c r="I92" s="179">
        <v>10114.727999999999</v>
      </c>
      <c r="J92" s="80">
        <f t="shared" si="26"/>
        <v>5.1999999999999998E-3</v>
      </c>
      <c r="K92" s="179">
        <v>10215.875279999998</v>
      </c>
      <c r="L92" s="80">
        <f t="shared" si="27"/>
        <v>5.1999999999999998E-3</v>
      </c>
      <c r="M92" s="179">
        <v>10318.0340328</v>
      </c>
      <c r="N92" s="80">
        <f t="shared" si="28"/>
        <v>5.1999999999999998E-3</v>
      </c>
      <c r="O92" s="179">
        <v>10421.214373128001</v>
      </c>
      <c r="P92" s="80">
        <f t="shared" si="29"/>
        <v>5.2000000000000006E-3</v>
      </c>
      <c r="Q92" s="179">
        <v>10525.426516859279</v>
      </c>
      <c r="R92" s="80">
        <f t="shared" si="30"/>
        <v>5.1999999999999998E-3</v>
      </c>
      <c r="S92" s="179">
        <v>10630.680782027874</v>
      </c>
      <c r="T92" s="80">
        <f t="shared" si="31"/>
        <v>5.1999999999999998E-3</v>
      </c>
      <c r="U92" s="179">
        <v>10736.987589848153</v>
      </c>
      <c r="V92" s="80">
        <f t="shared" si="32"/>
        <v>5.2000000000000006E-3</v>
      </c>
      <c r="X92" s="200"/>
    </row>
    <row r="93" spans="1:24" ht="12.75" customHeight="1">
      <c r="A93" s="2" t="s">
        <v>424</v>
      </c>
      <c r="B93" s="35"/>
      <c r="C93" s="179">
        <v>0</v>
      </c>
      <c r="D93" s="80">
        <f t="shared" si="23"/>
        <v>0</v>
      </c>
      <c r="E93" s="179">
        <v>0</v>
      </c>
      <c r="F93" s="80">
        <f t="shared" si="24"/>
        <v>0</v>
      </c>
      <c r="G93" s="179">
        <v>0</v>
      </c>
      <c r="H93" s="80">
        <f t="shared" si="25"/>
        <v>0</v>
      </c>
      <c r="I93" s="179">
        <v>0</v>
      </c>
      <c r="J93" s="80">
        <f t="shared" si="26"/>
        <v>0</v>
      </c>
      <c r="K93" s="179">
        <v>0</v>
      </c>
      <c r="L93" s="80">
        <f t="shared" si="27"/>
        <v>0</v>
      </c>
      <c r="M93" s="179">
        <v>0</v>
      </c>
      <c r="N93" s="80">
        <f t="shared" si="28"/>
        <v>0</v>
      </c>
      <c r="O93" s="179">
        <v>0</v>
      </c>
      <c r="P93" s="80">
        <f t="shared" si="29"/>
        <v>0</v>
      </c>
      <c r="Q93" s="179">
        <v>0</v>
      </c>
      <c r="R93" s="80">
        <f t="shared" si="30"/>
        <v>0</v>
      </c>
      <c r="S93" s="179">
        <v>0</v>
      </c>
      <c r="T93" s="80">
        <f t="shared" si="31"/>
        <v>0</v>
      </c>
      <c r="U93" s="179">
        <v>0</v>
      </c>
      <c r="V93" s="80">
        <f t="shared" si="32"/>
        <v>0</v>
      </c>
      <c r="X93" s="200"/>
    </row>
    <row r="94" spans="1:24" ht="12.75" customHeight="1">
      <c r="A94" s="2" t="s">
        <v>425</v>
      </c>
      <c r="B94" s="35"/>
      <c r="C94" s="179">
        <v>0</v>
      </c>
      <c r="D94" s="80">
        <f t="shared" si="23"/>
        <v>0</v>
      </c>
      <c r="E94" s="179">
        <v>0</v>
      </c>
      <c r="F94" s="80">
        <f t="shared" si="24"/>
        <v>0</v>
      </c>
      <c r="G94" s="179">
        <v>0</v>
      </c>
      <c r="H94" s="80">
        <f t="shared" si="25"/>
        <v>0</v>
      </c>
      <c r="I94" s="179">
        <v>0</v>
      </c>
      <c r="J94" s="80">
        <f t="shared" si="26"/>
        <v>0</v>
      </c>
      <c r="K94" s="179">
        <v>0</v>
      </c>
      <c r="L94" s="80">
        <f t="shared" si="27"/>
        <v>0</v>
      </c>
      <c r="M94" s="179">
        <v>0</v>
      </c>
      <c r="N94" s="80">
        <f t="shared" si="28"/>
        <v>0</v>
      </c>
      <c r="O94" s="179">
        <v>0</v>
      </c>
      <c r="P94" s="80">
        <f t="shared" si="29"/>
        <v>0</v>
      </c>
      <c r="Q94" s="179">
        <v>0</v>
      </c>
      <c r="R94" s="80">
        <f t="shared" si="30"/>
        <v>0</v>
      </c>
      <c r="S94" s="179">
        <v>0</v>
      </c>
      <c r="T94" s="80">
        <f t="shared" si="31"/>
        <v>0</v>
      </c>
      <c r="U94" s="179">
        <v>0</v>
      </c>
      <c r="V94" s="80">
        <f t="shared" si="32"/>
        <v>0</v>
      </c>
      <c r="X94" s="200"/>
    </row>
    <row r="95" spans="1:24" ht="12.75" customHeight="1">
      <c r="A95" s="2" t="s">
        <v>426</v>
      </c>
      <c r="B95" s="35"/>
      <c r="C95" s="179">
        <v>0</v>
      </c>
      <c r="D95" s="80">
        <f t="shared" si="23"/>
        <v>0</v>
      </c>
      <c r="E95" s="179">
        <v>0</v>
      </c>
      <c r="F95" s="80">
        <f t="shared" si="24"/>
        <v>0</v>
      </c>
      <c r="G95" s="179">
        <v>0</v>
      </c>
      <c r="H95" s="80">
        <f t="shared" si="25"/>
        <v>0</v>
      </c>
      <c r="I95" s="179">
        <v>0</v>
      </c>
      <c r="J95" s="80">
        <f t="shared" si="26"/>
        <v>0</v>
      </c>
      <c r="K95" s="179">
        <v>0</v>
      </c>
      <c r="L95" s="80">
        <f t="shared" si="27"/>
        <v>0</v>
      </c>
      <c r="M95" s="179">
        <v>0</v>
      </c>
      <c r="N95" s="80">
        <f t="shared" si="28"/>
        <v>0</v>
      </c>
      <c r="O95" s="179">
        <v>0</v>
      </c>
      <c r="P95" s="80">
        <f t="shared" si="29"/>
        <v>0</v>
      </c>
      <c r="Q95" s="179">
        <v>0</v>
      </c>
      <c r="R95" s="80">
        <f t="shared" si="30"/>
        <v>0</v>
      </c>
      <c r="S95" s="179">
        <v>0</v>
      </c>
      <c r="T95" s="80">
        <f t="shared" si="31"/>
        <v>0</v>
      </c>
      <c r="U95" s="179">
        <v>0</v>
      </c>
      <c r="V95" s="80">
        <f t="shared" si="32"/>
        <v>0</v>
      </c>
      <c r="X95" s="200"/>
    </row>
    <row r="96" spans="1:24" ht="12.75" customHeight="1">
      <c r="A96" s="2" t="s">
        <v>427</v>
      </c>
      <c r="B96" s="35"/>
      <c r="C96" s="179">
        <v>0</v>
      </c>
      <c r="D96" s="80">
        <f t="shared" si="23"/>
        <v>0</v>
      </c>
      <c r="E96" s="179">
        <v>0</v>
      </c>
      <c r="F96" s="80">
        <f t="shared" si="24"/>
        <v>0</v>
      </c>
      <c r="G96" s="179">
        <v>0</v>
      </c>
      <c r="H96" s="80">
        <f t="shared" si="25"/>
        <v>0</v>
      </c>
      <c r="I96" s="179">
        <v>0</v>
      </c>
      <c r="J96" s="80">
        <f t="shared" si="26"/>
        <v>0</v>
      </c>
      <c r="K96" s="179">
        <v>0</v>
      </c>
      <c r="L96" s="80">
        <f t="shared" si="27"/>
        <v>0</v>
      </c>
      <c r="M96" s="179">
        <v>0</v>
      </c>
      <c r="N96" s="80">
        <f t="shared" si="28"/>
        <v>0</v>
      </c>
      <c r="O96" s="179">
        <v>0</v>
      </c>
      <c r="P96" s="80">
        <f t="shared" si="29"/>
        <v>0</v>
      </c>
      <c r="Q96" s="179">
        <v>0</v>
      </c>
      <c r="R96" s="80">
        <f t="shared" si="30"/>
        <v>0</v>
      </c>
      <c r="S96" s="179">
        <v>0</v>
      </c>
      <c r="T96" s="80">
        <f t="shared" si="31"/>
        <v>0</v>
      </c>
      <c r="U96" s="179">
        <v>0</v>
      </c>
      <c r="V96" s="80">
        <f t="shared" si="32"/>
        <v>0</v>
      </c>
      <c r="X96" s="200"/>
    </row>
    <row r="97" spans="1:24" ht="12.75" customHeight="1">
      <c r="A97" s="2" t="s">
        <v>428</v>
      </c>
      <c r="B97" s="35"/>
      <c r="C97" s="179">
        <v>0</v>
      </c>
      <c r="D97" s="80">
        <f t="shared" si="23"/>
        <v>0</v>
      </c>
      <c r="E97" s="179">
        <v>0</v>
      </c>
      <c r="F97" s="80">
        <f t="shared" si="24"/>
        <v>0</v>
      </c>
      <c r="G97" s="179">
        <v>23257.5</v>
      </c>
      <c r="H97" s="80">
        <f t="shared" si="25"/>
        <v>1.2195857367593078E-2</v>
      </c>
      <c r="I97" s="179">
        <v>23967.629000000001</v>
      </c>
      <c r="J97" s="80">
        <f t="shared" si="26"/>
        <v>1.2321801515572144E-2</v>
      </c>
      <c r="K97" s="179">
        <v>24566.819724999994</v>
      </c>
      <c r="L97" s="80">
        <f t="shared" si="27"/>
        <v>1.2504798567783609E-2</v>
      </c>
      <c r="M97" s="179">
        <v>25180.990218124993</v>
      </c>
      <c r="N97" s="80">
        <f t="shared" si="28"/>
        <v>1.2690513397998216E-2</v>
      </c>
      <c r="O97" s="179">
        <v>25810.514973578116</v>
      </c>
      <c r="P97" s="80">
        <f t="shared" si="29"/>
        <v>1.2878986369255614E-2</v>
      </c>
      <c r="Q97" s="179">
        <v>26455.777847917565</v>
      </c>
      <c r="R97" s="80">
        <f t="shared" si="30"/>
        <v>1.3070258444046537E-2</v>
      </c>
      <c r="S97" s="179">
        <v>27117.172294115509</v>
      </c>
      <c r="T97" s="80">
        <f t="shared" si="31"/>
        <v>1.3264371193215546E-2</v>
      </c>
      <c r="U97" s="179">
        <v>27795.101601468392</v>
      </c>
      <c r="V97" s="80">
        <f t="shared" si="32"/>
        <v>1.3461366804995973E-2</v>
      </c>
      <c r="X97" s="200"/>
    </row>
    <row r="98" spans="1:24" ht="12.75" customHeight="1">
      <c r="A98" s="117" t="s">
        <v>431</v>
      </c>
      <c r="B98" s="35"/>
      <c r="C98" s="179">
        <v>0</v>
      </c>
      <c r="D98" s="80">
        <f t="shared" si="23"/>
        <v>0</v>
      </c>
      <c r="E98" s="179">
        <v>0</v>
      </c>
      <c r="F98" s="80">
        <f t="shared" si="24"/>
        <v>0</v>
      </c>
      <c r="G98" s="179">
        <v>2288.3999999999996</v>
      </c>
      <c r="H98" s="80">
        <f t="shared" si="25"/>
        <v>1.1999999999999999E-3</v>
      </c>
      <c r="I98" s="179">
        <v>2334.1679999999997</v>
      </c>
      <c r="J98" s="80">
        <f t="shared" si="26"/>
        <v>1.1999999999999999E-3</v>
      </c>
      <c r="K98" s="179">
        <v>2357.5096799999997</v>
      </c>
      <c r="L98" s="80">
        <f t="shared" si="27"/>
        <v>1.1999999999999999E-3</v>
      </c>
      <c r="M98" s="179">
        <v>2381.0847767999999</v>
      </c>
      <c r="N98" s="80">
        <f t="shared" si="28"/>
        <v>1.1999999999999999E-3</v>
      </c>
      <c r="O98" s="179">
        <v>2404.8956245680001</v>
      </c>
      <c r="P98" s="80">
        <f t="shared" si="29"/>
        <v>1.2000000000000001E-3</v>
      </c>
      <c r="Q98" s="179">
        <v>2428.9445808136797</v>
      </c>
      <c r="R98" s="80">
        <f t="shared" si="30"/>
        <v>1.1999999999999999E-3</v>
      </c>
      <c r="S98" s="179">
        <v>2453.2340266218171</v>
      </c>
      <c r="T98" s="80">
        <f t="shared" si="31"/>
        <v>1.2000000000000001E-3</v>
      </c>
      <c r="U98" s="179">
        <v>2477.766366888035</v>
      </c>
      <c r="V98" s="80">
        <f t="shared" si="32"/>
        <v>1.1999999999999999E-3</v>
      </c>
      <c r="X98" s="200"/>
    </row>
    <row r="99" spans="1:24" ht="12.75" customHeight="1">
      <c r="A99" s="117" t="s">
        <v>431</v>
      </c>
      <c r="B99" s="35"/>
      <c r="C99" s="179">
        <v>0</v>
      </c>
      <c r="D99" s="80">
        <f t="shared" si="23"/>
        <v>0</v>
      </c>
      <c r="E99" s="179">
        <v>0</v>
      </c>
      <c r="F99" s="80">
        <f t="shared" si="24"/>
        <v>0</v>
      </c>
      <c r="G99" s="179">
        <v>0</v>
      </c>
      <c r="H99" s="80">
        <f t="shared" si="25"/>
        <v>0</v>
      </c>
      <c r="I99" s="179">
        <v>0</v>
      </c>
      <c r="J99" s="80">
        <f t="shared" si="26"/>
        <v>0</v>
      </c>
      <c r="K99" s="179">
        <v>0</v>
      </c>
      <c r="L99" s="80">
        <f t="shared" si="27"/>
        <v>0</v>
      </c>
      <c r="M99" s="179">
        <v>0</v>
      </c>
      <c r="N99" s="80">
        <f t="shared" si="28"/>
        <v>0</v>
      </c>
      <c r="O99" s="179">
        <v>0</v>
      </c>
      <c r="P99" s="80">
        <f t="shared" si="29"/>
        <v>0</v>
      </c>
      <c r="Q99" s="179">
        <v>0</v>
      </c>
      <c r="R99" s="80">
        <f t="shared" si="30"/>
        <v>0</v>
      </c>
      <c r="S99" s="179">
        <v>0</v>
      </c>
      <c r="T99" s="80">
        <f t="shared" si="31"/>
        <v>0</v>
      </c>
      <c r="U99" s="179">
        <v>0</v>
      </c>
      <c r="V99" s="80">
        <f t="shared" si="32"/>
        <v>0</v>
      </c>
      <c r="X99" s="200"/>
    </row>
    <row r="100" spans="1:24" ht="12.75" customHeight="1">
      <c r="A100" s="117" t="s">
        <v>431</v>
      </c>
      <c r="B100" s="35"/>
      <c r="C100" s="179">
        <v>0</v>
      </c>
      <c r="D100" s="80">
        <f t="shared" si="23"/>
        <v>0</v>
      </c>
      <c r="E100" s="179">
        <v>0</v>
      </c>
      <c r="F100" s="80">
        <f t="shared" si="24"/>
        <v>0</v>
      </c>
      <c r="G100" s="179">
        <v>0</v>
      </c>
      <c r="H100" s="80">
        <f t="shared" si="25"/>
        <v>0</v>
      </c>
      <c r="I100" s="179">
        <v>0</v>
      </c>
      <c r="J100" s="80">
        <f t="shared" si="26"/>
        <v>0</v>
      </c>
      <c r="K100" s="179">
        <v>0</v>
      </c>
      <c r="L100" s="80">
        <f t="shared" si="27"/>
        <v>0</v>
      </c>
      <c r="M100" s="179">
        <v>0</v>
      </c>
      <c r="N100" s="80">
        <f t="shared" si="28"/>
        <v>0</v>
      </c>
      <c r="O100" s="179">
        <v>0</v>
      </c>
      <c r="P100" s="80">
        <f t="shared" si="29"/>
        <v>0</v>
      </c>
      <c r="Q100" s="179">
        <v>0</v>
      </c>
      <c r="R100" s="80">
        <f t="shared" si="30"/>
        <v>0</v>
      </c>
      <c r="S100" s="179">
        <v>0</v>
      </c>
      <c r="T100" s="80">
        <f t="shared" si="31"/>
        <v>0</v>
      </c>
      <c r="U100" s="179">
        <v>0</v>
      </c>
      <c r="V100" s="80">
        <f t="shared" si="32"/>
        <v>0</v>
      </c>
      <c r="X100" s="200"/>
    </row>
    <row r="101" spans="1:24" ht="12.75" customHeight="1">
      <c r="A101" s="2" t="s">
        <v>432</v>
      </c>
      <c r="B101" s="35"/>
      <c r="C101" s="179"/>
      <c r="D101" s="80">
        <f t="shared" si="23"/>
        <v>0</v>
      </c>
      <c r="E101" s="179"/>
      <c r="F101" s="80">
        <f t="shared" si="24"/>
        <v>0</v>
      </c>
      <c r="G101" s="179"/>
      <c r="H101" s="80">
        <f t="shared" si="25"/>
        <v>0</v>
      </c>
      <c r="I101" s="179">
        <v>0</v>
      </c>
      <c r="J101" s="80">
        <f t="shared" si="26"/>
        <v>0</v>
      </c>
      <c r="K101" s="179">
        <v>0</v>
      </c>
      <c r="L101" s="80">
        <f t="shared" si="27"/>
        <v>0</v>
      </c>
      <c r="M101" s="179">
        <v>0</v>
      </c>
      <c r="N101" s="80">
        <f t="shared" si="28"/>
        <v>0</v>
      </c>
      <c r="O101" s="179">
        <v>0</v>
      </c>
      <c r="P101" s="80">
        <f t="shared" si="29"/>
        <v>0</v>
      </c>
      <c r="Q101" s="179">
        <v>0</v>
      </c>
      <c r="R101" s="80">
        <f t="shared" si="30"/>
        <v>0</v>
      </c>
      <c r="S101" s="179">
        <v>0</v>
      </c>
      <c r="T101" s="80">
        <f t="shared" si="31"/>
        <v>0</v>
      </c>
      <c r="U101" s="179">
        <v>0</v>
      </c>
      <c r="V101" s="80">
        <f t="shared" si="32"/>
        <v>0</v>
      </c>
      <c r="X101" s="200"/>
    </row>
    <row r="102" spans="1:24" ht="12.75" customHeight="1">
      <c r="A102" s="117" t="s">
        <v>433</v>
      </c>
      <c r="B102" s="35"/>
      <c r="C102" s="179">
        <v>0</v>
      </c>
      <c r="D102" s="80">
        <f t="shared" si="23"/>
        <v>0</v>
      </c>
      <c r="E102" s="179">
        <v>0</v>
      </c>
      <c r="F102" s="80">
        <f t="shared" si="24"/>
        <v>0</v>
      </c>
      <c r="G102" s="179">
        <v>19070</v>
      </c>
      <c r="H102" s="80">
        <f t="shared" si="25"/>
        <v>0.01</v>
      </c>
      <c r="I102" s="179">
        <v>19451.400000000001</v>
      </c>
      <c r="J102" s="80">
        <f t="shared" si="26"/>
        <v>0.01</v>
      </c>
      <c r="K102" s="179">
        <v>19645.914000000001</v>
      </c>
      <c r="L102" s="80">
        <f t="shared" si="27"/>
        <v>0.01</v>
      </c>
      <c r="M102" s="179">
        <v>19842.37314</v>
      </c>
      <c r="N102" s="80">
        <f t="shared" si="28"/>
        <v>0.01</v>
      </c>
      <c r="O102" s="179">
        <v>20040.796871400005</v>
      </c>
      <c r="P102" s="80">
        <f t="shared" si="29"/>
        <v>1.0000000000000002E-2</v>
      </c>
      <c r="Q102" s="179">
        <v>20241.204840113998</v>
      </c>
      <c r="R102" s="80">
        <f t="shared" si="30"/>
        <v>9.9999999999999985E-3</v>
      </c>
      <c r="S102" s="179">
        <v>20443.616888515142</v>
      </c>
      <c r="T102" s="80">
        <f t="shared" si="31"/>
        <v>0.01</v>
      </c>
      <c r="U102" s="179">
        <v>20648.053057400291</v>
      </c>
      <c r="V102" s="80">
        <f t="shared" si="32"/>
        <v>9.9999999999999985E-3</v>
      </c>
      <c r="X102" s="200"/>
    </row>
    <row r="103" spans="1:24" ht="12.75" customHeight="1">
      <c r="A103" s="117" t="s">
        <v>433</v>
      </c>
      <c r="B103" s="35"/>
      <c r="C103" s="179">
        <v>0</v>
      </c>
      <c r="D103" s="80">
        <f t="shared" si="23"/>
        <v>0</v>
      </c>
      <c r="E103" s="179">
        <v>0</v>
      </c>
      <c r="F103" s="80">
        <f t="shared" si="24"/>
        <v>0</v>
      </c>
      <c r="G103" s="179">
        <v>0</v>
      </c>
      <c r="H103" s="80">
        <f t="shared" si="25"/>
        <v>0</v>
      </c>
      <c r="I103" s="179">
        <v>0</v>
      </c>
      <c r="J103" s="80">
        <f t="shared" si="26"/>
        <v>0</v>
      </c>
      <c r="K103" s="179">
        <v>0</v>
      </c>
      <c r="L103" s="80">
        <f t="shared" si="27"/>
        <v>0</v>
      </c>
      <c r="M103" s="179">
        <v>0</v>
      </c>
      <c r="N103" s="80">
        <f t="shared" si="28"/>
        <v>0</v>
      </c>
      <c r="O103" s="179">
        <v>0</v>
      </c>
      <c r="P103" s="80">
        <f t="shared" si="29"/>
        <v>0</v>
      </c>
      <c r="Q103" s="179">
        <v>0</v>
      </c>
      <c r="R103" s="80">
        <f t="shared" si="30"/>
        <v>0</v>
      </c>
      <c r="S103" s="179">
        <v>0</v>
      </c>
      <c r="T103" s="80">
        <f t="shared" si="31"/>
        <v>0</v>
      </c>
      <c r="U103" s="179">
        <v>0</v>
      </c>
      <c r="V103" s="80">
        <f t="shared" si="32"/>
        <v>0</v>
      </c>
      <c r="X103" s="200"/>
    </row>
    <row r="104" spans="1:24" ht="12.75" customHeight="1">
      <c r="A104" s="117" t="s">
        <v>433</v>
      </c>
      <c r="B104" s="1"/>
      <c r="C104" s="179">
        <v>0</v>
      </c>
      <c r="D104" s="80">
        <f t="shared" si="23"/>
        <v>0</v>
      </c>
      <c r="E104" s="179">
        <v>0</v>
      </c>
      <c r="F104" s="80">
        <f t="shared" si="24"/>
        <v>0</v>
      </c>
      <c r="G104" s="179">
        <v>0</v>
      </c>
      <c r="H104" s="80">
        <f t="shared" si="25"/>
        <v>0</v>
      </c>
      <c r="I104" s="179">
        <v>0</v>
      </c>
      <c r="J104" s="80">
        <f t="shared" si="26"/>
        <v>0</v>
      </c>
      <c r="K104" s="179">
        <v>0</v>
      </c>
      <c r="L104" s="80">
        <f t="shared" si="27"/>
        <v>0</v>
      </c>
      <c r="M104" s="179">
        <v>0</v>
      </c>
      <c r="N104" s="80">
        <f t="shared" si="28"/>
        <v>0</v>
      </c>
      <c r="O104" s="179">
        <v>0</v>
      </c>
      <c r="P104" s="80">
        <f t="shared" si="29"/>
        <v>0</v>
      </c>
      <c r="Q104" s="179">
        <v>0</v>
      </c>
      <c r="R104" s="80">
        <f t="shared" si="30"/>
        <v>0</v>
      </c>
      <c r="S104" s="179">
        <v>0</v>
      </c>
      <c r="T104" s="80">
        <f t="shared" si="31"/>
        <v>0</v>
      </c>
      <c r="U104" s="179">
        <v>0</v>
      </c>
      <c r="V104" s="80">
        <f t="shared" si="32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0</v>
      </c>
      <c r="D105" s="83">
        <f t="shared" ref="D105" si="33">IFERROR(C105/C$28,0)</f>
        <v>0</v>
      </c>
      <c r="E105" s="82">
        <f>SUM(E52:E104)</f>
        <v>0</v>
      </c>
      <c r="F105" s="83">
        <f t="shared" ref="F105" si="34">IFERROR(E105/E$28,0)</f>
        <v>0</v>
      </c>
      <c r="G105" s="82">
        <f>SUM(G52:G104)</f>
        <v>193767.22411731558</v>
      </c>
      <c r="H105" s="83">
        <f t="shared" ref="H105" si="35">IFERROR(G105/G$28,0)</f>
        <v>0.10160840278831441</v>
      </c>
      <c r="I105" s="82">
        <f>SUM(I52:I104)</f>
        <v>197736.04984427945</v>
      </c>
      <c r="J105" s="83">
        <f t="shared" ref="J105" si="36">IFERROR(I105/I$28,0)</f>
        <v>0.1016564616656279</v>
      </c>
      <c r="K105" s="82">
        <f>SUM(K52:K104)</f>
        <v>199873.26830771661</v>
      </c>
      <c r="L105" s="83">
        <f t="shared" ref="L105" si="37">IFERROR(K105/K$28,0)</f>
        <v>0.10173783123947128</v>
      </c>
      <c r="M105" s="82">
        <f>SUM(M52:M104)</f>
        <v>202204.12069455869</v>
      </c>
      <c r="N105" s="83">
        <f t="shared" ref="N105" si="38">IFERROR(M105/M$28,0)</f>
        <v>0.10190521026284798</v>
      </c>
      <c r="O105" s="82">
        <f>SUM(O52:O104)</f>
        <v>204568.16968814001</v>
      </c>
      <c r="P105" s="83">
        <f t="shared" ref="P105" si="39">IFERROR(O105/O$28,0)</f>
        <v>0.1020758660450658</v>
      </c>
      <c r="Q105" s="82">
        <f>SUM(Q52:Q104)</f>
        <v>206965.36927990982</v>
      </c>
      <c r="R105" s="83">
        <f t="shared" ref="R105" si="40">IFERROR(Q105/Q$28,0)</f>
        <v>0.10224953055647461</v>
      </c>
      <c r="S105" s="82">
        <f>SUM(S52:S104)</f>
        <v>209395.71004956868</v>
      </c>
      <c r="T105" s="83">
        <f t="shared" ref="T105" si="41">IFERROR(S105/S$28,0)</f>
        <v>0.10242596072478909</v>
      </c>
      <c r="U105" s="82">
        <f>SUM(U52:U104)</f>
        <v>212541.80893744639</v>
      </c>
      <c r="V105" s="83">
        <f t="shared" si="32"/>
        <v>0.10293552052902687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0</v>
      </c>
      <c r="D107" s="83">
        <f>IFERROR(C107/C$28,0)</f>
        <v>0</v>
      </c>
      <c r="E107" s="82">
        <f>E28-E33-E46-E105</f>
        <v>0</v>
      </c>
      <c r="F107" s="83">
        <f>IFERROR(E107/E$28,0)</f>
        <v>0</v>
      </c>
      <c r="G107" s="82">
        <f>G28-G33-G46-G105</f>
        <v>463940.77588268439</v>
      </c>
      <c r="H107" s="83">
        <f>IFERROR(G107/G$28,0)</f>
        <v>0.24328304975494724</v>
      </c>
      <c r="I107" s="82">
        <f>I28-I33-I46-I105</f>
        <v>466624.1861557205</v>
      </c>
      <c r="J107" s="83">
        <f>IFERROR(I107/I$28,0)</f>
        <v>0.23989233996304662</v>
      </c>
      <c r="K107" s="82">
        <f>K28-K33-K46-K105</f>
        <v>461547.31659228343</v>
      </c>
      <c r="L107" s="83">
        <f>IFERROR(K107/K$28,0)</f>
        <v>0.23493298229457965</v>
      </c>
      <c r="M107" s="82">
        <f>M28-M33-M46-M105</f>
        <v>456007.83525794162</v>
      </c>
      <c r="N107" s="83">
        <f>IFERROR(M107/M$28,0)</f>
        <v>0.22981516980883751</v>
      </c>
      <c r="O107" s="82">
        <f>O28-O33-O46-O105</f>
        <v>450157.50015747268</v>
      </c>
      <c r="P107" s="83">
        <f>IFERROR(O107/O$28,0)</f>
        <v>0.22462055927520899</v>
      </c>
      <c r="Q107" s="82">
        <f>Q28-Q33-Q46-Q105</f>
        <v>443987.44145608629</v>
      </c>
      <c r="R107" s="83">
        <f>IFERROR(Q107/Q$28,0)</f>
        <v>0.21934832682301225</v>
      </c>
      <c r="S107" s="82">
        <f>S28-S33-S46-S105</f>
        <v>437488.51009051269</v>
      </c>
      <c r="T107" s="83">
        <f>IFERROR(S107/S$28,0)</f>
        <v>0.21399760740785839</v>
      </c>
      <c r="U107" s="82">
        <f>U28-U33-U46-U105</f>
        <v>429968.68173317955</v>
      </c>
      <c r="V107" s="83">
        <f>IFERROR(U107/U$28,0)</f>
        <v>0.20823691247687787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2">IFERROR(C111/C$28,0)</f>
        <v>0</v>
      </c>
      <c r="E111" s="79">
        <f>E59</f>
        <v>0</v>
      </c>
      <c r="F111" s="80">
        <f t="shared" ref="F111:F116" si="43">IFERROR(E111/E$28,0)</f>
        <v>0</v>
      </c>
      <c r="G111" s="79">
        <f>G59</f>
        <v>0</v>
      </c>
      <c r="H111" s="80">
        <f t="shared" ref="H111:H116" si="44">IFERROR(G111/G$28,0)</f>
        <v>0</v>
      </c>
      <c r="I111" s="79">
        <f>I59</f>
        <v>0</v>
      </c>
      <c r="J111" s="80">
        <f t="shared" ref="J111:J116" si="45">IFERROR(I111/I$28,0)</f>
        <v>0</v>
      </c>
      <c r="K111" s="79">
        <f>K59</f>
        <v>0</v>
      </c>
      <c r="L111" s="80">
        <f t="shared" ref="L111:L116" si="46">IFERROR(K111/K$28,0)</f>
        <v>0</v>
      </c>
      <c r="M111" s="79">
        <f>M59</f>
        <v>0</v>
      </c>
      <c r="N111" s="80">
        <f t="shared" ref="N111:N116" si="47">IFERROR(M111/M$28,0)</f>
        <v>0</v>
      </c>
      <c r="O111" s="79">
        <f>O59</f>
        <v>0</v>
      </c>
      <c r="P111" s="80">
        <f t="shared" ref="P111:P116" si="48">IFERROR(O111/O$28,0)</f>
        <v>0</v>
      </c>
      <c r="Q111" s="79">
        <f>Q59</f>
        <v>0</v>
      </c>
      <c r="R111" s="80">
        <f t="shared" ref="R111:R116" si="49">IFERROR(Q111/Q$28,0)</f>
        <v>0</v>
      </c>
      <c r="S111" s="79">
        <f>S59</f>
        <v>0</v>
      </c>
      <c r="T111" s="80">
        <f t="shared" ref="T111:T116" si="50">IFERROR(S111/S$28,0)</f>
        <v>0</v>
      </c>
      <c r="U111" s="79">
        <f>U59</f>
        <v>0</v>
      </c>
      <c r="V111" s="80">
        <f t="shared" ref="V111:V116" si="51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2"/>
        <v>0</v>
      </c>
      <c r="E112" s="79">
        <f>E62</f>
        <v>0</v>
      </c>
      <c r="F112" s="80">
        <f t="shared" si="43"/>
        <v>0</v>
      </c>
      <c r="G112" s="79">
        <f>G62</f>
        <v>0</v>
      </c>
      <c r="H112" s="80">
        <f t="shared" si="44"/>
        <v>0</v>
      </c>
      <c r="I112" s="79">
        <f>I62</f>
        <v>0</v>
      </c>
      <c r="J112" s="80">
        <f t="shared" si="45"/>
        <v>0</v>
      </c>
      <c r="K112" s="79">
        <f>K62</f>
        <v>0</v>
      </c>
      <c r="L112" s="80">
        <f t="shared" si="46"/>
        <v>0</v>
      </c>
      <c r="M112" s="79">
        <f>M62</f>
        <v>0</v>
      </c>
      <c r="N112" s="80">
        <f t="shared" si="47"/>
        <v>0</v>
      </c>
      <c r="O112" s="79">
        <f>O62</f>
        <v>0</v>
      </c>
      <c r="P112" s="80">
        <f t="shared" si="48"/>
        <v>0</v>
      </c>
      <c r="Q112" s="79">
        <f>Q62</f>
        <v>0</v>
      </c>
      <c r="R112" s="80">
        <f t="shared" si="49"/>
        <v>0</v>
      </c>
      <c r="S112" s="79">
        <f>S62</f>
        <v>0</v>
      </c>
      <c r="T112" s="80">
        <f t="shared" si="50"/>
        <v>0</v>
      </c>
      <c r="U112" s="79">
        <f>U62</f>
        <v>0</v>
      </c>
      <c r="V112" s="80">
        <f t="shared" si="51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2"/>
        <v>0</v>
      </c>
      <c r="E113" s="111">
        <v>0</v>
      </c>
      <c r="F113" s="80">
        <f t="shared" si="43"/>
        <v>0</v>
      </c>
      <c r="G113" s="111">
        <v>0</v>
      </c>
      <c r="H113" s="80">
        <f t="shared" si="44"/>
        <v>0</v>
      </c>
      <c r="I113" s="111">
        <v>0</v>
      </c>
      <c r="J113" s="80">
        <f t="shared" si="45"/>
        <v>0</v>
      </c>
      <c r="K113" s="111">
        <v>0</v>
      </c>
      <c r="L113" s="80">
        <f t="shared" si="46"/>
        <v>0</v>
      </c>
      <c r="M113" s="111">
        <v>0</v>
      </c>
      <c r="N113" s="80">
        <f t="shared" si="47"/>
        <v>0</v>
      </c>
      <c r="O113" s="111">
        <v>0</v>
      </c>
      <c r="P113" s="80">
        <f t="shared" si="48"/>
        <v>0</v>
      </c>
      <c r="Q113" s="111">
        <v>0</v>
      </c>
      <c r="R113" s="80">
        <f t="shared" si="49"/>
        <v>0</v>
      </c>
      <c r="S113" s="111">
        <v>0</v>
      </c>
      <c r="T113" s="80">
        <f t="shared" si="50"/>
        <v>0</v>
      </c>
      <c r="U113" s="111">
        <v>0</v>
      </c>
      <c r="V113" s="80">
        <f t="shared" si="51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2"/>
        <v>0</v>
      </c>
      <c r="E114" s="111">
        <v>0</v>
      </c>
      <c r="F114" s="80">
        <f t="shared" si="43"/>
        <v>0</v>
      </c>
      <c r="G114" s="111">
        <v>0</v>
      </c>
      <c r="H114" s="80">
        <f t="shared" si="44"/>
        <v>0</v>
      </c>
      <c r="I114" s="111">
        <v>0</v>
      </c>
      <c r="J114" s="80">
        <f t="shared" si="45"/>
        <v>0</v>
      </c>
      <c r="K114" s="111">
        <v>0</v>
      </c>
      <c r="L114" s="80">
        <f t="shared" si="46"/>
        <v>0</v>
      </c>
      <c r="M114" s="111">
        <v>0</v>
      </c>
      <c r="N114" s="80">
        <f t="shared" si="47"/>
        <v>0</v>
      </c>
      <c r="O114" s="111">
        <v>0</v>
      </c>
      <c r="P114" s="80">
        <f t="shared" si="48"/>
        <v>0</v>
      </c>
      <c r="Q114" s="111">
        <v>0</v>
      </c>
      <c r="R114" s="80">
        <f t="shared" si="49"/>
        <v>0</v>
      </c>
      <c r="S114" s="111">
        <v>0</v>
      </c>
      <c r="T114" s="80">
        <f t="shared" si="50"/>
        <v>0</v>
      </c>
      <c r="U114" s="111">
        <v>0</v>
      </c>
      <c r="V114" s="80">
        <f t="shared" si="51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2"/>
        <v>0</v>
      </c>
      <c r="E115" s="112">
        <v>0</v>
      </c>
      <c r="F115" s="80">
        <f t="shared" si="43"/>
        <v>0</v>
      </c>
      <c r="G115" s="112">
        <v>0</v>
      </c>
      <c r="H115" s="80">
        <f t="shared" si="44"/>
        <v>0</v>
      </c>
      <c r="I115" s="112">
        <v>0</v>
      </c>
      <c r="J115" s="80">
        <f t="shared" si="45"/>
        <v>0</v>
      </c>
      <c r="K115" s="112">
        <v>0</v>
      </c>
      <c r="L115" s="80">
        <f t="shared" si="46"/>
        <v>0</v>
      </c>
      <c r="M115" s="112">
        <v>0</v>
      </c>
      <c r="N115" s="80">
        <f t="shared" si="47"/>
        <v>0</v>
      </c>
      <c r="O115" s="112">
        <v>0</v>
      </c>
      <c r="P115" s="80">
        <f t="shared" si="48"/>
        <v>0</v>
      </c>
      <c r="Q115" s="112">
        <v>0</v>
      </c>
      <c r="R115" s="80">
        <f t="shared" si="49"/>
        <v>0</v>
      </c>
      <c r="S115" s="112">
        <v>0</v>
      </c>
      <c r="T115" s="80">
        <f t="shared" si="50"/>
        <v>0</v>
      </c>
      <c r="U115" s="112">
        <v>0</v>
      </c>
      <c r="V115" s="80">
        <f t="shared" si="51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2"/>
        <v>0</v>
      </c>
      <c r="E116" s="85">
        <f>SUM(E111:E115)</f>
        <v>0</v>
      </c>
      <c r="F116" s="83">
        <f t="shared" si="43"/>
        <v>0</v>
      </c>
      <c r="G116" s="85">
        <f>SUM(G111:G115)</f>
        <v>0</v>
      </c>
      <c r="H116" s="83">
        <f t="shared" si="44"/>
        <v>0</v>
      </c>
      <c r="I116" s="85">
        <f>SUM(I111:I115)</f>
        <v>0</v>
      </c>
      <c r="J116" s="83">
        <f t="shared" si="45"/>
        <v>0</v>
      </c>
      <c r="K116" s="85">
        <f>SUM(K111:K115)</f>
        <v>0</v>
      </c>
      <c r="L116" s="83">
        <f t="shared" si="46"/>
        <v>0</v>
      </c>
      <c r="M116" s="85">
        <f>SUM(M111:M115)</f>
        <v>0</v>
      </c>
      <c r="N116" s="83">
        <f t="shared" si="47"/>
        <v>0</v>
      </c>
      <c r="O116" s="85">
        <f>SUM(O111:O115)</f>
        <v>0</v>
      </c>
      <c r="P116" s="83">
        <f t="shared" si="48"/>
        <v>0</v>
      </c>
      <c r="Q116" s="85">
        <f>SUM(Q111:Q115)</f>
        <v>0</v>
      </c>
      <c r="R116" s="83">
        <f t="shared" si="49"/>
        <v>0</v>
      </c>
      <c r="S116" s="85">
        <f>SUM(S111:S115)</f>
        <v>0</v>
      </c>
      <c r="T116" s="83">
        <f t="shared" si="50"/>
        <v>0</v>
      </c>
      <c r="U116" s="85">
        <f>SUM(U111:U115)</f>
        <v>0</v>
      </c>
      <c r="V116" s="83">
        <f t="shared" si="51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7" tint="-0.249977111117893"/>
  </sheetPr>
  <dimension ref="A1:V119"/>
  <sheetViews>
    <sheetView topLeftCell="A19" zoomScale="78" zoomScaleNormal="78" workbookViewId="0" xr3:uid="{762215AB-03FA-5155-B868-AA11ECFE6524}">
      <selection activeCell="B26" sqref="B26"/>
    </sheetView>
  </sheetViews>
  <sheetFormatPr defaultColWidth="9.140625" defaultRowHeight="12.75" customHeight="1"/>
  <cols>
    <col min="1" max="1" width="9.5703125" style="2" customWidth="1"/>
    <col min="2" max="2" width="43.42578125" style="2" customWidth="1"/>
    <col min="3" max="3" width="15.140625" style="2" customWidth="1"/>
    <col min="4" max="4" width="8.7109375" style="2" customWidth="1"/>
    <col min="5" max="5" width="16" style="2" customWidth="1"/>
    <col min="6" max="6" width="8.7109375" style="2" customWidth="1"/>
    <col min="7" max="7" width="16.5703125" style="2" customWidth="1"/>
    <col min="8" max="8" width="8.7109375" style="2" customWidth="1"/>
    <col min="9" max="9" width="19.4257812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499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500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58"/>
      <c r="H3" s="159"/>
      <c r="I3" s="159"/>
      <c r="V3" s="32"/>
    </row>
    <row r="4" spans="1:22" ht="12.75" customHeight="1">
      <c r="A4" s="1" t="s">
        <v>346</v>
      </c>
      <c r="B4" s="129" t="s">
        <v>220</v>
      </c>
      <c r="D4" s="118" t="s">
        <v>347</v>
      </c>
      <c r="G4" s="158"/>
      <c r="H4" s="159"/>
      <c r="I4" s="159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89" t="s">
        <v>348</v>
      </c>
      <c r="B7" s="89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</row>
    <row r="8" spans="1:22" ht="12.75" customHeight="1">
      <c r="A8" s="90" t="s">
        <v>349</v>
      </c>
      <c r="B8" s="90"/>
      <c r="C8" s="91"/>
      <c r="D8" s="90"/>
      <c r="E8" s="91"/>
      <c r="F8" s="90"/>
      <c r="G8" s="91"/>
      <c r="H8" s="90"/>
      <c r="I8" s="91"/>
      <c r="J8" s="90"/>
      <c r="K8" s="91"/>
      <c r="L8" s="90"/>
      <c r="M8" s="91"/>
      <c r="N8" s="90"/>
      <c r="O8" s="91"/>
      <c r="P8" s="90"/>
      <c r="Q8" s="91"/>
      <c r="R8" s="90"/>
      <c r="S8" s="91"/>
      <c r="T8" s="90"/>
      <c r="U8" s="91"/>
      <c r="V8" s="90"/>
    </row>
    <row r="9" spans="1:22" ht="12.75" customHeight="1">
      <c r="A9" s="90"/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</row>
    <row r="10" spans="1:22" ht="12.75" customHeight="1">
      <c r="A10" s="90" t="s">
        <v>449</v>
      </c>
      <c r="B10" s="90"/>
      <c r="C10" s="91"/>
      <c r="D10" s="90"/>
      <c r="E10" s="91"/>
      <c r="F10" s="90"/>
      <c r="G10" s="91"/>
      <c r="H10" s="90"/>
      <c r="I10" s="91"/>
      <c r="J10" s="90"/>
      <c r="K10" s="91"/>
      <c r="L10" s="90"/>
      <c r="M10" s="91"/>
      <c r="N10" s="90"/>
      <c r="O10" s="91"/>
      <c r="P10" s="90"/>
      <c r="Q10" s="91"/>
      <c r="R10" s="90"/>
      <c r="S10" s="91"/>
      <c r="T10" s="90"/>
      <c r="U10" s="91"/>
      <c r="V10" s="90"/>
    </row>
    <row r="11" spans="1:22" ht="12.75" customHeight="1">
      <c r="A11" s="90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1:22" ht="12.75" customHeight="1">
      <c r="A12" s="90" t="s">
        <v>450</v>
      </c>
      <c r="B12" s="90"/>
      <c r="C12" s="92"/>
      <c r="D12" s="90"/>
      <c r="E12" s="92"/>
      <c r="F12" s="90"/>
      <c r="G12" s="92"/>
      <c r="H12" s="90"/>
      <c r="I12" s="92"/>
      <c r="J12" s="90"/>
      <c r="K12" s="92"/>
      <c r="L12" s="90"/>
      <c r="M12" s="92"/>
      <c r="N12" s="90"/>
      <c r="O12" s="92"/>
      <c r="P12" s="90"/>
      <c r="Q12" s="92"/>
      <c r="R12" s="90"/>
      <c r="S12" s="92"/>
      <c r="T12" s="90"/>
      <c r="U12" s="92"/>
      <c r="V12" s="90"/>
    </row>
    <row r="13" spans="1:22" ht="12.75" customHeight="1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1:22" ht="12.75" customHeight="1">
      <c r="A14" s="90" t="s">
        <v>451</v>
      </c>
      <c r="B14" s="90"/>
      <c r="C14" s="124">
        <f>C12*C10*C8</f>
        <v>0</v>
      </c>
      <c r="D14" s="90"/>
      <c r="E14" s="124">
        <f>E12*E10*E8</f>
        <v>0</v>
      </c>
      <c r="F14" s="90"/>
      <c r="G14" s="124">
        <f>G12*G10*G8</f>
        <v>0</v>
      </c>
      <c r="H14" s="90"/>
      <c r="I14" s="124">
        <f>I12*I10*I8</f>
        <v>0</v>
      </c>
      <c r="J14" s="90"/>
      <c r="K14" s="124">
        <f>K12*K10*K8</f>
        <v>0</v>
      </c>
      <c r="L14" s="90"/>
      <c r="M14" s="124">
        <f>M12*M10*M8</f>
        <v>0</v>
      </c>
      <c r="N14" s="90"/>
      <c r="O14" s="124">
        <f>O12*O10*O8</f>
        <v>0</v>
      </c>
      <c r="P14" s="90"/>
      <c r="Q14" s="124">
        <f>Q12*Q10*Q8</f>
        <v>0</v>
      </c>
      <c r="R14" s="90"/>
      <c r="S14" s="124">
        <f>S12*S10*S8</f>
        <v>0</v>
      </c>
      <c r="T14" s="90"/>
      <c r="U14" s="124">
        <f>U12*U10*U8</f>
        <v>0</v>
      </c>
      <c r="V14" s="90"/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2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2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</row>
    <row r="19" spans="1:22" ht="12.75" customHeight="1">
      <c r="A19" s="2" t="s">
        <v>356</v>
      </c>
      <c r="B19" s="35"/>
      <c r="C19" s="79">
        <f>'POD Breezeway'!C19+'Express GL'!C19+'Starbucks GL-SBX Truck'!C19+'Miro''s'!C19+'Faculty Club'!C19+'Almazar  &amp; Brand X'!C19+'Burger King'!C19+Bustelo!C19+Chilis!C19+Einstein!C19+Jamba!C19+'Pollo Tropical'!C19+'Subway GC'!C19+'Sushi Maki'!C19+Panda!C19+'Starbucks Mango'!C19+'Taco Bell'!C19+'Chick-fil-A'!C19+Dunkin!C19+Chipotle!C19+Sergios!C19+'Moes PG5'!C19+'Papa Johns'!C19+Salad!C19+'Half Moon &amp; Tropical Smoothie'!C19+'Athletic Concessions - Kitchen'!C19+'Starbucks BBC'!C19+'Moes BBC'!C19+'Grille Works BBC'!C19+'Subway BBC'!C19+'Market Pavillion'!C19+'Chic Fil A BBC'!C19+Panera!C19+'Heritage Market'!C19</f>
        <v>13475534.969915997</v>
      </c>
      <c r="D19" s="80">
        <f>IFERROR(C19/C$28,0)</f>
        <v>0.84779522205683855</v>
      </c>
      <c r="E19" s="79">
        <f>'POD Breezeway'!E19+'Express GL'!E19+'Starbucks GL-SBX Truck'!E19+'Miro''s'!E19+'Faculty Club'!E19+'Almazar  &amp; Brand X'!E19+'Burger King'!E19+Bustelo!E19+Chilis!E19+Einstein!E19+Jamba!E19+'Pollo Tropical'!E19+'Subway GC'!E19+'Sushi Maki'!E19+Panda!E19+'Starbucks Mango'!E19+'Taco Bell'!E19+'Chick-fil-A'!E19+Dunkin!E19+Chipotle!E19+Sergios!E19+'Moes PG5'!E19+'Papa Johns'!E19+Salad!E19+'Half Moon &amp; Tropical Smoothie'!E19+'Athletic Concessions - Kitchen'!E19+'Starbucks BBC'!E19+'Moes BBC'!E19+'Grille Works BBC'!E19+'Subway BBC'!E19+'Market Pavillion'!E19+'Chic Fil A BBC'!E19+Panera!E19+'Heritage Market'!E19</f>
        <v>8040676.2999999998</v>
      </c>
      <c r="F19" s="80">
        <f>IFERROR(E19/E$28,0)</f>
        <v>0.46406169308248407</v>
      </c>
      <c r="G19" s="79">
        <f>'POD Breezeway'!G19+'Express GL'!G19+'Starbucks GL-SBX Truck'!G19+'Miro''s'!G19+'Faculty Club'!G19+'Almazar  &amp; Brand X'!G19+'Burger King'!G19+Bustelo!G19+Chilis!G19+Einstein!G19+Jamba!G19+'Pollo Tropical'!G19+'Subway GC'!G19+'Sushi Maki'!G19+Panda!G19+'Starbucks Mango'!G19+'Taco Bell'!G19+'Chick-fil-A'!G19+Dunkin!G19+Chipotle!G19+Sergios!G19+'Moes PG5'!G19+'Papa Johns'!G19+Salad!G19+'Half Moon &amp; Tropical Smoothie'!G19+'Athletic Concessions - Kitchen'!G19+'Starbucks BBC'!G19+'Moes BBC'!G19+'Grille Works BBC'!G19+'Subway BBC'!G19+'Market Pavillion'!G19+'Chic Fil A BBC'!G19+Panera!G19+'Heritage Market'!G19</f>
        <v>10143247.915999997</v>
      </c>
      <c r="H19" s="80">
        <f>IFERROR(G19/G$28,0)</f>
        <v>0.53048573701861779</v>
      </c>
      <c r="I19" s="79">
        <f>'POD Breezeway'!I19+'Express GL'!I19+'Starbucks GL-SBX Truck'!I19+'Miro''s'!I19+'Faculty Club'!I19+'Almazar  &amp; Brand X'!I19+'Burger King'!I19+Bustelo!I19+Chilis!I19+Einstein!I19+Jamba!I19+'Pollo Tropical'!I19+'Subway GC'!I19+'Sushi Maki'!I19+Panda!I19+'Starbucks Mango'!I19+'Taco Bell'!I19+'Chick-fil-A'!I19+Dunkin!I19+Chipotle!I19+Sergios!I19+'Moes PG5'!I19+'Papa Johns'!I19+Salad!I19+'Half Moon &amp; Tropical Smoothie'!I19+'Athletic Concessions - Kitchen'!I19+'Starbucks BBC'!I19+'Moes BBC'!I19+'Grille Works BBC'!I19+'Subway BBC'!I19+'Market Pavillion'!I19+'Chic Fil A BBC'!I19+Panera!I19+'Heritage Market'!I19</f>
        <v>10355197.474319998</v>
      </c>
      <c r="J19" s="80">
        <f>IFERROR(I19/I$28,0)</f>
        <v>0.53070433636074932</v>
      </c>
      <c r="K19" s="79">
        <f>'POD Breezeway'!K19+'Express GL'!K19+'Starbucks GL-SBX Truck'!K19+'Miro''s'!K19+'Faculty Club'!K19+'Almazar  &amp; Brand X'!K19+'Burger King'!K19+Bustelo!K19+Chilis!K19+Einstein!K19+Jamba!K19+'Pollo Tropical'!K19+'Subway GC'!K19+'Sushi Maki'!K19+Panda!K19+'Starbucks Mango'!K19+'Taco Bell'!K19+'Chick-fil-A'!K19+Dunkin!K19+Chipotle!K19+Sergios!K19+'Moes PG5'!K19+'Papa Johns'!K19+Salad!K19+'Half Moon &amp; Tropical Smoothie'!K19+'Athletic Concessions - Kitchen'!K19+'Starbucks BBC'!K19+'Moes BBC'!K19+'Grille Works BBC'!K19+'Subway BBC'!K19+'Market Pavillion'!K19+'Chic Fil A BBC'!K19+Panera!K19+'Heritage Market'!K19</f>
        <v>10524649.4858064</v>
      </c>
      <c r="L19" s="80">
        <f>IFERROR(K19/K$28,0)</f>
        <v>0.52981482736714536</v>
      </c>
      <c r="M19" s="79">
        <f>'POD Breezeway'!M19+'Express GL'!M19+'Starbucks GL-SBX Truck'!M19+'Miro''s'!M19+'Faculty Club'!M19+'Almazar  &amp; Brand X'!M19+'Burger King'!M19+Bustelo!M19+Chilis!M19+Einstein!M19+Jamba!M19+'Pollo Tropical'!M19+'Subway GC'!M19+'Sushi Maki'!M19+Panda!M19+'Starbucks Mango'!M19+'Taco Bell'!M19+'Chick-fil-A'!M19+Dunkin!M19+Chipotle!M19+Sergios!M19+'Moes PG5'!M19+'Papa Johns'!M19+Salad!M19+'Half Moon &amp; Tropical Smoothie'!M19+'Athletic Concessions - Kitchen'!M19+'Starbucks BBC'!M19+'Moes BBC'!M19+'Grille Works BBC'!M19+'Subway BBC'!M19+'Market Pavillion'!M19+'Chic Fil A BBC'!M19+Panera!M19+'Heritage Market'!M19</f>
        <v>10697114.018142525</v>
      </c>
      <c r="N19" s="80">
        <f>IFERROR(M19/M$28,0)</f>
        <v>0.52893071025474758</v>
      </c>
      <c r="O19" s="79">
        <f>'POD Breezeway'!O19+'Express GL'!O19+'Starbucks GL-SBX Truck'!O19+'Miro''s'!O19+'Faculty Club'!O19+'Almazar  &amp; Brand X'!O19+'Burger King'!O19+Bustelo!O19+Chilis!O19+Einstein!O19+Jamba!O19+'Pollo Tropical'!O19+'Subway GC'!O19+'Sushi Maki'!O19+Panda!O19+'Starbucks Mango'!O19+'Taco Bell'!O19+'Chick-fil-A'!O19+Dunkin!O19+Chipotle!O19+Sergios!O19+'Moes PG5'!O19+'Papa Johns'!O19+Salad!O19+'Half Moon &amp; Tropical Smoothie'!O19+'Athletic Concessions - Kitchen'!O19+'Starbucks BBC'!O19+'Moes BBC'!O19+'Grille Works BBC'!O19+'Subway BBC'!O19+'Market Pavillion'!O19+'Chic Fil A BBC'!O19+Panera!O19+'Heritage Market'!O19</f>
        <v>10872647.556551578</v>
      </c>
      <c r="P19" s="80">
        <f>IFERROR(O19/O$28,0)</f>
        <v>0.52805197866597142</v>
      </c>
      <c r="Q19" s="79">
        <f>'POD Breezeway'!Q19+'Express GL'!Q19+'Starbucks GL-SBX Truck'!Q19+'Miro''s'!Q19+'Faculty Club'!Q19+'Almazar  &amp; Brand X'!Q19+'Burger King'!Q19+Bustelo!Q19+Chilis!Q19+Einstein!Q19+Jamba!Q19+'Pollo Tropical'!Q19+'Subway GC'!Q19+'Sushi Maki'!Q19+Panda!Q19+'Starbucks Mango'!Q19+'Taco Bell'!Q19+'Chick-fil-A'!Q19+Dunkin!Q19+Chipotle!Q19+Sergios!Q19+'Moes PG5'!Q19+'Papa Johns'!Q19+Salad!Q19+'Half Moon &amp; Tropical Smoothie'!Q19+'Athletic Concessions - Kitchen'!Q19+'Starbucks BBC'!Q19+'Moes BBC'!Q19+'Grille Works BBC'!Q19+'Subway BBC'!Q19+'Market Pavillion'!Q19+'Chic Fil A BBC'!Q19+Panera!Q19+'Heritage Market'!Q19</f>
        <v>11051307.678309271</v>
      </c>
      <c r="R19" s="80">
        <f>IFERROR(Q19/Q$28,0)</f>
        <v>0.52717862580088393</v>
      </c>
      <c r="S19" s="79">
        <f>'POD Breezeway'!S19+'Express GL'!S19+'Starbucks GL-SBX Truck'!S19+'Miro''s'!S19+'Faculty Club'!S19+'Almazar  &amp; Brand X'!S19+'Burger King'!S19+Bustelo!S19+Chilis!S19+Einstein!S19+Jamba!S19+'Pollo Tropical'!S19+'Subway GC'!S19+'Sushi Maki'!S19+Panda!S19+'Starbucks Mango'!S19+'Taco Bell'!S19+'Chick-fil-A'!S19+Dunkin!S19+Chipotle!S19+Sergios!S19+'Moes PG5'!S19+'Papa Johns'!S19+Salad!S19+'Half Moon &amp; Tropical Smoothie'!S19+'Athletic Concessions - Kitchen'!S19+'Starbucks BBC'!S19+'Moes BBC'!S19+'Grille Works BBC'!S19+'Subway BBC'!S19+'Market Pavillion'!S19+'Chic Fil A BBC'!S19+Panera!S19+'Heritage Market'!S19</f>
        <v>11233153.074208386</v>
      </c>
      <c r="T19" s="80">
        <f>IFERROR(S19/S$28,0)</f>
        <v>0.52631064442364695</v>
      </c>
      <c r="U19" s="79">
        <f>'POD Breezeway'!U19+'Express GL'!U19+'Starbucks GL-SBX Truck'!U19+'Miro''s'!U19+'Faculty Club'!U19+'Almazar  &amp; Brand X'!U19+'Burger King'!U19+Bustelo!U19+Chilis!U19+Einstein!U19+Jamba!U19+'Pollo Tropical'!U19+'Subway GC'!U19+'Sushi Maki'!U19+Panda!U19+'Starbucks Mango'!U19+'Taco Bell'!U19+'Chick-fil-A'!U19+Dunkin!U19+Chipotle!U19+Sergios!U19+'Moes PG5'!U19+'Papa Johns'!U19+Salad!U19+'Half Moon &amp; Tropical Smoothie'!U19+'Athletic Concessions - Kitchen'!U19+'Starbucks BBC'!U19+'Moes BBC'!U19+'Grille Works BBC'!U19+'Subway BBC'!U19+'Market Pavillion'!U19+'Chic Fil A BBC'!U19+Panera!U19+'Heritage Market'!U19</f>
        <v>12181916.065647002</v>
      </c>
      <c r="V19" s="80">
        <f>IFERROR(U19/U$28,0)</f>
        <v>0.54155897453695112</v>
      </c>
    </row>
    <row r="20" spans="1:22" ht="12.75" customHeight="1">
      <c r="A20" s="2" t="s">
        <v>357</v>
      </c>
      <c r="B20" s="35"/>
      <c r="C20" s="79">
        <f>'POD Breezeway'!C20+'Express GL'!C20+'Starbucks GL-SBX Truck'!C20+'Miro''s'!C20+'Faculty Club'!C20+'Almazar  &amp; Brand X'!C20+'Burger King'!C20+Bustelo!C20+Chilis!C20+Einstein!C20+Jamba!C20+'Pollo Tropical'!C20+'Subway GC'!C20+'Sushi Maki'!C20+Panda!C20+'Starbucks Mango'!C20+'Taco Bell'!C20+'Chick-fil-A'!C20+Dunkin!C20+Chipotle!C20+Sergios!C20+'Moes PG5'!C20+'Papa Johns'!C20+Salad!C20+'Half Moon &amp; Tropical Smoothie'!C20+'Athletic Concessions - Kitchen'!C20+'Starbucks BBC'!C20+'Moes BBC'!C20+'Grille Works BBC'!C20+'Subway BBC'!C20+'Market Pavillion'!C20+'Chic Fil A BBC'!C20+Panera!C20+'Heritage Market'!C20</f>
        <v>1924817.5632439996</v>
      </c>
      <c r="D20" s="80">
        <f>IFERROR(C20/C$28,0)</f>
        <v>0.12109731725623075</v>
      </c>
      <c r="E20" s="79">
        <f>'POD Breezeway'!E20+'Express GL'!E20+'Starbucks GL-SBX Truck'!E20+'Miro''s'!E20+'Faculty Club'!E20+'Almazar  &amp; Brand X'!E20+'Burger King'!E20+Bustelo!E20+Chilis!E20+Einstein!E20+Jamba!E20+'Pollo Tropical'!E20+'Subway GC'!E20+'Sushi Maki'!E20+Panda!E20+'Starbucks Mango'!E20+'Taco Bell'!E20+'Chick-fil-A'!E20+Dunkin!E20+Chipotle!E20+Sergios!E20+'Moes PG5'!E20+'Papa Johns'!E20+Salad!E20+'Half Moon &amp; Tropical Smoothie'!E20+'Athletic Concessions - Kitchen'!E20+'Starbucks BBC'!E20+'Moes BBC'!E20+'Grille Works BBC'!E20+'Subway BBC'!E20+'Market Pavillion'!E20+'Chic Fil A BBC'!E20+Panera!E20+'Heritage Market'!E20</f>
        <v>8788355.6999999993</v>
      </c>
      <c r="F20" s="80">
        <f>IFERROR(E20/E$28,0)</f>
        <v>0.507213457349738</v>
      </c>
      <c r="G20" s="79">
        <f>'POD Breezeway'!G20+'Express GL'!G20+'Starbucks GL-SBX Truck'!G20+'Miro''s'!G20+'Faculty Club'!G20+'Almazar  &amp; Brand X'!G20+'Burger King'!G20+Bustelo!G20+Chilis!G20+Einstein!G20+Jamba!G20+'Pollo Tropical'!G20+'Subway GC'!G20+'Sushi Maki'!G20+Panda!G20+'Starbucks Mango'!G20+'Taco Bell'!G20+'Chick-fil-A'!G20+Dunkin!G20+Chipotle!G20+Sergios!G20+'Moes PG5'!G20+'Papa Johns'!G20+Salad!G20+'Half Moon &amp; Tropical Smoothie'!G20+'Athletic Concessions - Kitchen'!G20+'Starbucks BBC'!G20+'Moes BBC'!G20+'Grille Works BBC'!G20+'Subway BBC'!G20+'Market Pavillion'!G20+'Chic Fil A BBC'!G20+Panera!G20+'Heritage Market'!G20</f>
        <v>8501778.4640000015</v>
      </c>
      <c r="H20" s="80">
        <f>IFERROR(G20/G$28,0)</f>
        <v>0.44463787652570813</v>
      </c>
      <c r="I20" s="79">
        <f>'POD Breezeway'!I20+'Express GL'!I20+'Starbucks GL-SBX Truck'!I20+'Miro''s'!I20+'Faculty Club'!I20+'Almazar  &amp; Brand X'!I20+'Burger King'!I20+Bustelo!I20+Chilis!I20+Einstein!I20+Jamba!I20+'Pollo Tropical'!I20+'Subway GC'!I20+'Sushi Maki'!I20+Panda!I20+'Starbucks Mango'!I20+'Taco Bell'!I20+'Chick-fil-A'!I20+Dunkin!I20+Chipotle!I20+Sergios!I20+'Moes PG5'!I20+'Papa Johns'!I20+Salad!I20+'Half Moon &amp; Tropical Smoothie'!I20+'Athletic Concessions - Kitchen'!I20+'Starbucks BBC'!I20+'Moes BBC'!I20+'Grille Works BBC'!I20+'Subway BBC'!I20+'Market Pavillion'!I20+'Chic Fil A BBC'!I20+Panera!I20+'Heritage Market'!I20</f>
        <v>8671814.033280002</v>
      </c>
      <c r="J20" s="80">
        <f>IFERROR(I20/I$28,0)</f>
        <v>0.44443085928478737</v>
      </c>
      <c r="K20" s="79">
        <f>'POD Breezeway'!K20+'Express GL'!K20+'Starbucks GL-SBX Truck'!K20+'Miro''s'!K20+'Faculty Club'!K20+'Almazar  &amp; Brand X'!K20+'Burger King'!K20+Bustelo!K20+Chilis!K20+Einstein!K20+Jamba!K20+'Pollo Tropical'!K20+'Subway GC'!K20+'Sushi Maki'!K20+Panda!K20+'Starbucks Mango'!K20+'Taco Bell'!K20+'Chick-fil-A'!K20+Dunkin!K20+Chipotle!K20+Sergios!K20+'Moes PG5'!K20+'Papa Johns'!K20+Salad!K20+'Half Moon &amp; Tropical Smoothie'!K20+'Athletic Concessions - Kitchen'!K20+'Starbucks BBC'!K20+'Moes BBC'!K20+'Grille Works BBC'!K20+'Subway BBC'!K20+'Market Pavillion'!K20+'Chic Fil A BBC'!K20+Panera!K20+'Heritage Market'!K20</f>
        <v>8845250.3139456008</v>
      </c>
      <c r="L20" s="80">
        <f>IFERROR(K20/K$28,0)</f>
        <v>0.44527323921070316</v>
      </c>
      <c r="M20" s="79">
        <f>'POD Breezeway'!M20+'Express GL'!M20+'Starbucks GL-SBX Truck'!M20+'Miro''s'!M20+'Faculty Club'!M20+'Almazar  &amp; Brand X'!M20+'Burger King'!M20+Bustelo!M20+Chilis!M20+Einstein!M20+Jamba!M20+'Pollo Tropical'!M20+'Subway GC'!M20+'Sushi Maki'!M20+Panda!M20+'Starbucks Mango'!M20+'Taco Bell'!M20+'Chick-fil-A'!M20+Dunkin!M20+Chipotle!M20+Sergios!M20+'Moes PG5'!M20+'Papa Johns'!M20+Salad!M20+'Half Moon &amp; Tropical Smoothie'!M20+'Athletic Concessions - Kitchen'!M20+'Starbucks BBC'!M20+'Moes BBC'!M20+'Grille Works BBC'!M20+'Subway BBC'!M20+'Market Pavillion'!M20+'Chic Fil A BBC'!M20+Panera!M20+'Heritage Market'!M20</f>
        <v>9022155.3202245142</v>
      </c>
      <c r="N20" s="80">
        <f>IFERROR(M20/M$28,0)</f>
        <v>0.44611051293474396</v>
      </c>
      <c r="O20" s="79">
        <f>'POD Breezeway'!O20+'Express GL'!O20+'Starbucks GL-SBX Truck'!O20+'Miro''s'!O20+'Faculty Club'!O20+'Almazar  &amp; Brand X'!O20+'Burger King'!O20+Bustelo!O20+Chilis!O20+Einstein!O20+Jamba!O20+'Pollo Tropical'!O20+'Subway GC'!O20+'Sushi Maki'!O20+Panda!O20+'Starbucks Mango'!O20+'Taco Bell'!O20+'Chick-fil-A'!O20+Dunkin!O20+Chipotle!O20+Sergios!O20+'Moes PG5'!O20+'Papa Johns'!O20+Salad!O20+'Half Moon &amp; Tropical Smoothie'!O20+'Athletic Concessions - Kitchen'!O20+'Starbucks BBC'!O20+'Moes BBC'!O20+'Grille Works BBC'!O20+'Subway BBC'!O20+'Market Pavillion'!O20+'Chic Fil A BBC'!O20+Panera!O20+'Heritage Market'!O20</f>
        <v>9202598.4266290031</v>
      </c>
      <c r="P20" s="80">
        <f>IFERROR(O20/O$28,0)</f>
        <v>0.44694268647764834</v>
      </c>
      <c r="Q20" s="79">
        <f>'POD Breezeway'!Q20+'Express GL'!Q20+'Starbucks GL-SBX Truck'!Q20+'Miro''s'!Q20+'Faculty Club'!Q20+'Almazar  &amp; Brand X'!Q20+'Burger King'!Q20+Bustelo!Q20+Chilis!Q20+Einstein!Q20+Jamba!Q20+'Pollo Tropical'!Q20+'Subway GC'!Q20+'Sushi Maki'!Q20+Panda!Q20+'Starbucks Mango'!Q20+'Taco Bell'!Q20+'Chick-fil-A'!Q20+Dunkin!Q20+Chipotle!Q20+Sergios!Q20+'Moes PG5'!Q20+'Papa Johns'!Q20+Salad!Q20+'Half Moon &amp; Tropical Smoothie'!Q20+'Athletic Concessions - Kitchen'!Q20+'Starbucks BBC'!Q20+'Moes BBC'!Q20+'Grille Works BBC'!Q20+'Subway BBC'!Q20+'Market Pavillion'!Q20+'Chic Fil A BBC'!Q20+Panera!Q20+'Heritage Market'!Q20</f>
        <v>9386650.395161584</v>
      </c>
      <c r="R20" s="80">
        <f>IFERROR(Q20/Q$28,0)</f>
        <v>0.44776976627906762</v>
      </c>
      <c r="S20" s="79">
        <f>'POD Breezeway'!S20+'Express GL'!S20+'Starbucks GL-SBX Truck'!S20+'Miro''s'!S20+'Faculty Club'!S20+'Almazar  &amp; Brand X'!S20+'Burger King'!S20+Bustelo!S20+Chilis!S20+Einstein!S20+Jamba!S20+'Pollo Tropical'!S20+'Subway GC'!S20+'Sushi Maki'!S20+Panda!S20+'Starbucks Mango'!S20+'Taco Bell'!S20+'Chick-fil-A'!S20+Dunkin!S20+Chipotle!S20+Sergios!S20+'Moes PG5'!S20+'Papa Johns'!S20+Salad!S20+'Half Moon &amp; Tropical Smoothie'!S20+'Athletic Concessions - Kitchen'!S20+'Starbucks BBC'!S20+'Moes BBC'!S20+'Grille Works BBC'!S20+'Subway BBC'!S20+'Market Pavillion'!S20+'Chic Fil A BBC'!S20+Panera!S20+'Heritage Market'!S20</f>
        <v>9574383.4030648153</v>
      </c>
      <c r="T20" s="80">
        <f>IFERROR(S20/S$28,0)</f>
        <v>0.44859175919146144</v>
      </c>
      <c r="U20" s="79">
        <f>'POD Breezeway'!U20+'Express GL'!U20+'Starbucks GL-SBX Truck'!U20+'Miro''s'!U20+'Faculty Club'!U20+'Almazar  &amp; Brand X'!U20+'Burger King'!U20+Bustelo!U20+Chilis!U20+Einstein!U20+Jamba!U20+'Pollo Tropical'!U20+'Subway GC'!U20+'Sushi Maki'!U20+Panda!U20+'Starbucks Mango'!U20+'Taco Bell'!U20+'Chick-fil-A'!U20+Dunkin!U20+Chipotle!U20+Sergios!U20+'Moes PG5'!U20+'Papa Johns'!U20+Salad!U20+'Half Moon &amp; Tropical Smoothie'!U20+'Athletic Concessions - Kitchen'!U20+'Starbucks BBC'!U20+'Moes BBC'!U20+'Grille Works BBC'!U20+'Subway BBC'!U20+'Market Pavillion'!U20+'Chic Fil A BBC'!U20+Panera!U20+'Heritage Market'!U20</f>
        <v>9765871.0711261127</v>
      </c>
      <c r="V20" s="80">
        <f>IFERROR(U20/U$28,0)</f>
        <v>0.43415133499840258</v>
      </c>
    </row>
    <row r="21" spans="1:22" ht="12.75" customHeight="1">
      <c r="A21" s="2" t="s">
        <v>358</v>
      </c>
      <c r="B21" s="35"/>
      <c r="C21" s="79">
        <f>'POD Breezeway'!C21+'Express GL'!C21+'Starbucks GL-SBX Truck'!C21+'Miro''s'!C21+'Faculty Club'!C21+'Almazar  &amp; Brand X'!C21+'Burger King'!C21+Bustelo!C21+Chilis!C21+Einstein!C21+Jamba!C21+'Pollo Tropical'!C21+'Subway GC'!C21+'Sushi Maki'!C21+Panda!C21+'Starbucks Mango'!C21+'Taco Bell'!C21+'Chick-fil-A'!C21+Dunkin!C21+Chipotle!C21+Sergios!C21+'Moes PG5'!C21+'Papa Johns'!C21+Salad!C21+'Half Moon &amp; Tropical Smoothie'!C21+'Athletic Concessions - Kitchen'!C21+'Starbucks BBC'!C21+'Moes BBC'!C21+'Grille Works BBC'!C21+'Subway BBC'!C21+'Market Pavillion'!C21+'Chic Fil A BBC'!C21+Panera!C21+'Heritage Market'!C21</f>
        <v>147446.84683999998</v>
      </c>
      <c r="D21" s="80">
        <f>IFERROR(C21/C$28,0)</f>
        <v>9.276420753415008E-3</v>
      </c>
      <c r="E21" s="79">
        <f>'POD Breezeway'!E21+'Express GL'!E21+'Starbucks GL-SBX Truck'!E21+'Miro''s'!E21+'Faculty Club'!E21+'Almazar  &amp; Brand X'!E21+'Burger King'!E21+Bustelo!E21+Chilis!E21+Einstein!E21+Jamba!E21+'Pollo Tropical'!E21+'Subway GC'!E21+'Sushi Maki'!E21+Panda!E21+'Starbucks Mango'!E21+'Taco Bell'!E21+'Chick-fil-A'!E21+Dunkin!E21+Chipotle!E21+Sergios!E21+'Moes PG5'!E21+'Papa Johns'!E21+Salad!E21+'Half Moon &amp; Tropical Smoothie'!E21+'Athletic Concessions - Kitchen'!E21+'Starbucks BBC'!E21+'Moes BBC'!E21+'Grille Works BBC'!E21+'Subway BBC'!E21+'Market Pavillion'!E21+'Chic Fil A BBC'!E21+Panera!E21+'Heritage Market'!E21</f>
        <v>136968</v>
      </c>
      <c r="F21" s="80">
        <f>IFERROR(E21/E$28,0)</f>
        <v>7.9050069430256359E-3</v>
      </c>
      <c r="G21" s="79">
        <f>'POD Breezeway'!G21+'Express GL'!G21+'Starbucks GL-SBX Truck'!G21+'Miro''s'!G21+'Faculty Club'!G21+'Almazar  &amp; Brand X'!G21+'Burger King'!G21+Bustelo!G21+Chilis!G21+Einstein!G21+Jamba!G21+'Pollo Tropical'!G21+'Subway GC'!G21+'Sushi Maki'!G21+Panda!G21+'Starbucks Mango'!G21+'Taco Bell'!G21+'Chick-fil-A'!G21+Dunkin!G21+Chipotle!G21+Sergios!G21+'Moes PG5'!G21+'Papa Johns'!G21+Salad!G21+'Half Moon &amp; Tropical Smoothie'!G21+'Athletic Concessions - Kitchen'!G21+'Starbucks BBC'!G21+'Moes BBC'!G21+'Grille Works BBC'!G21+'Subway BBC'!G21+'Market Pavillion'!G21+'Chic Fil A BBC'!G21+Panera!G21+'Heritage Market'!G21</f>
        <v>138553.62</v>
      </c>
      <c r="H21" s="80">
        <f>IFERROR(G21/G$28,0)</f>
        <v>7.2462706059227035E-3</v>
      </c>
      <c r="I21" s="79">
        <f>'POD Breezeway'!I21+'Express GL'!I21+'Starbucks GL-SBX Truck'!I21+'Miro''s'!I21+'Faculty Club'!I21+'Almazar  &amp; Brand X'!I21+'Burger King'!I21+Bustelo!I21+Chilis!I21+Einstein!I21+Jamba!I21+'Pollo Tropical'!I21+'Subway GC'!I21+'Sushi Maki'!I21+Panda!I21+'Starbucks Mango'!I21+'Taco Bell'!I21+'Chick-fil-A'!I21+Dunkin!I21+Chipotle!I21+Sergios!I21+'Moes PG5'!I21+'Papa Johns'!I21+Salad!I21+'Half Moon &amp; Tropical Smoothie'!I21+'Athletic Concessions - Kitchen'!I21+'Starbucks BBC'!I21+'Moes BBC'!I21+'Grille Works BBC'!I21+'Subway BBC'!I21+'Market Pavillion'!I21+'Chic Fil A BBC'!I21+Panera!I21+'Heritage Market'!I21</f>
        <v>141324.6924</v>
      </c>
      <c r="J21" s="80">
        <f>IFERROR(I21/I$28,0)</f>
        <v>7.2428968426267717E-3</v>
      </c>
      <c r="K21" s="79">
        <f>'POD Breezeway'!K21+'Express GL'!K21+'Starbucks GL-SBX Truck'!K21+'Miro''s'!K21+'Faculty Club'!K21+'Almazar  &amp; Brand X'!K21+'Burger King'!K21+Bustelo!K21+Chilis!K21+Einstein!K21+Jamba!K21+'Pollo Tropical'!K21+'Subway GC'!K21+'Sushi Maki'!K21+Panda!K21+'Starbucks Mango'!K21+'Taco Bell'!K21+'Chick-fil-A'!K21+Dunkin!K21+Chipotle!K21+Sergios!K21+'Moes PG5'!K21+'Papa Johns'!K21+Salad!K21+'Half Moon &amp; Tropical Smoothie'!K21+'Athletic Concessions - Kitchen'!K21+'Starbucks BBC'!K21+'Moes BBC'!K21+'Grille Works BBC'!K21+'Subway BBC'!K21+'Market Pavillion'!K21+'Chic Fil A BBC'!K21+Panera!K21+'Heritage Market'!K21</f>
        <v>144151.18624800001</v>
      </c>
      <c r="L21" s="80">
        <f>IFERROR(K21/K$28,0)</f>
        <v>7.2566251217915604E-3</v>
      </c>
      <c r="M21" s="79">
        <f>'POD Breezeway'!M21+'Express GL'!M21+'Starbucks GL-SBX Truck'!M21+'Miro''s'!M21+'Faculty Club'!M21+'Almazar  &amp; Brand X'!M21+'Burger King'!M21+Bustelo!M21+Chilis!M21+Einstein!M21+Jamba!M21+'Pollo Tropical'!M21+'Subway GC'!M21+'Sushi Maki'!M21+Panda!M21+'Starbucks Mango'!M21+'Taco Bell'!M21+'Chick-fil-A'!M21+Dunkin!M21+Chipotle!M21+Sergios!M21+'Moes PG5'!M21+'Papa Johns'!M21+Salad!M21+'Half Moon &amp; Tropical Smoothie'!M21+'Athletic Concessions - Kitchen'!M21+'Starbucks BBC'!M21+'Moes BBC'!M21+'Grille Works BBC'!M21+'Subway BBC'!M21+'Market Pavillion'!M21+'Chic Fil A BBC'!M21+Panera!M21+'Heritage Market'!M21</f>
        <v>147034.20997296</v>
      </c>
      <c r="N21" s="80">
        <f>IFERROR(M21/M$28,0)</f>
        <v>7.2702701851024834E-3</v>
      </c>
      <c r="O21" s="79">
        <f>'POD Breezeway'!O21+'Express GL'!O21+'Starbucks GL-SBX Truck'!O21+'Miro''s'!O21+'Faculty Club'!O21+'Almazar  &amp; Brand X'!O21+'Burger King'!O21+Bustelo!O21+Chilis!O21+Einstein!O21+Jamba!O21+'Pollo Tropical'!O21+'Subway GC'!O21+'Sushi Maki'!O21+Panda!O21+'Starbucks Mango'!O21+'Taco Bell'!O21+'Chick-fil-A'!O21+Dunkin!O21+Chipotle!O21+Sergios!O21+'Moes PG5'!O21+'Papa Johns'!O21+Salad!O21+'Half Moon &amp; Tropical Smoothie'!O21+'Athletic Concessions - Kitchen'!O21+'Starbucks BBC'!O21+'Moes BBC'!O21+'Grille Works BBC'!O21+'Subway BBC'!O21+'Market Pavillion'!O21+'Chic Fil A BBC'!O21+Panera!O21+'Heritage Market'!O21</f>
        <v>149974.89417241921</v>
      </c>
      <c r="P21" s="80">
        <f>IFERROR(O21/O$28,0)</f>
        <v>7.2838321306796195E-3</v>
      </c>
      <c r="Q21" s="79">
        <f>'POD Breezeway'!Q21+'Express GL'!Q21+'Starbucks GL-SBX Truck'!Q21+'Miro''s'!Q21+'Faculty Club'!Q21+'Almazar  &amp; Brand X'!Q21+'Burger King'!Q21+Bustelo!Q21+Chilis!Q21+Einstein!Q21+Jamba!Q21+'Pollo Tropical'!Q21+'Subway GC'!Q21+'Sushi Maki'!Q21+Panda!Q21+'Starbucks Mango'!Q21+'Taco Bell'!Q21+'Chick-fil-A'!Q21+Dunkin!Q21+Chipotle!Q21+Sergios!Q21+'Moes PG5'!Q21+'Papa Johns'!Q21+Salad!Q21+'Half Moon &amp; Tropical Smoothie'!Q21+'Athletic Concessions - Kitchen'!Q21+'Starbucks BBC'!Q21+'Moes BBC'!Q21+'Grille Works BBC'!Q21+'Subway BBC'!Q21+'Market Pavillion'!Q21+'Chic Fil A BBC'!Q21+Panera!Q21+'Heritage Market'!Q21</f>
        <v>152974.39205586759</v>
      </c>
      <c r="R21" s="80">
        <f>IFERROR(Q21/Q$28,0)</f>
        <v>7.2973110634700659E-3</v>
      </c>
      <c r="S21" s="79">
        <f>'POD Breezeway'!S21+'Express GL'!S21+'Starbucks GL-SBX Truck'!S21+'Miro''s'!S21+'Faculty Club'!S21+'Almazar  &amp; Brand X'!S21+'Burger King'!S21+Bustelo!S21+Chilis!S21+Einstein!S21+Jamba!S21+'Pollo Tropical'!S21+'Subway GC'!S21+'Sushi Maki'!S21+Panda!S21+'Starbucks Mango'!S21+'Taco Bell'!S21+'Chick-fil-A'!S21+Dunkin!S21+Chipotle!S21+Sergios!S21+'Moes PG5'!S21+'Papa Johns'!S21+Salad!S21+'Half Moon &amp; Tropical Smoothie'!S21+'Athletic Concessions - Kitchen'!S21+'Starbucks BBC'!S21+'Moes BBC'!S21+'Grille Works BBC'!S21+'Subway BBC'!S21+'Market Pavillion'!S21+'Chic Fil A BBC'!S21+Panera!S21+'Heritage Market'!S21</f>
        <v>156033.87989698493</v>
      </c>
      <c r="T21" s="80">
        <f>IFERROR(S21/S$28,0)</f>
        <v>7.3107070951484677E-3</v>
      </c>
      <c r="U21" s="79">
        <f>'POD Breezeway'!U21+'Express GL'!U21+'Starbucks GL-SBX Truck'!U21+'Miro''s'!U21+'Faculty Club'!U21+'Almazar  &amp; Brand X'!U21+'Burger King'!U21+Bustelo!U21+Chilis!U21+Einstein!U21+Jamba!U21+'Pollo Tropical'!U21+'Subway GC'!U21+'Sushi Maki'!U21+Panda!U21+'Starbucks Mango'!U21+'Taco Bell'!U21+'Chick-fil-A'!U21+Dunkin!U21+Chipotle!U21+Sergios!U21+'Moes PG5'!U21+'Papa Johns'!U21+Salad!U21+'Half Moon &amp; Tropical Smoothie'!U21+'Athletic Concessions - Kitchen'!U21+'Starbucks BBC'!U21+'Moes BBC'!U21+'Grille Works BBC'!U21+'Subway BBC'!U21+'Market Pavillion'!U21+'Chic Fil A BBC'!U21+Panera!U21+'Heritage Market'!U21</f>
        <v>159154.55749492464</v>
      </c>
      <c r="V21" s="80">
        <f>IFERROR(U21/U$28,0)</f>
        <v>7.0753712704435569E-3</v>
      </c>
    </row>
    <row r="22" spans="1:22" ht="12.75" customHeight="1">
      <c r="A22" s="2" t="s">
        <v>359</v>
      </c>
      <c r="B22" s="35"/>
      <c r="C22" s="79"/>
      <c r="D22" s="80"/>
      <c r="E22" s="79"/>
      <c r="F22" s="80"/>
      <c r="G22" s="79"/>
      <c r="H22" s="80"/>
      <c r="I22" s="79"/>
      <c r="J22" s="80"/>
      <c r="K22" s="79"/>
      <c r="L22" s="80"/>
      <c r="M22" s="79"/>
      <c r="N22" s="80"/>
      <c r="O22" s="79"/>
      <c r="P22" s="80"/>
      <c r="Q22" s="79"/>
      <c r="R22" s="80"/>
      <c r="S22" s="79"/>
      <c r="T22" s="80"/>
      <c r="U22" s="79"/>
      <c r="V22" s="80"/>
    </row>
    <row r="23" spans="1:22" ht="12.75" customHeight="1">
      <c r="A23" s="122" t="s">
        <v>360</v>
      </c>
      <c r="B23" s="35"/>
      <c r="C23" s="125">
        <f>'POD Breezeway'!C23+'Express GL'!C23+'Starbucks GL-SBX Truck'!C23+'Miro''s'!C23+'Faculty Club'!C23+'Almazar  &amp; Brand X'!C23+'Burger King'!C23+Bustelo!C23+Chilis!C23+Einstein!C23+Jamba!C23+'Pollo Tropical'!C23+'Subway GC'!C23+'Sushi Maki'!C23+Panda!C23+'Starbucks Mango'!C23+'Taco Bell'!C23+'Chick-fil-A'!C23+Dunkin!C23+Chipotle!C23+Sergios!C23+'Moes PG5'!C23+'Papa Johns'!C23+Salad!C23+'Half Moon &amp; Tropical Smoothie'!C23+'Athletic Concessions - Kitchen'!C23+'Starbucks BBC'!C23+'Moes BBC'!C23+'Grille Works BBC'!C23+'Subway BBC'!C23+'Market Pavillion'!C23+'Chic Fil A BBC'!C23+Panera!C23+'Heritage Market'!C23</f>
        <v>0</v>
      </c>
      <c r="D23" s="126">
        <f t="shared" ref="D23:D28" si="0">IFERROR(C23/C$28,0)</f>
        <v>0</v>
      </c>
      <c r="E23" s="125">
        <f>'POD Breezeway'!E23+'Express GL'!E23+'Starbucks GL-SBX Truck'!E23+'Miro''s'!E23+'Faculty Club'!E23+'Almazar  &amp; Brand X'!E23+'Burger King'!E23+Bustelo!E23+Chilis!E23+Einstein!E23+Jamba!E23+'Pollo Tropical'!E23+'Subway GC'!E23+'Sushi Maki'!E23+Panda!E23+'Starbucks Mango'!E23+'Taco Bell'!E23+'Chick-fil-A'!E23+Dunkin!E23+Chipotle!E23+Sergios!E23+'Moes PG5'!E23+'Papa Johns'!E23+Salad!E23+'Half Moon &amp; Tropical Smoothie'!E23+'Athletic Concessions - Kitchen'!E23+'Starbucks BBC'!E23+'Moes BBC'!E23+'Grille Works BBC'!E23+'Subway BBC'!E23+'Market Pavillion'!E23+'Chic Fil A BBC'!E23+Panera!E23+'Heritage Market'!E23</f>
        <v>0</v>
      </c>
      <c r="F23" s="126">
        <f t="shared" ref="F23:F28" si="1">IFERROR(E23/E$28,0)</f>
        <v>0</v>
      </c>
      <c r="G23" s="125">
        <f>'POD Breezeway'!G23+'Express GL'!G23+'Starbucks GL-SBX Truck'!G23+'Miro''s'!G23+'Faculty Club'!G23+'Almazar  &amp; Brand X'!G23+'Burger King'!G23+Bustelo!G23+Chilis!G23+Einstein!G23+Jamba!G23+'Pollo Tropical'!G23+'Subway GC'!G23+'Sushi Maki'!G23+Panda!G23+'Starbucks Mango'!G23+'Taco Bell'!G23+'Chick-fil-A'!G23+Dunkin!G23+Chipotle!G23+Sergios!G23+'Moes PG5'!G23+'Papa Johns'!G23+Salad!G23+'Half Moon &amp; Tropical Smoothie'!G23+'Athletic Concessions - Kitchen'!G23+'Starbucks BBC'!G23+'Moes BBC'!G23+'Grille Works BBC'!G23+'Subway BBC'!G23+'Market Pavillion'!G23+'Chic Fil A BBC'!G23+Panera!G23+'Heritage Market'!G23</f>
        <v>0</v>
      </c>
      <c r="H23" s="126">
        <f t="shared" ref="H23:H28" si="2">IFERROR(G23/G$28,0)</f>
        <v>0</v>
      </c>
      <c r="I23" s="125">
        <f>'POD Breezeway'!I23+'Express GL'!I23+'Starbucks GL-SBX Truck'!I23+'Miro''s'!I23+'Faculty Club'!I23+'Almazar  &amp; Brand X'!I23+'Burger King'!I23+Bustelo!I23+Chilis!I23+Einstein!I23+Jamba!I23+'Pollo Tropical'!I23+'Subway GC'!I23+'Sushi Maki'!I23+Panda!I23+'Starbucks Mango'!I23+'Taco Bell'!I23+'Chick-fil-A'!I23+Dunkin!I23+Chipotle!I23+Sergios!I23+'Moes PG5'!I23+'Papa Johns'!I23+Salad!I23+'Half Moon &amp; Tropical Smoothie'!I23+'Athletic Concessions - Kitchen'!I23+'Starbucks BBC'!I23+'Moes BBC'!I23+'Grille Works BBC'!I23+'Subway BBC'!I23+'Market Pavillion'!I23+'Chic Fil A BBC'!I23+Panera!I23+'Heritage Market'!I23</f>
        <v>0</v>
      </c>
      <c r="J23" s="126">
        <f t="shared" ref="J23:J28" si="3">IFERROR(I23/I$28,0)</f>
        <v>0</v>
      </c>
      <c r="K23" s="125">
        <f>'POD Breezeway'!K23+'Express GL'!K23+'Starbucks GL-SBX Truck'!K23+'Miro''s'!K23+'Faculty Club'!K23+'Almazar  &amp; Brand X'!K23+'Burger King'!K23+Bustelo!K23+Chilis!K23+Einstein!K23+Jamba!K23+'Pollo Tropical'!K23+'Subway GC'!K23+'Sushi Maki'!K23+Panda!K23+'Starbucks Mango'!K23+'Taco Bell'!K23+'Chick-fil-A'!K23+Dunkin!K23+Chipotle!K23+Sergios!K23+'Moes PG5'!K23+'Papa Johns'!K23+Salad!K23+'Half Moon &amp; Tropical Smoothie'!K23+'Athletic Concessions - Kitchen'!K23+'Starbucks BBC'!K23+'Moes BBC'!K23+'Grille Works BBC'!K23+'Subway BBC'!K23+'Market Pavillion'!K23+'Chic Fil A BBC'!K23+Panera!K23+'Heritage Market'!K23</f>
        <v>0</v>
      </c>
      <c r="L23" s="126">
        <f t="shared" ref="L23:L28" si="4">IFERROR(K23/K$28,0)</f>
        <v>0</v>
      </c>
      <c r="M23" s="125">
        <f>'POD Breezeway'!M23+'Express GL'!M23+'Starbucks GL-SBX Truck'!M23+'Miro''s'!M23+'Faculty Club'!M23+'Almazar  &amp; Brand X'!M23+'Burger King'!M23+Bustelo!M23+Chilis!M23+Einstein!M23+Jamba!M23+'Pollo Tropical'!M23+'Subway GC'!M23+'Sushi Maki'!M23+Panda!M23+'Starbucks Mango'!M23+'Taco Bell'!M23+'Chick-fil-A'!M23+Dunkin!M23+Chipotle!M23+Sergios!M23+'Moes PG5'!M23+'Papa Johns'!M23+Salad!M23+'Half Moon &amp; Tropical Smoothie'!M23+'Athletic Concessions - Kitchen'!M23+'Starbucks BBC'!M23+'Moes BBC'!M23+'Grille Works BBC'!M23+'Subway BBC'!M23+'Market Pavillion'!M23+'Chic Fil A BBC'!M23+Panera!M23+'Heritage Market'!M23</f>
        <v>0</v>
      </c>
      <c r="N23" s="126">
        <f t="shared" ref="N23:N28" si="5">IFERROR(M23/M$28,0)</f>
        <v>0</v>
      </c>
      <c r="O23" s="125">
        <f>'POD Breezeway'!O23+'Express GL'!O23+'Starbucks GL-SBX Truck'!O23+'Miro''s'!O23+'Faculty Club'!O23+'Almazar  &amp; Brand X'!O23+'Burger King'!O23+Bustelo!O23+Chilis!O23+Einstein!O23+Jamba!O23+'Pollo Tropical'!O23+'Subway GC'!O23+'Sushi Maki'!O23+Panda!O23+'Starbucks Mango'!O23+'Taco Bell'!O23+'Chick-fil-A'!O23+Dunkin!O23+Chipotle!O23+Sergios!O23+'Moes PG5'!O23+'Papa Johns'!O23+Salad!O23+'Half Moon &amp; Tropical Smoothie'!O23+'Athletic Concessions - Kitchen'!O23+'Starbucks BBC'!O23+'Moes BBC'!O23+'Grille Works BBC'!O23+'Subway BBC'!O23+'Market Pavillion'!O23+'Chic Fil A BBC'!O23+Panera!O23+'Heritage Market'!O23</f>
        <v>0</v>
      </c>
      <c r="P23" s="126">
        <f t="shared" ref="P23:P28" si="6">IFERROR(O23/O$28,0)</f>
        <v>0</v>
      </c>
      <c r="Q23" s="125">
        <f>'POD Breezeway'!Q23+'Express GL'!Q23+'Starbucks GL-SBX Truck'!Q23+'Miro''s'!Q23+'Faculty Club'!Q23+'Almazar  &amp; Brand X'!Q23+'Burger King'!Q23+Bustelo!Q23+Chilis!Q23+Einstein!Q23+Jamba!Q23+'Pollo Tropical'!Q23+'Subway GC'!Q23+'Sushi Maki'!Q23+Panda!Q23+'Starbucks Mango'!Q23+'Taco Bell'!Q23+'Chick-fil-A'!Q23+Dunkin!Q23+Chipotle!Q23+Sergios!Q23+'Moes PG5'!Q23+'Papa Johns'!Q23+Salad!Q23+'Half Moon &amp; Tropical Smoothie'!Q23+'Athletic Concessions - Kitchen'!Q23+'Starbucks BBC'!Q23+'Moes BBC'!Q23+'Grille Works BBC'!Q23+'Subway BBC'!Q23+'Market Pavillion'!Q23+'Chic Fil A BBC'!Q23+Panera!Q23+'Heritage Market'!Q23</f>
        <v>0</v>
      </c>
      <c r="R23" s="126">
        <f t="shared" ref="R23:R28" si="7">IFERROR(Q23/Q$28,0)</f>
        <v>0</v>
      </c>
      <c r="S23" s="125">
        <f>'POD Breezeway'!S23+'Express GL'!S23+'Starbucks GL-SBX Truck'!S23+'Miro''s'!S23+'Faculty Club'!S23+'Almazar  &amp; Brand X'!S23+'Burger King'!S23+Bustelo!S23+Chilis!S23+Einstein!S23+Jamba!S23+'Pollo Tropical'!S23+'Subway GC'!S23+'Sushi Maki'!S23+Panda!S23+'Starbucks Mango'!S23+'Taco Bell'!S23+'Chick-fil-A'!S23+Dunkin!S23+Chipotle!S23+Sergios!S23+'Moes PG5'!S23+'Papa Johns'!S23+Salad!S23+'Half Moon &amp; Tropical Smoothie'!S23+'Athletic Concessions - Kitchen'!S23+'Starbucks BBC'!S23+'Moes BBC'!S23+'Grille Works BBC'!S23+'Subway BBC'!S23+'Market Pavillion'!S23+'Chic Fil A BBC'!S23+Panera!S23+'Heritage Market'!S23</f>
        <v>0</v>
      </c>
      <c r="T23" s="126">
        <f t="shared" ref="T23:T28" si="8">IFERROR(S23/S$28,0)</f>
        <v>0</v>
      </c>
      <c r="U23" s="125">
        <f>'POD Breezeway'!U23+'Express GL'!U23+'Starbucks GL-SBX Truck'!U23+'Miro''s'!U23+'Faculty Club'!U23+'Almazar  &amp; Brand X'!U23+'Burger King'!U23+Bustelo!U23+Chilis!U23+Einstein!U23+Jamba!U23+'Pollo Tropical'!U23+'Subway GC'!U23+'Sushi Maki'!U23+Panda!U23+'Starbucks Mango'!U23+'Taco Bell'!U23+'Chick-fil-A'!U23+Dunkin!U23+Chipotle!U23+Sergios!U23+'Moes PG5'!U23+'Papa Johns'!U23+Salad!U23+'Half Moon &amp; Tropical Smoothie'!U23+'Athletic Concessions - Kitchen'!U23+'Starbucks BBC'!U23+'Moes BBC'!U23+'Grille Works BBC'!U23+'Subway BBC'!U23+'Market Pavillion'!U23+'Chic Fil A BBC'!U23+Panera!U23+'Heritage Market'!U23</f>
        <v>0</v>
      </c>
      <c r="V23" s="126">
        <f t="shared" ref="V23:V28" si="9">IFERROR(U23/U$28,0)</f>
        <v>0</v>
      </c>
    </row>
    <row r="24" spans="1:22" ht="12.75" customHeight="1">
      <c r="A24" s="122" t="s">
        <v>361</v>
      </c>
      <c r="B24" s="35"/>
      <c r="C24" s="125">
        <f>'POD Breezeway'!C24+'Express GL'!C24+'Starbucks GL-SBX Truck'!C24+'Miro''s'!C24+'Faculty Club'!C24+'Almazar  &amp; Brand X'!C24+'Burger King'!C24+Bustelo!C24+Chilis!C24+Einstein!C24+Jamba!C24+'Pollo Tropical'!C24+'Subway GC'!C24+'Sushi Maki'!C24+Panda!C24+'Starbucks Mango'!C24+'Taco Bell'!C24+'Chick-fil-A'!C24+Dunkin!C24+Chipotle!C24+Sergios!C24+'Moes PG5'!C24+'Papa Johns'!C24+Salad!C24+'Half Moon &amp; Tropical Smoothie'!C24+'Athletic Concessions - Kitchen'!C24+'Starbucks BBC'!C24+'Moes BBC'!C24+'Grille Works BBC'!C24+'Subway BBC'!C24+'Market Pavillion'!C24+'Chic Fil A BBC'!C24+Panera!C24+'Heritage Market'!C24</f>
        <v>0</v>
      </c>
      <c r="D24" s="126">
        <f t="shared" si="0"/>
        <v>0</v>
      </c>
      <c r="E24" s="125">
        <f>'POD Breezeway'!E24+'Express GL'!E24+'Starbucks GL-SBX Truck'!E24+'Miro''s'!E24+'Faculty Club'!E24+'Almazar  &amp; Brand X'!E24+'Burger King'!E24+Bustelo!E24+Chilis!E24+Einstein!E24+Jamba!E24+'Pollo Tropical'!E24+'Subway GC'!E24+'Sushi Maki'!E24+Panda!E24+'Starbucks Mango'!E24+'Taco Bell'!E24+'Chick-fil-A'!E24+Dunkin!E24+Chipotle!E24+Sergios!E24+'Moes PG5'!E24+'Papa Johns'!E24+Salad!E24+'Half Moon &amp; Tropical Smoothie'!E24+'Athletic Concessions - Kitchen'!E24+'Starbucks BBC'!E24+'Moes BBC'!E24+'Grille Works BBC'!E24+'Subway BBC'!E24+'Market Pavillion'!E24+'Chic Fil A BBC'!E24+Panera!E24+'Heritage Market'!E24</f>
        <v>0</v>
      </c>
      <c r="F24" s="126">
        <f t="shared" si="1"/>
        <v>0</v>
      </c>
      <c r="G24" s="125">
        <f>'POD Breezeway'!G24+'Express GL'!G24+'Starbucks GL-SBX Truck'!G24+'Miro''s'!G24+'Faculty Club'!G24+'Almazar  &amp; Brand X'!G24+'Burger King'!G24+Bustelo!G24+Chilis!G24+Einstein!G24+Jamba!G24+'Pollo Tropical'!G24+'Subway GC'!G24+'Sushi Maki'!G24+Panda!G24+'Starbucks Mango'!G24+'Taco Bell'!G24+'Chick-fil-A'!G24+Dunkin!G24+Chipotle!G24+Sergios!G24+'Moes PG5'!G24+'Papa Johns'!G24+Salad!G24+'Half Moon &amp; Tropical Smoothie'!G24+'Athletic Concessions - Kitchen'!G24+'Starbucks BBC'!G24+'Moes BBC'!G24+'Grille Works BBC'!G24+'Subway BBC'!G24+'Market Pavillion'!G24+'Chic Fil A BBC'!G24+Panera!G24+'Heritage Market'!G24</f>
        <v>0</v>
      </c>
      <c r="H24" s="126">
        <f t="shared" si="2"/>
        <v>0</v>
      </c>
      <c r="I24" s="125">
        <f>'POD Breezeway'!I24+'Express GL'!I24+'Starbucks GL-SBX Truck'!I24+'Miro''s'!I24+'Faculty Club'!I24+'Almazar  &amp; Brand X'!I24+'Burger King'!I24+Bustelo!I24+Chilis!I24+Einstein!I24+Jamba!I24+'Pollo Tropical'!I24+'Subway GC'!I24+'Sushi Maki'!I24+Panda!I24+'Starbucks Mango'!I24+'Taco Bell'!I24+'Chick-fil-A'!I24+Dunkin!I24+Chipotle!I24+Sergios!I24+'Moes PG5'!I24+'Papa Johns'!I24+Salad!I24+'Half Moon &amp; Tropical Smoothie'!I24+'Athletic Concessions - Kitchen'!I24+'Starbucks BBC'!I24+'Moes BBC'!I24+'Grille Works BBC'!I24+'Subway BBC'!I24+'Market Pavillion'!I24+'Chic Fil A BBC'!I24+Panera!I24+'Heritage Market'!I24</f>
        <v>0</v>
      </c>
      <c r="J24" s="126">
        <f t="shared" si="3"/>
        <v>0</v>
      </c>
      <c r="K24" s="125">
        <f>'POD Breezeway'!K24+'Express GL'!K24+'Starbucks GL-SBX Truck'!K24+'Miro''s'!K24+'Faculty Club'!K24+'Almazar  &amp; Brand X'!K24+'Burger King'!K24+Bustelo!K24+Chilis!K24+Einstein!K24+Jamba!K24+'Pollo Tropical'!K24+'Subway GC'!K24+'Sushi Maki'!K24+Panda!K24+'Starbucks Mango'!K24+'Taco Bell'!K24+'Chick-fil-A'!K24+Dunkin!K24+Chipotle!K24+Sergios!K24+'Moes PG5'!K24+'Papa Johns'!K24+Salad!K24+'Half Moon &amp; Tropical Smoothie'!K24+'Athletic Concessions - Kitchen'!K24+'Starbucks BBC'!K24+'Moes BBC'!K24+'Grille Works BBC'!K24+'Subway BBC'!K24+'Market Pavillion'!K24+'Chic Fil A BBC'!K24+Panera!K24+'Heritage Market'!K24</f>
        <v>0</v>
      </c>
      <c r="L24" s="126">
        <f t="shared" si="4"/>
        <v>0</v>
      </c>
      <c r="M24" s="125">
        <f>'POD Breezeway'!M24+'Express GL'!M24+'Starbucks GL-SBX Truck'!M24+'Miro''s'!M24+'Faculty Club'!M24+'Almazar  &amp; Brand X'!M24+'Burger King'!M24+Bustelo!M24+Chilis!M24+Einstein!M24+Jamba!M24+'Pollo Tropical'!M24+'Subway GC'!M24+'Sushi Maki'!M24+Panda!M24+'Starbucks Mango'!M24+'Taco Bell'!M24+'Chick-fil-A'!M24+Dunkin!M24+Chipotle!M24+Sergios!M24+'Moes PG5'!M24+'Papa Johns'!M24+Salad!M24+'Half Moon &amp; Tropical Smoothie'!M24+'Athletic Concessions - Kitchen'!M24+'Starbucks BBC'!M24+'Moes BBC'!M24+'Grille Works BBC'!M24+'Subway BBC'!M24+'Market Pavillion'!M24+'Chic Fil A BBC'!M24+Panera!M24+'Heritage Market'!M24</f>
        <v>0</v>
      </c>
      <c r="N24" s="126">
        <f t="shared" si="5"/>
        <v>0</v>
      </c>
      <c r="O24" s="125">
        <f>'POD Breezeway'!O24+'Express GL'!O24+'Starbucks GL-SBX Truck'!O24+'Miro''s'!O24+'Faculty Club'!O24+'Almazar  &amp; Brand X'!O24+'Burger King'!O24+Bustelo!O24+Chilis!O24+Einstein!O24+Jamba!O24+'Pollo Tropical'!O24+'Subway GC'!O24+'Sushi Maki'!O24+Panda!O24+'Starbucks Mango'!O24+'Taco Bell'!O24+'Chick-fil-A'!O24+Dunkin!O24+Chipotle!O24+Sergios!O24+'Moes PG5'!O24+'Papa Johns'!O24+Salad!O24+'Half Moon &amp; Tropical Smoothie'!O24+'Athletic Concessions - Kitchen'!O24+'Starbucks BBC'!O24+'Moes BBC'!O24+'Grille Works BBC'!O24+'Subway BBC'!O24+'Market Pavillion'!O24+'Chic Fil A BBC'!O24+Panera!O24+'Heritage Market'!O24</f>
        <v>0</v>
      </c>
      <c r="P24" s="126">
        <f t="shared" si="6"/>
        <v>0</v>
      </c>
      <c r="Q24" s="125">
        <f>'POD Breezeway'!Q24+'Express GL'!Q24+'Starbucks GL-SBX Truck'!Q24+'Miro''s'!Q24+'Faculty Club'!Q24+'Almazar  &amp; Brand X'!Q24+'Burger King'!Q24+Bustelo!Q24+Chilis!Q24+Einstein!Q24+Jamba!Q24+'Pollo Tropical'!Q24+'Subway GC'!Q24+'Sushi Maki'!Q24+Panda!Q24+'Starbucks Mango'!Q24+'Taco Bell'!Q24+'Chick-fil-A'!Q24+Dunkin!Q24+Chipotle!Q24+Sergios!Q24+'Moes PG5'!Q24+'Papa Johns'!Q24+Salad!Q24+'Half Moon &amp; Tropical Smoothie'!Q24+'Athletic Concessions - Kitchen'!Q24+'Starbucks BBC'!Q24+'Moes BBC'!Q24+'Grille Works BBC'!Q24+'Subway BBC'!Q24+'Market Pavillion'!Q24+'Chic Fil A BBC'!Q24+Panera!Q24+'Heritage Market'!Q24</f>
        <v>0</v>
      </c>
      <c r="R24" s="126">
        <f t="shared" si="7"/>
        <v>0</v>
      </c>
      <c r="S24" s="125">
        <f>'POD Breezeway'!S24+'Express GL'!S24+'Starbucks GL-SBX Truck'!S24+'Miro''s'!S24+'Faculty Club'!S24+'Almazar  &amp; Brand X'!S24+'Burger King'!S24+Bustelo!S24+Chilis!S24+Einstein!S24+Jamba!S24+'Pollo Tropical'!S24+'Subway GC'!S24+'Sushi Maki'!S24+Panda!S24+'Starbucks Mango'!S24+'Taco Bell'!S24+'Chick-fil-A'!S24+Dunkin!S24+Chipotle!S24+Sergios!S24+'Moes PG5'!S24+'Papa Johns'!S24+Salad!S24+'Half Moon &amp; Tropical Smoothie'!S24+'Athletic Concessions - Kitchen'!S24+'Starbucks BBC'!S24+'Moes BBC'!S24+'Grille Works BBC'!S24+'Subway BBC'!S24+'Market Pavillion'!S24+'Chic Fil A BBC'!S24+Panera!S24+'Heritage Market'!S24</f>
        <v>0</v>
      </c>
      <c r="T24" s="126">
        <f t="shared" si="8"/>
        <v>0</v>
      </c>
      <c r="U24" s="125">
        <f>'POD Breezeway'!U24+'Express GL'!U24+'Starbucks GL-SBX Truck'!U24+'Miro''s'!U24+'Faculty Club'!U24+'Almazar  &amp; Brand X'!U24+'Burger King'!U24+Bustelo!U24+Chilis!U24+Einstein!U24+Jamba!U24+'Pollo Tropical'!U24+'Subway GC'!U24+'Sushi Maki'!U24+Panda!U24+'Starbucks Mango'!U24+'Taco Bell'!U24+'Chick-fil-A'!U24+Dunkin!U24+Chipotle!U24+Sergios!U24+'Moes PG5'!U24+'Papa Johns'!U24+Salad!U24+'Half Moon &amp; Tropical Smoothie'!U24+'Athletic Concessions - Kitchen'!U24+'Starbucks BBC'!U24+'Moes BBC'!U24+'Grille Works BBC'!U24+'Subway BBC'!U24+'Market Pavillion'!U24+'Chic Fil A BBC'!U24+Panera!U24+'Heritage Market'!U24</f>
        <v>0</v>
      </c>
      <c r="V24" s="126">
        <f t="shared" si="9"/>
        <v>0</v>
      </c>
    </row>
    <row r="25" spans="1:22" ht="12.75" customHeight="1">
      <c r="A25" s="2" t="s">
        <v>362</v>
      </c>
      <c r="B25" s="35"/>
      <c r="C25" s="156">
        <f>'POD Breezeway'!C25+'Express GL'!C25+'Starbucks GL-SBX Truck'!C25+'Miro''s'!C25+'Faculty Club'!C25+'Almazar  &amp; Brand X'!C25+'Burger King'!C25+Bustelo!C25+Chilis!C25+Einstein!C25+Jamba!C25+'Pollo Tropical'!C25+'Subway GC'!C25+'Sushi Maki'!C25+Panda!C25+'Starbucks Mango'!C25+'Taco Bell'!C25+'Chick-fil-A'!C25+Dunkin!C25+Chipotle!C25+Sergios!C25+'Moes PG5'!C25+'Papa Johns'!C25+Salad!C25+'Half Moon &amp; Tropical Smoothie'!C25+'Athletic Concessions - Kitchen'!C25+'Starbucks BBC'!C25+'Moes BBC'!C25+'Grille Works BBC'!C25+'Subway BBC'!C25+'Market Pavillion'!C25+'Chic Fil A BBC'!C25+Panera!C25+'Heritage Market'!C25</f>
        <v>0</v>
      </c>
      <c r="D25" s="157">
        <f t="shared" si="0"/>
        <v>0</v>
      </c>
      <c r="E25" s="156">
        <f>'POD Breezeway'!E25+'Express GL'!E25+'Starbucks GL-SBX Truck'!E25+'Miro''s'!E25+'Faculty Club'!E25+'Almazar  &amp; Brand X'!E25+'Burger King'!E25+Bustelo!E25+Chilis!E25+Einstein!E25+Jamba!E25+'Pollo Tropical'!E25+'Subway GC'!E25+'Sushi Maki'!E25+Panda!E25+'Starbucks Mango'!E25+'Taco Bell'!E25+'Chick-fil-A'!E25+Dunkin!E25+Chipotle!E25+Sergios!E25+'Moes PG5'!E25+'Papa Johns'!E25+Salad!E25+'Half Moon &amp; Tropical Smoothie'!E25+'Athletic Concessions - Kitchen'!E25+'Starbucks BBC'!E25+'Moes BBC'!E25+'Grille Works BBC'!E25+'Subway BBC'!E25+'Market Pavillion'!E25+'Chic Fil A BBC'!E25+Panera!E25+'Heritage Market'!E25</f>
        <v>0</v>
      </c>
      <c r="F25" s="157">
        <f t="shared" si="1"/>
        <v>0</v>
      </c>
      <c r="G25" s="156">
        <f>'POD Breezeway'!G25+'Express GL'!G25+'Starbucks GL-SBX Truck'!G25+'Miro''s'!G25+'Faculty Club'!G25+'Almazar  &amp; Brand X'!G25+'Burger King'!G25+Bustelo!G25+Chilis!G25+Einstein!G25+Jamba!G25+'Pollo Tropical'!G25+'Subway GC'!G25+'Sushi Maki'!G25+Panda!G25+'Starbucks Mango'!G25+'Taco Bell'!G25+'Chick-fil-A'!G25+Dunkin!G25+Chipotle!G25+Sergios!G25+'Moes PG5'!G25+'Papa Johns'!G25+Salad!G25+'Half Moon &amp; Tropical Smoothie'!G25+'Athletic Concessions - Kitchen'!G25+'Starbucks BBC'!G25+'Moes BBC'!G25+'Grille Works BBC'!G25+'Subway BBC'!G25+'Market Pavillion'!G25+'Chic Fil A BBC'!G25+Panera!G25+'Heritage Market'!G25</f>
        <v>0</v>
      </c>
      <c r="H25" s="157">
        <f t="shared" si="2"/>
        <v>0</v>
      </c>
      <c r="I25" s="156">
        <f>'POD Breezeway'!I25+'Express GL'!I25+'Starbucks GL-SBX Truck'!I25+'Miro''s'!I25+'Faculty Club'!I25+'Almazar  &amp; Brand X'!I25+'Burger King'!I25+Bustelo!I25+Chilis!I25+Einstein!I25+Jamba!I25+'Pollo Tropical'!I25+'Subway GC'!I25+'Sushi Maki'!I25+Panda!I25+'Starbucks Mango'!I25+'Taco Bell'!I25+'Chick-fil-A'!I25+Dunkin!I25+Chipotle!I25+Sergios!I25+'Moes PG5'!I25+'Papa Johns'!I25+Salad!I25+'Half Moon &amp; Tropical Smoothie'!I25+'Athletic Concessions - Kitchen'!I25+'Starbucks BBC'!I25+'Moes BBC'!I25+'Grille Works BBC'!I25+'Subway BBC'!I25+'Market Pavillion'!I25+'Chic Fil A BBC'!I25+Panera!I25+'Heritage Market'!I25</f>
        <v>0</v>
      </c>
      <c r="J25" s="157">
        <f t="shared" si="3"/>
        <v>0</v>
      </c>
      <c r="K25" s="156">
        <f>'POD Breezeway'!K25+'Express GL'!K25+'Starbucks GL-SBX Truck'!K25+'Miro''s'!K25+'Faculty Club'!K25+'Almazar  &amp; Brand X'!K25+'Burger King'!K25+Bustelo!K25+Chilis!K25+Einstein!K25+Jamba!K25+'Pollo Tropical'!K25+'Subway GC'!K25+'Sushi Maki'!K25+Panda!K25+'Starbucks Mango'!K25+'Taco Bell'!K25+'Chick-fil-A'!K25+Dunkin!K25+Chipotle!K25+Sergios!K25+'Moes PG5'!K25+'Papa Johns'!K25+Salad!K25+'Half Moon &amp; Tropical Smoothie'!K25+'Athletic Concessions - Kitchen'!K25+'Starbucks BBC'!K25+'Moes BBC'!K25+'Grille Works BBC'!K25+'Subway BBC'!K25+'Market Pavillion'!K25+'Chic Fil A BBC'!K25+Panera!K25+'Heritage Market'!K25</f>
        <v>0</v>
      </c>
      <c r="L25" s="157">
        <f t="shared" si="4"/>
        <v>0</v>
      </c>
      <c r="M25" s="156">
        <f>'POD Breezeway'!M25+'Express GL'!M25+'Starbucks GL-SBX Truck'!M25+'Miro''s'!M25+'Faculty Club'!M25+'Almazar  &amp; Brand X'!M25+'Burger King'!M25+Bustelo!M25+Chilis!M25+Einstein!M25+Jamba!M25+'Pollo Tropical'!M25+'Subway GC'!M25+'Sushi Maki'!M25+Panda!M25+'Starbucks Mango'!M25+'Taco Bell'!M25+'Chick-fil-A'!M25+Dunkin!M25+Chipotle!M25+Sergios!M25+'Moes PG5'!M25+'Papa Johns'!M25+Salad!M25+'Half Moon &amp; Tropical Smoothie'!M25+'Athletic Concessions - Kitchen'!M25+'Starbucks BBC'!M25+'Moes BBC'!M25+'Grille Works BBC'!M25+'Subway BBC'!M25+'Market Pavillion'!M25+'Chic Fil A BBC'!M25+Panera!M25+'Heritage Market'!M25</f>
        <v>0</v>
      </c>
      <c r="N25" s="157">
        <f t="shared" si="5"/>
        <v>0</v>
      </c>
      <c r="O25" s="156">
        <f>'POD Breezeway'!O25+'Express GL'!O25+'Starbucks GL-SBX Truck'!O25+'Miro''s'!O25+'Faculty Club'!O25+'Almazar  &amp; Brand X'!O25+'Burger King'!O25+Bustelo!O25+Chilis!O25+Einstein!O25+Jamba!O25+'Pollo Tropical'!O25+'Subway GC'!O25+'Sushi Maki'!O25+Panda!O25+'Starbucks Mango'!O25+'Taco Bell'!O25+'Chick-fil-A'!O25+Dunkin!O25+Chipotle!O25+Sergios!O25+'Moes PG5'!O25+'Papa Johns'!O25+Salad!O25+'Half Moon &amp; Tropical Smoothie'!O25+'Athletic Concessions - Kitchen'!O25+'Starbucks BBC'!O25+'Moes BBC'!O25+'Grille Works BBC'!O25+'Subway BBC'!O25+'Market Pavillion'!O25+'Chic Fil A BBC'!O25+Panera!O25+'Heritage Market'!O25</f>
        <v>0</v>
      </c>
      <c r="P25" s="157">
        <f t="shared" si="6"/>
        <v>0</v>
      </c>
      <c r="Q25" s="156">
        <f>'POD Breezeway'!Q25+'Express GL'!Q25+'Starbucks GL-SBX Truck'!Q25+'Miro''s'!Q25+'Faculty Club'!Q25+'Almazar  &amp; Brand X'!Q25+'Burger King'!Q25+Bustelo!Q25+Chilis!Q25+Einstein!Q25+Jamba!Q25+'Pollo Tropical'!Q25+'Subway GC'!Q25+'Sushi Maki'!Q25+Panda!Q25+'Starbucks Mango'!Q25+'Taco Bell'!Q25+'Chick-fil-A'!Q25+Dunkin!Q25+Chipotle!Q25+Sergios!Q25+'Moes PG5'!Q25+'Papa Johns'!Q25+Salad!Q25+'Half Moon &amp; Tropical Smoothie'!Q25+'Athletic Concessions - Kitchen'!Q25+'Starbucks BBC'!Q25+'Moes BBC'!Q25+'Grille Works BBC'!Q25+'Subway BBC'!Q25+'Market Pavillion'!Q25+'Chic Fil A BBC'!Q25+Panera!Q25+'Heritage Market'!Q25</f>
        <v>0</v>
      </c>
      <c r="R25" s="157">
        <f t="shared" si="7"/>
        <v>0</v>
      </c>
      <c r="S25" s="156">
        <f>'POD Breezeway'!S25+'Express GL'!S25+'Starbucks GL-SBX Truck'!S25+'Miro''s'!S25+'Faculty Club'!S25+'Almazar  &amp; Brand X'!S25+'Burger King'!S25+Bustelo!S25+Chilis!S25+Einstein!S25+Jamba!S25+'Pollo Tropical'!S25+'Subway GC'!S25+'Sushi Maki'!S25+Panda!S25+'Starbucks Mango'!S25+'Taco Bell'!S25+'Chick-fil-A'!S25+Dunkin!S25+Chipotle!S25+Sergios!S25+'Moes PG5'!S25+'Papa Johns'!S25+Salad!S25+'Half Moon &amp; Tropical Smoothie'!S25+'Athletic Concessions - Kitchen'!S25+'Starbucks BBC'!S25+'Moes BBC'!S25+'Grille Works BBC'!S25+'Subway BBC'!S25+'Market Pavillion'!S25+'Chic Fil A BBC'!S25+Panera!S25+'Heritage Market'!S25</f>
        <v>0</v>
      </c>
      <c r="T25" s="157">
        <f t="shared" si="8"/>
        <v>0</v>
      </c>
      <c r="U25" s="156">
        <f>'POD Breezeway'!U25+'Express GL'!U25+'Starbucks GL-SBX Truck'!U25+'Miro''s'!U25+'Faculty Club'!U25+'Almazar  &amp; Brand X'!U25+'Burger King'!U25+Bustelo!U25+Chilis!U25+Einstein!U25+Jamba!U25+'Pollo Tropical'!U25+'Subway GC'!U25+'Sushi Maki'!U25+Panda!U25+'Starbucks Mango'!U25+'Taco Bell'!U25+'Chick-fil-A'!U25+Dunkin!U25+Chipotle!U25+Sergios!U25+'Moes PG5'!U25+'Papa Johns'!U25+Salad!U25+'Half Moon &amp; Tropical Smoothie'!U25+'Athletic Concessions - Kitchen'!U25+'Starbucks BBC'!U25+'Moes BBC'!U25+'Grille Works BBC'!U25+'Subway BBC'!U25+'Market Pavillion'!U25+'Chic Fil A BBC'!U25+Panera!U25+'Heritage Market'!U25</f>
        <v>0</v>
      </c>
      <c r="V25" s="157">
        <f t="shared" si="9"/>
        <v>0</v>
      </c>
    </row>
    <row r="26" spans="1:22" ht="12.75" customHeight="1">
      <c r="A26" s="122" t="s">
        <v>363</v>
      </c>
      <c r="B26" s="35"/>
      <c r="C26" s="125">
        <f>'POD Breezeway'!C26+'Express GL'!C26+'Starbucks GL-SBX Truck'!C26+'Miro''s'!C26+'Faculty Club'!C26+'Almazar  &amp; Brand X'!C26+'Burger King'!C26+Bustelo!C26+Chilis!C26+Einstein!C26+Jamba!C26+'Pollo Tropical'!C26+'Subway GC'!C26+'Sushi Maki'!C26+Panda!C26+'Starbucks Mango'!C26+'Taco Bell'!C26+'Chick-fil-A'!C26+Dunkin!C26+Chipotle!C26+Sergios!C26+'Moes PG5'!C26+'Papa Johns'!C26+Salad!C26+'Half Moon &amp; Tropical Smoothie'!C26+'Athletic Concessions - Kitchen'!C26+'Starbucks BBC'!C26+'Moes BBC'!C26+'Grille Works BBC'!C26+'Subway BBC'!C26+'Market Pavillion'!C26+'Chic Fil A BBC'!C26+Panera!C26+'Heritage Market'!C26</f>
        <v>0</v>
      </c>
      <c r="D26" s="126">
        <f t="shared" si="0"/>
        <v>0</v>
      </c>
      <c r="E26" s="125">
        <f>'POD Breezeway'!E26+'Express GL'!E26+'Starbucks GL-SBX Truck'!E26+'Miro''s'!E26+'Faculty Club'!E26+'Almazar  &amp; Brand X'!E26+'Burger King'!E26+Bustelo!E26+Chilis!E26+Einstein!E26+Jamba!E26+'Pollo Tropical'!E26+'Subway GC'!E26+'Sushi Maki'!E26+Panda!E26+'Starbucks Mango'!E26+'Taco Bell'!E26+'Chick-fil-A'!E26+Dunkin!E26+Chipotle!E26+Sergios!E26+'Moes PG5'!E26+'Papa Johns'!E26+Salad!E26+'Half Moon &amp; Tropical Smoothie'!E26+'Athletic Concessions - Kitchen'!E26+'Starbucks BBC'!E26+'Moes BBC'!E26+'Grille Works BBC'!E26+'Subway BBC'!E26+'Market Pavillion'!E26+'Chic Fil A BBC'!E26+Panera!E26+'Heritage Market'!E26</f>
        <v>0</v>
      </c>
      <c r="F26" s="126">
        <f t="shared" si="1"/>
        <v>0</v>
      </c>
      <c r="G26" s="125">
        <f>'POD Breezeway'!G26+'Express GL'!G26+'Starbucks GL-SBX Truck'!G26+'Miro''s'!G26+'Faculty Club'!G26+'Almazar  &amp; Brand X'!G26+'Burger King'!G26+Bustelo!G26+Chilis!G26+Einstein!G26+Jamba!G26+'Pollo Tropical'!G26+'Subway GC'!G26+'Sushi Maki'!G26+Panda!G26+'Starbucks Mango'!G26+'Taco Bell'!G26+'Chick-fil-A'!G26+Dunkin!G26+Chipotle!G26+Sergios!G26+'Moes PG5'!G26+'Papa Johns'!G26+Salad!G26+'Half Moon &amp; Tropical Smoothie'!G26+'Athletic Concessions - Kitchen'!G26+'Starbucks BBC'!G26+'Moes BBC'!G26+'Grille Works BBC'!G26+'Subway BBC'!G26+'Market Pavillion'!G26+'Chic Fil A BBC'!G26+Panera!G26+'Heritage Market'!G26</f>
        <v>0</v>
      </c>
      <c r="H26" s="126">
        <f t="shared" si="2"/>
        <v>0</v>
      </c>
      <c r="I26" s="125">
        <f>'POD Breezeway'!I26+'Express GL'!I26+'Starbucks GL-SBX Truck'!I26+'Miro''s'!I26+'Faculty Club'!I26+'Almazar  &amp; Brand X'!I26+'Burger King'!I26+Bustelo!I26+Chilis!I26+Einstein!I26+Jamba!I26+'Pollo Tropical'!I26+'Subway GC'!I26+'Sushi Maki'!I26+Panda!I26+'Starbucks Mango'!I26+'Taco Bell'!I26+'Chick-fil-A'!I26+Dunkin!I26+Chipotle!I26+Sergios!I26+'Moes PG5'!I26+'Papa Johns'!I26+Salad!I26+'Half Moon &amp; Tropical Smoothie'!I26+'Athletic Concessions - Kitchen'!I26+'Starbucks BBC'!I26+'Moes BBC'!I26+'Grille Works BBC'!I26+'Subway BBC'!I26+'Market Pavillion'!I26+'Chic Fil A BBC'!I26+Panera!I26+'Heritage Market'!I26</f>
        <v>0</v>
      </c>
      <c r="J26" s="126">
        <f t="shared" si="3"/>
        <v>0</v>
      </c>
      <c r="K26" s="125">
        <f>'POD Breezeway'!K26+'Express GL'!K26+'Starbucks GL-SBX Truck'!K26+'Miro''s'!K26+'Faculty Club'!K26+'Almazar  &amp; Brand X'!K26+'Burger King'!K26+Bustelo!K26+Chilis!K26+Einstein!K26+Jamba!K26+'Pollo Tropical'!K26+'Subway GC'!K26+'Sushi Maki'!K26+Panda!K26+'Starbucks Mango'!K26+'Taco Bell'!K26+'Chick-fil-A'!K26+Dunkin!K26+Chipotle!K26+Sergios!K26+'Moes PG5'!K26+'Papa Johns'!K26+Salad!K26+'Half Moon &amp; Tropical Smoothie'!K26+'Athletic Concessions - Kitchen'!K26+'Starbucks BBC'!K26+'Moes BBC'!K26+'Grille Works BBC'!K26+'Subway BBC'!K26+'Market Pavillion'!K26+'Chic Fil A BBC'!K26+Panera!K26+'Heritage Market'!K26</f>
        <v>0</v>
      </c>
      <c r="L26" s="126">
        <f t="shared" si="4"/>
        <v>0</v>
      </c>
      <c r="M26" s="125">
        <f>'POD Breezeway'!M26+'Express GL'!M26+'Starbucks GL-SBX Truck'!M26+'Miro''s'!M26+'Faculty Club'!M26+'Almazar  &amp; Brand X'!M26+'Burger King'!M26+Bustelo!M26+Chilis!M26+Einstein!M26+Jamba!M26+'Pollo Tropical'!M26+'Subway GC'!M26+'Sushi Maki'!M26+Panda!M26+'Starbucks Mango'!M26+'Taco Bell'!M26+'Chick-fil-A'!M26+Dunkin!M26+Chipotle!M26+Sergios!M26+'Moes PG5'!M26+'Papa Johns'!M26+Salad!M26+'Half Moon &amp; Tropical Smoothie'!M26+'Athletic Concessions - Kitchen'!M26+'Starbucks BBC'!M26+'Moes BBC'!M26+'Grille Works BBC'!M26+'Subway BBC'!M26+'Market Pavillion'!M26+'Chic Fil A BBC'!M26+Panera!M26+'Heritage Market'!M26</f>
        <v>0</v>
      </c>
      <c r="N26" s="126">
        <f t="shared" si="5"/>
        <v>0</v>
      </c>
      <c r="O26" s="125">
        <f>'POD Breezeway'!O26+'Express GL'!O26+'Starbucks GL-SBX Truck'!O26+'Miro''s'!O26+'Faculty Club'!O26+'Almazar  &amp; Brand X'!O26+'Burger King'!O26+Bustelo!O26+Chilis!O26+Einstein!O26+Jamba!O26+'Pollo Tropical'!O26+'Subway GC'!O26+'Sushi Maki'!O26+Panda!O26+'Starbucks Mango'!O26+'Taco Bell'!O26+'Chick-fil-A'!O26+Dunkin!O26+Chipotle!O26+Sergios!O26+'Moes PG5'!O26+'Papa Johns'!O26+Salad!O26+'Half Moon &amp; Tropical Smoothie'!O26+'Athletic Concessions - Kitchen'!O26+'Starbucks BBC'!O26+'Moes BBC'!O26+'Grille Works BBC'!O26+'Subway BBC'!O26+'Market Pavillion'!O26+'Chic Fil A BBC'!O26+Panera!O26+'Heritage Market'!O26</f>
        <v>0</v>
      </c>
      <c r="P26" s="126">
        <f t="shared" si="6"/>
        <v>0</v>
      </c>
      <c r="Q26" s="125">
        <f>'POD Breezeway'!Q26+'Express GL'!Q26+'Starbucks GL-SBX Truck'!Q26+'Miro''s'!Q26+'Faculty Club'!Q26+'Almazar  &amp; Brand X'!Q26+'Burger King'!Q26+Bustelo!Q26+Chilis!Q26+Einstein!Q26+Jamba!Q26+'Pollo Tropical'!Q26+'Subway GC'!Q26+'Sushi Maki'!Q26+Panda!Q26+'Starbucks Mango'!Q26+'Taco Bell'!Q26+'Chick-fil-A'!Q26+Dunkin!Q26+Chipotle!Q26+Sergios!Q26+'Moes PG5'!Q26+'Papa Johns'!Q26+Salad!Q26+'Half Moon &amp; Tropical Smoothie'!Q26+'Athletic Concessions - Kitchen'!Q26+'Starbucks BBC'!Q26+'Moes BBC'!Q26+'Grille Works BBC'!Q26+'Subway BBC'!Q26+'Market Pavillion'!Q26+'Chic Fil A BBC'!Q26+Panera!Q26+'Heritage Market'!Q26</f>
        <v>0</v>
      </c>
      <c r="R26" s="126">
        <f t="shared" si="7"/>
        <v>0</v>
      </c>
      <c r="S26" s="125">
        <f>'POD Breezeway'!S26+'Express GL'!S26+'Starbucks GL-SBX Truck'!S26+'Miro''s'!S26+'Faculty Club'!S26+'Almazar  &amp; Brand X'!S26+'Burger King'!S26+Bustelo!S26+Chilis!S26+Einstein!S26+Jamba!S26+'Pollo Tropical'!S26+'Subway GC'!S26+'Sushi Maki'!S26+Panda!S26+'Starbucks Mango'!S26+'Taco Bell'!S26+'Chick-fil-A'!S26+Dunkin!S26+Chipotle!S26+Sergios!S26+'Moes PG5'!S26+'Papa Johns'!S26+Salad!S26+'Half Moon &amp; Tropical Smoothie'!S26+'Athletic Concessions - Kitchen'!S26+'Starbucks BBC'!S26+'Moes BBC'!S26+'Grille Works BBC'!S26+'Subway BBC'!S26+'Market Pavillion'!S26+'Chic Fil A BBC'!S26+Panera!S26+'Heritage Market'!S26</f>
        <v>0</v>
      </c>
      <c r="T26" s="126">
        <f t="shared" si="8"/>
        <v>0</v>
      </c>
      <c r="U26" s="125">
        <f>'POD Breezeway'!U26+'Express GL'!U26+'Starbucks GL-SBX Truck'!U26+'Miro''s'!U26+'Faculty Club'!U26+'Almazar  &amp; Brand X'!U26+'Burger King'!U26+Bustelo!U26+Chilis!U26+Einstein!U26+Jamba!U26+'Pollo Tropical'!U26+'Subway GC'!U26+'Sushi Maki'!U26+Panda!U26+'Starbucks Mango'!U26+'Taco Bell'!U26+'Chick-fil-A'!U26+Dunkin!U26+Chipotle!U26+Sergios!U26+'Moes PG5'!U26+'Papa Johns'!U26+Salad!U26+'Half Moon &amp; Tropical Smoothie'!U26+'Athletic Concessions - Kitchen'!U26+'Starbucks BBC'!U26+'Moes BBC'!U26+'Grille Works BBC'!U26+'Subway BBC'!U26+'Market Pavillion'!U26+'Chic Fil A BBC'!U26+Panera!U26+'Heritage Market'!U26</f>
        <v>0</v>
      </c>
      <c r="V26" s="126">
        <f t="shared" si="9"/>
        <v>0</v>
      </c>
    </row>
    <row r="27" spans="1:22" ht="12.75" customHeight="1">
      <c r="A27" s="2" t="s">
        <v>460</v>
      </c>
      <c r="B27" s="35"/>
      <c r="C27" s="81">
        <f>'POD Breezeway'!C27+'Express GL'!C27+'Starbucks GL-SBX Truck'!C27+'Miro''s'!C27+'Faculty Club'!C27+'Almazar  &amp; Brand X'!C27+'Burger King'!C27+Bustelo!C27+Chilis!C27+Einstein!C27+Jamba!C27+'Pollo Tropical'!C27+'Subway GC'!C27+'Sushi Maki'!C27+Panda!C27+'Starbucks Mango'!C27+'Taco Bell'!C27+'Chick-fil-A'!C27+Dunkin!C27+Chipotle!C27+Sergios!C27+'Moes PG5'!C27+'Papa Johns'!C27+Salad!C27+'Half Moon &amp; Tropical Smoothie'!C27+'Athletic Concessions - Kitchen'!C27+'Starbucks BBC'!C27+'Moes BBC'!C27+'Grille Works BBC'!C27+'Subway BBC'!C27+'Market Pavillion'!C27+'Chic Fil A BBC'!C27+Panera!C27+'Heritage Market'!C27</f>
        <v>347000</v>
      </c>
      <c r="D27" s="80">
        <f t="shared" si="0"/>
        <v>2.1831039933515668E-2</v>
      </c>
      <c r="E27" s="81">
        <f>'POD Breezeway'!E27+'Express GL'!E27+'Starbucks GL-SBX Truck'!E27+'Miro''s'!E27+'Faculty Club'!E27+'Almazar  &amp; Brand X'!E27+'Burger King'!E27+Bustelo!E27+Chilis!E27+Einstein!E27+Jamba!E27+'Pollo Tropical'!E27+'Subway GC'!E27+'Sushi Maki'!E27+Panda!E27+'Starbucks Mango'!E27+'Taco Bell'!E27+'Chick-fil-A'!E27+Dunkin!E27+Chipotle!E27+Sergios!E27+'Moes PG5'!E27+'Papa Johns'!E27+Salad!E27+'Half Moon &amp; Tropical Smoothie'!E27+'Athletic Concessions - Kitchen'!E27+'Starbucks BBC'!E27+'Moes BBC'!E27+'Grille Works BBC'!E27+'Subway BBC'!E27+'Market Pavillion'!E27+'Chic Fil A BBC'!E27+Panera!E27+'Heritage Market'!E27</f>
        <v>360740</v>
      </c>
      <c r="F27" s="80">
        <f t="shared" si="1"/>
        <v>2.0819842624752262E-2</v>
      </c>
      <c r="G27" s="81">
        <f>'POD Breezeway'!G27+'Express GL'!G27+'Starbucks GL-SBX Truck'!G27+'Miro''s'!G27+'Faculty Club'!G27+'Almazar  &amp; Brand X'!G27+'Burger King'!G27+Bustelo!G27+Chilis!G27+Einstein!G27+Jamba!G27+'Pollo Tropical'!G27+'Subway GC'!G27+'Sushi Maki'!G27+Panda!G27+'Starbucks Mango'!G27+'Taco Bell'!G27+'Chick-fil-A'!G27+Dunkin!G27+Chipotle!G27+Sergios!G27+'Moes PG5'!G27+'Papa Johns'!G27+Salad!G27+'Half Moon &amp; Tropical Smoothie'!G27+'Athletic Concessions - Kitchen'!G27+'Starbucks BBC'!G27+'Moes BBC'!G27+'Grille Works BBC'!G27+'Subway BBC'!G27+'Market Pavillion'!G27+'Chic Fil A BBC'!G27+Panera!G27+'Heritage Market'!G27</f>
        <v>337099.8</v>
      </c>
      <c r="H27" s="80">
        <f t="shared" si="2"/>
        <v>1.7630115849751323E-2</v>
      </c>
      <c r="I27" s="81">
        <f>'POD Breezeway'!I27+'Express GL'!I27+'Starbucks GL-SBX Truck'!I27+'Miro''s'!I27+'Faculty Club'!I27+'Almazar  &amp; Brand X'!I27+'Burger King'!I27+Bustelo!I27+Chilis!I27+Einstein!I27+Jamba!I27+'Pollo Tropical'!I27+'Subway GC'!I27+'Sushi Maki'!I27+Panda!I27+'Starbucks Mango'!I27+'Taco Bell'!I27+'Chick-fil-A'!I27+Dunkin!I27+Chipotle!I27+Sergios!I27+'Moes PG5'!I27+'Papa Johns'!I27+Salad!I27+'Half Moon &amp; Tropical Smoothie'!I27+'Athletic Concessions - Kitchen'!I27+'Starbucks BBC'!I27+'Moes BBC'!I27+'Grille Works BBC'!I27+'Subway BBC'!I27+'Market Pavillion'!I27+'Chic Fil A BBC'!I27+Panera!I27+'Heritage Market'!I27</f>
        <v>343841.79599999997</v>
      </c>
      <c r="J27" s="80">
        <f t="shared" si="3"/>
        <v>1.7621907511836329E-2</v>
      </c>
      <c r="K27" s="81">
        <f>'POD Breezeway'!K27+'Express GL'!K27+'Starbucks GL-SBX Truck'!K27+'Miro''s'!K27+'Faculty Club'!K27+'Almazar  &amp; Brand X'!K27+'Burger King'!K27+Bustelo!K27+Chilis!K27+Einstein!K27+Jamba!K27+'Pollo Tropical'!K27+'Subway GC'!K27+'Sushi Maki'!K27+Panda!K27+'Starbucks Mango'!K27+'Taco Bell'!K27+'Chick-fil-A'!K27+Dunkin!K27+Chipotle!K27+Sergios!K27+'Moes PG5'!K27+'Papa Johns'!K27+Salad!K27+'Half Moon &amp; Tropical Smoothie'!K27+'Athletic Concessions - Kitchen'!K27+'Starbucks BBC'!K27+'Moes BBC'!K27+'Grille Works BBC'!K27+'Subway BBC'!K27+'Market Pavillion'!K27+'Chic Fil A BBC'!K27+Panera!K27+'Heritage Market'!K27</f>
        <v>350718.63192000001</v>
      </c>
      <c r="L27" s="80">
        <f t="shared" si="4"/>
        <v>1.7655308300359895E-2</v>
      </c>
      <c r="M27" s="81">
        <f>'POD Breezeway'!M27+'Express GL'!M27+'Starbucks GL-SBX Truck'!M27+'Miro''s'!M27+'Faculty Club'!M27+'Almazar  &amp; Brand X'!M27+'Burger King'!M27+Bustelo!M27+Chilis!M27+Einstein!M27+Jamba!M27+'Pollo Tropical'!M27+'Subway GC'!M27+'Sushi Maki'!M27+Panda!M27+'Starbucks Mango'!M27+'Taco Bell'!M27+'Chick-fil-A'!M27+Dunkin!M27+Chipotle!M27+Sergios!M27+'Moes PG5'!M27+'Papa Johns'!M27+Salad!M27+'Half Moon &amp; Tropical Smoothie'!M27+'Athletic Concessions - Kitchen'!M27+'Starbucks BBC'!M27+'Moes BBC'!M27+'Grille Works BBC'!M27+'Subway BBC'!M27+'Market Pavillion'!M27+'Chic Fil A BBC'!M27+Panera!M27+'Heritage Market'!M27</f>
        <v>357733.00455840002</v>
      </c>
      <c r="N27" s="80">
        <f t="shared" si="5"/>
        <v>1.7688506625406178E-2</v>
      </c>
      <c r="O27" s="81">
        <f>'POD Breezeway'!O27+'Express GL'!O27+'Starbucks GL-SBX Truck'!O27+'Miro''s'!O27+'Faculty Club'!O27+'Almazar  &amp; Brand X'!O27+'Burger King'!O27+Bustelo!O27+Chilis!O27+Einstein!O27+Jamba!O27+'Pollo Tropical'!O27+'Subway GC'!O27+'Sushi Maki'!O27+Panda!O27+'Starbucks Mango'!O27+'Taco Bell'!O27+'Chick-fil-A'!O27+Dunkin!O27+Chipotle!O27+Sergios!O27+'Moes PG5'!O27+'Papa Johns'!O27+Salad!O27+'Half Moon &amp; Tropical Smoothie'!O27+'Athletic Concessions - Kitchen'!O27+'Starbucks BBC'!O27+'Moes BBC'!O27+'Grille Works BBC'!O27+'Subway BBC'!O27+'Market Pavillion'!O27+'Chic Fil A BBC'!O27+Panera!O27+'Heritage Market'!O27</f>
        <v>364887.66464956797</v>
      </c>
      <c r="P27" s="80">
        <f t="shared" si="6"/>
        <v>1.7721502725700514E-2</v>
      </c>
      <c r="Q27" s="81">
        <f>'POD Breezeway'!Q27+'Express GL'!Q27+'Starbucks GL-SBX Truck'!Q27+'Miro''s'!Q27+'Faculty Club'!Q27+'Almazar  &amp; Brand X'!Q27+'Burger King'!Q27+Bustelo!Q27+Chilis!Q27+Einstein!Q27+Jamba!Q27+'Pollo Tropical'!Q27+'Subway GC'!Q27+'Sushi Maki'!Q27+Panda!Q27+'Starbucks Mango'!Q27+'Taco Bell'!Q27+'Chick-fil-A'!Q27+Dunkin!Q27+Chipotle!Q27+Sergios!Q27+'Moes PG5'!Q27+'Papa Johns'!Q27+Salad!Q27+'Half Moon &amp; Tropical Smoothie'!Q27+'Athletic Concessions - Kitchen'!Q27+'Starbucks BBC'!Q27+'Moes BBC'!Q27+'Grille Works BBC'!Q27+'Subway BBC'!Q27+'Market Pavillion'!Q27+'Chic Fil A BBC'!Q27+Panera!Q27+'Heritage Market'!Q27</f>
        <v>372185.41794255946</v>
      </c>
      <c r="R27" s="80">
        <f t="shared" si="7"/>
        <v>1.7754296856578321E-2</v>
      </c>
      <c r="S27" s="81">
        <f>'POD Breezeway'!S27+'Express GL'!S27+'Starbucks GL-SBX Truck'!S27+'Miro''s'!S27+'Faculty Club'!S27+'Almazar  &amp; Brand X'!S27+'Burger King'!S27+Bustelo!S27+Chilis!S27+Einstein!S27+Jamba!S27+'Pollo Tropical'!S27+'Subway GC'!S27+'Sushi Maki'!S27+Panda!S27+'Starbucks Mango'!S27+'Taco Bell'!S27+'Chick-fil-A'!S27+Dunkin!S27+Chipotle!S27+Sergios!S27+'Moes PG5'!S27+'Papa Johns'!S27+Salad!S27+'Half Moon &amp; Tropical Smoothie'!S27+'Athletic Concessions - Kitchen'!S27+'Starbucks BBC'!S27+'Moes BBC'!S27+'Grille Works BBC'!S27+'Subway BBC'!S27+'Market Pavillion'!S27+'Chic Fil A BBC'!S27+Panera!S27+'Heritage Market'!S27</f>
        <v>379629.12630141061</v>
      </c>
      <c r="T27" s="80">
        <f t="shared" si="8"/>
        <v>1.778688928974306E-2</v>
      </c>
      <c r="U27" s="81">
        <f>'POD Breezeway'!U27+'Express GL'!U27+'Starbucks GL-SBX Truck'!U27+'Miro''s'!U27+'Faculty Club'!U27+'Almazar  &amp; Brand X'!U27+'Burger King'!U27+Bustelo!U27+Chilis!U27+Einstein!U27+Jamba!U27+'Pollo Tropical'!U27+'Subway GC'!U27+'Sushi Maki'!U27+Panda!U27+'Starbucks Mango'!U27+'Taco Bell'!U27+'Chick-fil-A'!U27+Dunkin!U27+Chipotle!U27+Sergios!U27+'Moes PG5'!U27+'Papa Johns'!U27+Salad!U27+'Half Moon &amp; Tropical Smoothie'!U27+'Athletic Concessions - Kitchen'!U27+'Starbucks BBC'!U27+'Moes BBC'!U27+'Grille Works BBC'!U27+'Subway BBC'!U27+'Market Pavillion'!U27+'Chic Fil A BBC'!U27+Panera!U27+'Heritage Market'!U27</f>
        <v>387221.70882743882</v>
      </c>
      <c r="V27" s="80">
        <f t="shared" si="9"/>
        <v>1.7214319194202715E-2</v>
      </c>
    </row>
    <row r="28" spans="1:22" ht="12.75" customHeight="1">
      <c r="A28" s="1" t="s">
        <v>365</v>
      </c>
      <c r="B28" s="53"/>
      <c r="C28" s="82">
        <f>SUM(C19:C27)</f>
        <v>15894799.379999997</v>
      </c>
      <c r="D28" s="83">
        <f t="shared" si="0"/>
        <v>1</v>
      </c>
      <c r="E28" s="82">
        <f>SUM(E19:E27)</f>
        <v>17326740</v>
      </c>
      <c r="F28" s="83">
        <f t="shared" si="1"/>
        <v>1</v>
      </c>
      <c r="G28" s="82">
        <f>SUM(G19:G27)</f>
        <v>19120679.800000001</v>
      </c>
      <c r="H28" s="83">
        <f t="shared" si="2"/>
        <v>1</v>
      </c>
      <c r="I28" s="82">
        <f>SUM(I19:I27)</f>
        <v>19512177.996000003</v>
      </c>
      <c r="J28" s="83">
        <f t="shared" si="3"/>
        <v>1</v>
      </c>
      <c r="K28" s="82">
        <f>SUM(K19:K27)</f>
        <v>19864769.61792</v>
      </c>
      <c r="L28" s="83">
        <f t="shared" si="4"/>
        <v>1</v>
      </c>
      <c r="M28" s="82">
        <f>SUM(M19:M27)</f>
        <v>20224036.552898396</v>
      </c>
      <c r="N28" s="83">
        <f t="shared" si="5"/>
        <v>1</v>
      </c>
      <c r="O28" s="82">
        <f>SUM(O19:O27)</f>
        <v>20590108.54200257</v>
      </c>
      <c r="P28" s="83">
        <f t="shared" si="6"/>
        <v>1</v>
      </c>
      <c r="Q28" s="82">
        <f>SUM(Q19:Q27)</f>
        <v>20963117.883469284</v>
      </c>
      <c r="R28" s="83">
        <f t="shared" si="7"/>
        <v>1</v>
      </c>
      <c r="S28" s="82">
        <f>SUM(S19:S27)</f>
        <v>21343199.483471598</v>
      </c>
      <c r="T28" s="83">
        <f t="shared" si="8"/>
        <v>1</v>
      </c>
      <c r="U28" s="82">
        <f>SUM(U19:U27)</f>
        <v>22494163.40309548</v>
      </c>
      <c r="V28" s="83">
        <f t="shared" si="9"/>
        <v>1</v>
      </c>
    </row>
    <row r="29" spans="1:22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2" ht="12.75" customHeight="1">
      <c r="A30" s="1" t="s">
        <v>366</v>
      </c>
      <c r="B30" s="53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2" ht="12.75" customHeight="1">
      <c r="A31" s="2" t="s">
        <v>367</v>
      </c>
      <c r="B31" s="35"/>
      <c r="C31" s="79">
        <f>'POD Breezeway'!C31+'Express GL'!C31+'Starbucks GL-SBX Truck'!C31+'Miro''s'!C31+'Faculty Club'!C31+'Almazar  &amp; Brand X'!C31+'Burger King'!C31+Bustelo!C31+Chilis!C31+Einstein!C31+Jamba!C31+'Pollo Tropical'!C31+'Subway GC'!C31+'Sushi Maki'!C31+Panda!C31+'Starbucks Mango'!C31+'Taco Bell'!C31+'Chick-fil-A'!C31+Dunkin!C31+Chipotle!C31+Sergios!C31+'Moes PG5'!C31+'Papa Johns'!C31+Salad!C31+'Half Moon &amp; Tropical Smoothie'!C31+'Athletic Concessions - Kitchen'!C31+'Starbucks BBC'!C31+'Moes BBC'!C31+'Grille Works BBC'!C31+'Subway BBC'!C31+'Market Pavillion'!C31+'Chic Fil A BBC'!C31+Panera!C31+'Heritage Market'!C31</f>
        <v>4849934.41842</v>
      </c>
      <c r="D31" s="80">
        <f>IFERROR(C31/C$28,0)</f>
        <v>0.3051271238140032</v>
      </c>
      <c r="E31" s="79">
        <f>'POD Breezeway'!E31+'Express GL'!E31+'Starbucks GL-SBX Truck'!E31+'Miro''s'!E31+'Faculty Club'!E31+'Almazar  &amp; Brand X'!E31+'Burger King'!E31+Bustelo!E31+Chilis!E31+Einstein!E31+Jamba!E31+'Pollo Tropical'!E31+'Subway GC'!E31+'Sushi Maki'!E31+Panda!E31+'Starbucks Mango'!E31+'Taco Bell'!E31+'Chick-fil-A'!E31+Dunkin!E31+Chipotle!E31+Sergios!E31+'Moes PG5'!E31+'Papa Johns'!E31+Salad!E31+'Half Moon &amp; Tropical Smoothie'!E31+'Athletic Concessions - Kitchen'!E31+'Starbucks BBC'!E31+'Moes BBC'!E31+'Grille Works BBC'!E31+'Subway BBC'!E31+'Market Pavillion'!E31+'Chic Fil A BBC'!E31+Panera!E31+'Heritage Market'!E31</f>
        <v>5448962</v>
      </c>
      <c r="F31" s="80">
        <f>IFERROR(E31/E$28,0)</f>
        <v>0.31448281673298034</v>
      </c>
      <c r="G31" s="79">
        <f>'POD Breezeway'!G31+'Express GL'!G31+'Starbucks GL-SBX Truck'!G31+'Miro''s'!G31+'Faculty Club'!G31+'Almazar  &amp; Brand X'!G31+'Burger King'!G31+Bustelo!G31+Chilis!G31+Einstein!G31+Jamba!G31+'Pollo Tropical'!G31+'Subway GC'!G31+'Sushi Maki'!G31+Panda!G31+'Starbucks Mango'!G31+'Taco Bell'!G31+'Chick-fil-A'!G31+Dunkin!G31+Chipotle!G31+Sergios!G31+'Moes PG5'!G31+'Papa Johns'!G31+Salad!G31+'Half Moon &amp; Tropical Smoothie'!G31+'Athletic Concessions - Kitchen'!G31+'Starbucks BBC'!G31+'Moes BBC'!G31+'Grille Works BBC'!G31+'Subway BBC'!G31+'Market Pavillion'!G31+'Chic Fil A BBC'!G31+Panera!G31+'Heritage Market'!G31</f>
        <v>6151997.5000000009</v>
      </c>
      <c r="H31" s="80">
        <f>IFERROR(G31/G$28,0)</f>
        <v>0.32174575194758509</v>
      </c>
      <c r="I31" s="79">
        <f>'POD Breezeway'!I31+'Express GL'!I31+'Starbucks GL-SBX Truck'!I31+'Miro''s'!I31+'Faculty Club'!I31+'Almazar  &amp; Brand X'!I31+'Burger King'!I31+Bustelo!I31+Chilis!I31+Einstein!I31+Jamba!I31+'Pollo Tropical'!I31+'Subway GC'!I31+'Sushi Maki'!I31+Panda!I31+'Starbucks Mango'!I31+'Taco Bell'!I31+'Chick-fil-A'!I31+Dunkin!I31+Chipotle!I31+Sergios!I31+'Moes PG5'!I31+'Papa Johns'!I31+Salad!I31+'Half Moon &amp; Tropical Smoothie'!I31+'Athletic Concessions - Kitchen'!I31+'Starbucks BBC'!I31+'Moes BBC'!I31+'Grille Works BBC'!I31+'Subway BBC'!I31+'Market Pavillion'!I31+'Chic Fil A BBC'!I31+Panera!I31+'Heritage Market'!I31</f>
        <v>6278035.3679999998</v>
      </c>
      <c r="J31" s="80">
        <f>IFERROR(I31/I$28,0)</f>
        <v>0.32174959501122824</v>
      </c>
      <c r="K31" s="79">
        <f>'POD Breezeway'!K31+'Express GL'!K31+'Starbucks GL-SBX Truck'!K31+'Miro''s'!K31+'Faculty Club'!K31+'Almazar  &amp; Brand X'!K31+'Burger King'!K31+Bustelo!K31+Chilis!K31+Einstein!K31+Jamba!K31+'Pollo Tropical'!K31+'Subway GC'!K31+'Sushi Maki'!K31+Panda!K31+'Starbucks Mango'!K31+'Taco Bell'!K31+'Chick-fil-A'!K31+Dunkin!K31+Chipotle!K31+Sergios!K31+'Moes PG5'!K31+'Papa Johns'!K31+Salad!K31+'Half Moon &amp; Tropical Smoothie'!K31+'Athletic Concessions - Kitchen'!K31+'Starbucks BBC'!K31+'Moes BBC'!K31+'Grille Works BBC'!K31+'Subway BBC'!K31+'Market Pavillion'!K31+'Chic Fil A BBC'!K31+Panera!K31+'Heritage Market'!K31</f>
        <v>6390994.0678200014</v>
      </c>
      <c r="L31" s="80">
        <f>IFERROR(K31/K$28,0)</f>
        <v>0.32172505348638369</v>
      </c>
      <c r="M31" s="79">
        <f>'POD Breezeway'!M31+'Express GL'!M31+'Starbucks GL-SBX Truck'!M31+'Miro''s'!M31+'Faculty Club'!M31+'Almazar  &amp; Brand X'!M31+'Burger King'!M31+Bustelo!M31+Chilis!M31+Einstein!M31+Jamba!M31+'Pollo Tropical'!M31+'Subway GC'!M31+'Sushi Maki'!M31+Panda!M31+'Starbucks Mango'!M31+'Taco Bell'!M31+'Chick-fil-A'!M31+Dunkin!M31+Chipotle!M31+Sergios!M31+'Moes PG5'!M31+'Papa Johns'!M31+Salad!M31+'Half Moon &amp; Tropical Smoothie'!M31+'Athletic Concessions - Kitchen'!M31+'Starbucks BBC'!M31+'Moes BBC'!M31+'Grille Works BBC'!M31+'Subway BBC'!M31+'Market Pavillion'!M31+'Chic Fil A BBC'!M31+Panera!M31+'Heritage Market'!M31</f>
        <v>6506085.9215609999</v>
      </c>
      <c r="N31" s="80">
        <f>IFERROR(M31/M$28,0)</f>
        <v>0.32170066072337</v>
      </c>
      <c r="O31" s="79">
        <f>'POD Breezeway'!O31+'Express GL'!O31+'Starbucks GL-SBX Truck'!O31+'Miro''s'!O31+'Faculty Club'!O31+'Almazar  &amp; Brand X'!O31+'Burger King'!O31+Bustelo!O31+Chilis!O31+Einstein!O31+Jamba!O31+'Pollo Tropical'!O31+'Subway GC'!O31+'Sushi Maki'!O31+Panda!O31+'Starbucks Mango'!O31+'Taco Bell'!O31+'Chick-fil-A'!O31+Dunkin!O31+Chipotle!O31+Sergios!O31+'Moes PG5'!O31+'Papa Johns'!O31+Salad!O31+'Half Moon &amp; Tropical Smoothie'!O31+'Athletic Concessions - Kitchen'!O31+'Starbucks BBC'!O31+'Moes BBC'!O31+'Grille Works BBC'!O31+'Subway BBC'!O31+'Market Pavillion'!O31+'Chic Fil A BBC'!O31+Panera!O31+'Heritage Market'!O31</f>
        <v>6623352.3321006671</v>
      </c>
      <c r="P31" s="80">
        <f>IFERROR(O31/O$28,0)</f>
        <v>0.3216764165467817</v>
      </c>
      <c r="Q31" s="79">
        <f>'POD Breezeway'!Q31+'Express GL'!Q31+'Starbucks GL-SBX Truck'!Q31+'Miro''s'!Q31+'Faculty Club'!Q31+'Almazar  &amp; Brand X'!Q31+'Burger King'!Q31+Bustelo!Q31+Chilis!Q31+Einstein!Q31+Jamba!Q31+'Pollo Tropical'!Q31+'Subway GC'!Q31+'Sushi Maki'!Q31+Panda!Q31+'Starbucks Mango'!Q31+'Taco Bell'!Q31+'Chick-fil-A'!Q31+Dunkin!Q31+Chipotle!Q31+Sergios!Q31+'Moes PG5'!Q31+'Papa Johns'!Q31+Salad!Q31+'Half Moon &amp; Tropical Smoothie'!Q31+'Athletic Concessions - Kitchen'!Q31+'Starbucks BBC'!Q31+'Moes BBC'!Q31+'Grille Works BBC'!Q31+'Subway BBC'!Q31+'Market Pavillion'!Q31+'Chic Fil A BBC'!Q31+Panera!Q31+'Heritage Market'!Q31</f>
        <v>6742835.5177722126</v>
      </c>
      <c r="R31" s="80">
        <f>IFERROR(Q31/Q$28,0)</f>
        <v>0.32165232076900907</v>
      </c>
      <c r="S31" s="79">
        <f>'POD Breezeway'!S31+'Express GL'!S31+'Starbucks GL-SBX Truck'!S31+'Miro''s'!S31+'Faculty Club'!S31+'Almazar  &amp; Brand X'!S31+'Burger King'!S31+Bustelo!S31+Chilis!S31+Einstein!S31+Jamba!S31+'Pollo Tropical'!S31+'Subway GC'!S31+'Sushi Maki'!S31+Panda!S31+'Starbucks Mango'!S31+'Taco Bell'!S31+'Chick-fil-A'!S31+Dunkin!S31+Chipotle!S31+Sergios!S31+'Moes PG5'!S31+'Papa Johns'!S31+Salad!S31+'Half Moon &amp; Tropical Smoothie'!S31+'Athletic Concessions - Kitchen'!S31+'Starbucks BBC'!S31+'Moes BBC'!S31+'Grille Works BBC'!S31+'Subway BBC'!S31+'Market Pavillion'!S31+'Chic Fil A BBC'!S31+Panera!S31+'Heritage Market'!S31</f>
        <v>6864578.5285474807</v>
      </c>
      <c r="T31" s="80">
        <f>IFERROR(S31/S$28,0)</f>
        <v>0.32162837319041521</v>
      </c>
      <c r="U31" s="79">
        <f>'POD Breezeway'!U31+'Express GL'!U31+'Starbucks GL-SBX Truck'!U31+'Miro''s'!U31+'Faculty Club'!U31+'Almazar  &amp; Brand X'!U31+'Burger King'!U31+Bustelo!U31+Chilis!U31+Einstein!U31+Jamba!U31+'Pollo Tropical'!U31+'Subway GC'!U31+'Sushi Maki'!U31+Panda!U31+'Starbucks Mango'!U31+'Taco Bell'!U31+'Chick-fil-A'!U31+Dunkin!U31+Chipotle!U31+Sergios!U31+'Moes PG5'!U31+'Papa Johns'!U31+Salad!U31+'Half Moon &amp; Tropical Smoothie'!U31+'Athletic Concessions - Kitchen'!U31+'Starbucks BBC'!U31+'Moes BBC'!U31+'Grille Works BBC'!U31+'Subway BBC'!U31+'Market Pavillion'!U31+'Chic Fil A BBC'!U31+Panera!U31+'Heritage Market'!U31</f>
        <v>7240637.1859578565</v>
      </c>
      <c r="V31" s="80">
        <f>IFERROR(U31/U$28,0)</f>
        <v>0.32188959670140271</v>
      </c>
    </row>
    <row r="32" spans="1:22" ht="12.75" customHeight="1">
      <c r="A32" s="8" t="s">
        <v>368</v>
      </c>
      <c r="B32" s="8"/>
      <c r="C32" s="79">
        <f>'POD Breezeway'!C32+'Express GL'!C32+'Starbucks GL-SBX Truck'!C32+'Miro''s'!C32+'Faculty Club'!C32+'Almazar  &amp; Brand X'!C32+'Burger King'!C32+Bustelo!C32+Chilis!C32+Einstein!C32+Jamba!C32+'Pollo Tropical'!C32+'Subway GC'!C32+'Sushi Maki'!C32+Panda!C32+'Starbucks Mango'!C32+'Taco Bell'!C32+'Chick-fil-A'!C32+Dunkin!C32+Chipotle!C32+Sergios!C32+'Moes PG5'!C32+'Papa Johns'!C32+Salad!C32+'Half Moon &amp; Tropical Smoothie'!C32+'Athletic Concessions - Kitchen'!C32+'Starbucks BBC'!C32+'Moes BBC'!C32+'Grille Works BBC'!C32+'Subway BBC'!C32+'Market Pavillion'!C32+'Chic Fil A BBC'!C32+Panera!C32+'Heritage Market'!C32</f>
        <v>0</v>
      </c>
      <c r="D32" s="80">
        <f>IFERROR(C32/C$28,0)</f>
        <v>0</v>
      </c>
      <c r="E32" s="79">
        <f>'POD Breezeway'!E32+'Express GL'!E32+'Starbucks GL-SBX Truck'!E32+'Miro''s'!E32+'Faculty Club'!E32+'Almazar  &amp; Brand X'!E32+'Burger King'!E32+Bustelo!E32+Chilis!E32+Einstein!E32+Jamba!E32+'Pollo Tropical'!E32+'Subway GC'!E32+'Sushi Maki'!E32+Panda!E32+'Starbucks Mango'!E32+'Taco Bell'!E32+'Chick-fil-A'!E32+Dunkin!E32+Chipotle!E32+Sergios!E32+'Moes PG5'!E32+'Papa Johns'!E32+Salad!E32+'Half Moon &amp; Tropical Smoothie'!E32+'Athletic Concessions - Kitchen'!E32+'Starbucks BBC'!E32+'Moes BBC'!E32+'Grille Works BBC'!E32+'Subway BBC'!E32+'Market Pavillion'!E32+'Chic Fil A BBC'!E32+Panera!E32+'Heritage Market'!E32</f>
        <v>0</v>
      </c>
      <c r="F32" s="80">
        <f>IFERROR(E32/E$28,0)</f>
        <v>0</v>
      </c>
      <c r="G32" s="79">
        <f>'POD Breezeway'!G32+'Express GL'!G32+'Starbucks GL-SBX Truck'!G32+'Miro''s'!G32+'Faculty Club'!G32+'Almazar  &amp; Brand X'!G32+'Burger King'!G32+Bustelo!G32+Chilis!G32+Einstein!G32+Jamba!G32+'Pollo Tropical'!G32+'Subway GC'!G32+'Sushi Maki'!G32+Panda!G32+'Starbucks Mango'!G32+'Taco Bell'!G32+'Chick-fil-A'!G32+Dunkin!G32+Chipotle!G32+Sergios!G32+'Moes PG5'!G32+'Papa Johns'!G32+Salad!G32+'Half Moon &amp; Tropical Smoothie'!G32+'Athletic Concessions - Kitchen'!G32+'Starbucks BBC'!G32+'Moes BBC'!G32+'Grille Works BBC'!G32+'Subway BBC'!G32+'Market Pavillion'!G32+'Chic Fil A BBC'!G32+Panera!G32+'Heritage Market'!G32</f>
        <v>0</v>
      </c>
      <c r="H32" s="80">
        <f>IFERROR(G32/G$28,0)</f>
        <v>0</v>
      </c>
      <c r="I32" s="79">
        <f>'POD Breezeway'!I32+'Express GL'!I32+'Starbucks GL-SBX Truck'!I32+'Miro''s'!I32+'Faculty Club'!I32+'Almazar  &amp; Brand X'!I32+'Burger King'!I32+Bustelo!I32+Chilis!I32+Einstein!I32+Jamba!I32+'Pollo Tropical'!I32+'Subway GC'!I32+'Sushi Maki'!I32+Panda!I32+'Starbucks Mango'!I32+'Taco Bell'!I32+'Chick-fil-A'!I32+Dunkin!I32+Chipotle!I32+Sergios!I32+'Moes PG5'!I32+'Papa Johns'!I32+Salad!I32+'Half Moon &amp; Tropical Smoothie'!I32+'Athletic Concessions - Kitchen'!I32+'Starbucks BBC'!I32+'Moes BBC'!I32+'Grille Works BBC'!I32+'Subway BBC'!I32+'Market Pavillion'!I32+'Chic Fil A BBC'!I32+Panera!I32+'Heritage Market'!I32</f>
        <v>0</v>
      </c>
      <c r="J32" s="80">
        <f>IFERROR(I32/I$28,0)</f>
        <v>0</v>
      </c>
      <c r="K32" s="79">
        <f>'POD Breezeway'!K32+'Express GL'!K32+'Starbucks GL-SBX Truck'!K32+'Miro''s'!K32+'Faculty Club'!K32+'Almazar  &amp; Brand X'!K32+'Burger King'!K32+Bustelo!K32+Chilis!K32+Einstein!K32+Jamba!K32+'Pollo Tropical'!K32+'Subway GC'!K32+'Sushi Maki'!K32+Panda!K32+'Starbucks Mango'!K32+'Taco Bell'!K32+'Chick-fil-A'!K32+Dunkin!K32+Chipotle!K32+Sergios!K32+'Moes PG5'!K32+'Papa Johns'!K32+Salad!K32+'Half Moon &amp; Tropical Smoothie'!K32+'Athletic Concessions - Kitchen'!K32+'Starbucks BBC'!K32+'Moes BBC'!K32+'Grille Works BBC'!K32+'Subway BBC'!K32+'Market Pavillion'!K32+'Chic Fil A BBC'!K32+Panera!K32+'Heritage Market'!K32</f>
        <v>0</v>
      </c>
      <c r="L32" s="80">
        <f>IFERROR(K32/K$28,0)</f>
        <v>0</v>
      </c>
      <c r="M32" s="79">
        <f>'POD Breezeway'!M32+'Express GL'!M32+'Starbucks GL-SBX Truck'!M32+'Miro''s'!M32+'Faculty Club'!M32+'Almazar  &amp; Brand X'!M32+'Burger King'!M32+Bustelo!M32+Chilis!M32+Einstein!M32+Jamba!M32+'Pollo Tropical'!M32+'Subway GC'!M32+'Sushi Maki'!M32+Panda!M32+'Starbucks Mango'!M32+'Taco Bell'!M32+'Chick-fil-A'!M32+Dunkin!M32+Chipotle!M32+Sergios!M32+'Moes PG5'!M32+'Papa Johns'!M32+Salad!M32+'Half Moon &amp; Tropical Smoothie'!M32+'Athletic Concessions - Kitchen'!M32+'Starbucks BBC'!M32+'Moes BBC'!M32+'Grille Works BBC'!M32+'Subway BBC'!M32+'Market Pavillion'!M32+'Chic Fil A BBC'!M32+Panera!M32+'Heritage Market'!M32</f>
        <v>0</v>
      </c>
      <c r="N32" s="80">
        <f>IFERROR(M32/M$28,0)</f>
        <v>0</v>
      </c>
      <c r="O32" s="79">
        <f>'POD Breezeway'!O32+'Express GL'!O32+'Starbucks GL-SBX Truck'!O32+'Miro''s'!O32+'Faculty Club'!O32+'Almazar  &amp; Brand X'!O32+'Burger King'!O32+Bustelo!O32+Chilis!O32+Einstein!O32+Jamba!O32+'Pollo Tropical'!O32+'Subway GC'!O32+'Sushi Maki'!O32+Panda!O32+'Starbucks Mango'!O32+'Taco Bell'!O32+'Chick-fil-A'!O32+Dunkin!O32+Chipotle!O32+Sergios!O32+'Moes PG5'!O32+'Papa Johns'!O32+Salad!O32+'Half Moon &amp; Tropical Smoothie'!O32+'Athletic Concessions - Kitchen'!O32+'Starbucks BBC'!O32+'Moes BBC'!O32+'Grille Works BBC'!O32+'Subway BBC'!O32+'Market Pavillion'!O32+'Chic Fil A BBC'!O32+Panera!O32+'Heritage Market'!O32</f>
        <v>0</v>
      </c>
      <c r="P32" s="80">
        <f>IFERROR(O32/O$28,0)</f>
        <v>0</v>
      </c>
      <c r="Q32" s="79">
        <f>'POD Breezeway'!Q32+'Express GL'!Q32+'Starbucks GL-SBX Truck'!Q32+'Miro''s'!Q32+'Faculty Club'!Q32+'Almazar  &amp; Brand X'!Q32+'Burger King'!Q32+Bustelo!Q32+Chilis!Q32+Einstein!Q32+Jamba!Q32+'Pollo Tropical'!Q32+'Subway GC'!Q32+'Sushi Maki'!Q32+Panda!Q32+'Starbucks Mango'!Q32+'Taco Bell'!Q32+'Chick-fil-A'!Q32+Dunkin!Q32+Chipotle!Q32+Sergios!Q32+'Moes PG5'!Q32+'Papa Johns'!Q32+Salad!Q32+'Half Moon &amp; Tropical Smoothie'!Q32+'Athletic Concessions - Kitchen'!Q32+'Starbucks BBC'!Q32+'Moes BBC'!Q32+'Grille Works BBC'!Q32+'Subway BBC'!Q32+'Market Pavillion'!Q32+'Chic Fil A BBC'!Q32+Panera!Q32+'Heritage Market'!Q32</f>
        <v>0</v>
      </c>
      <c r="R32" s="80">
        <f>IFERROR(Q32/Q$28,0)</f>
        <v>0</v>
      </c>
      <c r="S32" s="79">
        <f>'POD Breezeway'!S32+'Express GL'!S32+'Starbucks GL-SBX Truck'!S32+'Miro''s'!S32+'Faculty Club'!S32+'Almazar  &amp; Brand X'!S32+'Burger King'!S32+Bustelo!S32+Chilis!S32+Einstein!S32+Jamba!S32+'Pollo Tropical'!S32+'Subway GC'!S32+'Sushi Maki'!S32+Panda!S32+'Starbucks Mango'!S32+'Taco Bell'!S32+'Chick-fil-A'!S32+Dunkin!S32+Chipotle!S32+Sergios!S32+'Moes PG5'!S32+'Papa Johns'!S32+Salad!S32+'Half Moon &amp; Tropical Smoothie'!S32+'Athletic Concessions - Kitchen'!S32+'Starbucks BBC'!S32+'Moes BBC'!S32+'Grille Works BBC'!S32+'Subway BBC'!S32+'Market Pavillion'!S32+'Chic Fil A BBC'!S32+Panera!S32+'Heritage Market'!S32</f>
        <v>0</v>
      </c>
      <c r="T32" s="80">
        <f>IFERROR(S32/S$28,0)</f>
        <v>0</v>
      </c>
      <c r="U32" s="79">
        <f>'POD Breezeway'!U32+'Express GL'!U32+'Starbucks GL-SBX Truck'!U32+'Miro''s'!U32+'Faculty Club'!U32+'Almazar  &amp; Brand X'!U32+'Burger King'!U32+Bustelo!U32+Chilis!U32+Einstein!U32+Jamba!U32+'Pollo Tropical'!U32+'Subway GC'!U32+'Sushi Maki'!U32+Panda!U32+'Starbucks Mango'!U32+'Taco Bell'!U32+'Chick-fil-A'!U32+Dunkin!U32+Chipotle!U32+Sergios!U32+'Moes PG5'!U32+'Papa Johns'!U32+Salad!U32+'Half Moon &amp; Tropical Smoothie'!U32+'Athletic Concessions - Kitchen'!U32+'Starbucks BBC'!U32+'Moes BBC'!U32+'Grille Works BBC'!U32+'Subway BBC'!U32+'Market Pavillion'!U32+'Chic Fil A BBC'!U32+Panera!U32+'Heritage Market'!U32</f>
        <v>0</v>
      </c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4849934.41842</v>
      </c>
      <c r="D33" s="83">
        <f>IFERROR(C33/C$28,0)</f>
        <v>0.3051271238140032</v>
      </c>
      <c r="E33" s="82">
        <f>SUM(E31:E32)</f>
        <v>5448962</v>
      </c>
      <c r="F33" s="83">
        <f>IFERROR(E33/E$28,0)</f>
        <v>0.31448281673298034</v>
      </c>
      <c r="G33" s="82">
        <f>SUM(G31:G32)</f>
        <v>6151997.5000000009</v>
      </c>
      <c r="H33" s="83">
        <f>IFERROR(G33/G$28,0)</f>
        <v>0.32174575194758509</v>
      </c>
      <c r="I33" s="82">
        <f>SUM(I31:I32)</f>
        <v>6278035.3679999998</v>
      </c>
      <c r="J33" s="83">
        <f>IFERROR(I33/I$28,0)</f>
        <v>0.32174959501122824</v>
      </c>
      <c r="K33" s="82">
        <f>SUM(K31:K32)</f>
        <v>6390994.0678200014</v>
      </c>
      <c r="L33" s="83">
        <f>IFERROR(K33/K$28,0)</f>
        <v>0.32172505348638369</v>
      </c>
      <c r="M33" s="82">
        <f>SUM(M31:M32)</f>
        <v>6506085.9215609999</v>
      </c>
      <c r="N33" s="83">
        <f>IFERROR(M33/M$28,0)</f>
        <v>0.32170066072337</v>
      </c>
      <c r="O33" s="82">
        <f>SUM(O31:O32)</f>
        <v>6623352.3321006671</v>
      </c>
      <c r="P33" s="83">
        <f>IFERROR(O33/O$28,0)</f>
        <v>0.3216764165467817</v>
      </c>
      <c r="Q33" s="82">
        <f>SUM(Q31:Q32)</f>
        <v>6742835.5177722126</v>
      </c>
      <c r="R33" s="83">
        <f>IFERROR(Q33/Q$28,0)</f>
        <v>0.32165232076900907</v>
      </c>
      <c r="S33" s="82">
        <f>SUM(S31:S32)</f>
        <v>6864578.5285474807</v>
      </c>
      <c r="T33" s="83">
        <f>IFERROR(S33/S$28,0)</f>
        <v>0.32162837319041521</v>
      </c>
      <c r="U33" s="82">
        <f>SUM(U31:U32)</f>
        <v>7240637.1859578565</v>
      </c>
      <c r="V33" s="83">
        <f>IFERROR(U33/U$28,0)</f>
        <v>0.32188959670140271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79">
        <f>'POD Breezeway'!C36+'Express GL'!C36+'Starbucks GL-SBX Truck'!C36+'Miro''s'!C36+'Faculty Club'!C36+'Almazar  &amp; Brand X'!C36+'Burger King'!C36+Bustelo!C36+Chilis!C36+Einstein!C36+Jamba!C36+'Pollo Tropical'!C36+'Subway GC'!C36+'Sushi Maki'!C36+Panda!C36+'Starbucks Mango'!C36+'Taco Bell'!C36+'Chick-fil-A'!C36+Dunkin!C36+Chipotle!C36+Sergios!C36+'Moes PG5'!C36+'Papa Johns'!C36+Salad!C36+'Half Moon &amp; Tropical Smoothie'!C36+'Athletic Concessions - Kitchen'!C36+'Starbucks BBC'!C36+'Moes BBC'!C36+'Grille Works BBC'!C36+'Subway BBC'!C36+'Market Pavillion'!C36+'Chic Fil A BBC'!C36+Panera!C36+'Heritage Market'!C36</f>
        <v>384975</v>
      </c>
      <c r="D36" s="80">
        <f t="shared" ref="D36:D46" si="10">IFERROR(C36/C$28,0)</f>
        <v>2.4220186162550991E-2</v>
      </c>
      <c r="E36" s="79">
        <f>'POD Breezeway'!E36+'Express GL'!E36+'Starbucks GL-SBX Truck'!E36+'Miro''s'!E36+'Faculty Club'!E36+'Almazar  &amp; Brand X'!E36+'Burger King'!E36+Bustelo!E36+Chilis!E36+Einstein!E36+Jamba!E36+'Pollo Tropical'!E36+'Subway GC'!E36+'Sushi Maki'!E36+Panda!E36+'Starbucks Mango'!E36+'Taco Bell'!E36+'Chick-fil-A'!E36+Dunkin!E36+Chipotle!E36+Sergios!E36+'Moes PG5'!E36+'Papa Johns'!E36+Salad!E36+'Half Moon &amp; Tropical Smoothie'!E36+'Athletic Concessions - Kitchen'!E36+'Starbucks BBC'!E36+'Moes BBC'!E36+'Grille Works BBC'!E36+'Subway BBC'!E36+'Market Pavillion'!E36+'Chic Fil A BBC'!E36+Panera!E36+'Heritage Market'!E36</f>
        <v>521569.57785714278</v>
      </c>
      <c r="F36" s="80">
        <f t="shared" ref="F36:F46" si="11">IFERROR(E36/E$28,0)</f>
        <v>3.0102002907479584E-2</v>
      </c>
      <c r="G36" s="79">
        <f>'POD Breezeway'!G36+'Express GL'!G36+'Starbucks GL-SBX Truck'!G36+'Miro''s'!G36+'Faculty Club'!G36+'Almazar  &amp; Brand X'!G36+'Burger King'!G36+Bustelo!G36+Chilis!G36+Einstein!G36+Jamba!G36+'Pollo Tropical'!G36+'Subway GC'!G36+'Sushi Maki'!G36+Panda!G36+'Starbucks Mango'!G36+'Taco Bell'!G36+'Chick-fil-A'!G36+Dunkin!G36+Chipotle!G36+Sergios!G36+'Moes PG5'!G36+'Papa Johns'!G36+Salad!G36+'Half Moon &amp; Tropical Smoothie'!G36+'Athletic Concessions - Kitchen'!G36+'Starbucks BBC'!G36+'Moes BBC'!G36+'Grille Works BBC'!G36+'Subway BBC'!G36+'Market Pavillion'!G36+'Chic Fil A BBC'!G36+Panera!G36+'Heritage Market'!G36</f>
        <v>645648.653575</v>
      </c>
      <c r="H36" s="80">
        <f t="shared" ref="H36:H46" si="12">IFERROR(G36/G$28,0)</f>
        <v>3.3767034453189265E-2</v>
      </c>
      <c r="I36" s="79">
        <f>'POD Breezeway'!I36+'Express GL'!I36+'Starbucks GL-SBX Truck'!I36+'Miro''s'!I36+'Faculty Club'!I36+'Almazar  &amp; Brand X'!I36+'Burger King'!I36+Bustelo!I36+Chilis!I36+Einstein!I36+Jamba!I36+'Pollo Tropical'!I36+'Subway GC'!I36+'Sushi Maki'!I36+Panda!I36+'Starbucks Mango'!I36+'Taco Bell'!I36+'Chick-fil-A'!I36+Dunkin!I36+Chipotle!I36+Sergios!I36+'Moes PG5'!I36+'Papa Johns'!I36+Salad!I36+'Half Moon &amp; Tropical Smoothie'!I36+'Athletic Concessions - Kitchen'!I36+'Starbucks BBC'!I36+'Moes BBC'!I36+'Grille Works BBC'!I36+'Subway BBC'!I36+'Market Pavillion'!I36+'Chic Fil A BBC'!I36+Panera!I36+'Heritage Market'!I36</f>
        <v>661264.10601837491</v>
      </c>
      <c r="J36" s="80">
        <f t="shared" ref="J36:J46" si="13">IFERROR(I36/I$28,0)</f>
        <v>3.3889815178701939E-2</v>
      </c>
      <c r="K36" s="79">
        <f>'POD Breezeway'!K36+'Express GL'!K36+'Starbucks GL-SBX Truck'!K36+'Miro''s'!K36+'Faculty Club'!K36+'Almazar  &amp; Brand X'!K36+'Burger King'!K36+Bustelo!K36+Chilis!K36+Einstein!K36+Jamba!K36+'Pollo Tropical'!K36+'Subway GC'!K36+'Sushi Maki'!K36+Panda!K36+'Starbucks Mango'!K36+'Taco Bell'!K36+'Chick-fil-A'!K36+Dunkin!K36+Chipotle!K36+Sergios!K36+'Moes PG5'!K36+'Papa Johns'!K36+Salad!K36+'Half Moon &amp; Tropical Smoothie'!K36+'Athletic Concessions - Kitchen'!K36+'Starbucks BBC'!K36+'Moes BBC'!K36+'Grille Works BBC'!K36+'Subway BBC'!K36+'Market Pavillion'!K36+'Chic Fil A BBC'!K36+Panera!K36+'Heritage Market'!K36</f>
        <v>677259.42949491425</v>
      </c>
      <c r="L36" s="80">
        <f t="shared" ref="L36:L46" si="14">IFERROR(K36/K$28,0)</f>
        <v>3.4093495294501619E-2</v>
      </c>
      <c r="M36" s="79">
        <f>'POD Breezeway'!M36+'Express GL'!M36+'Starbucks GL-SBX Truck'!M36+'Miro''s'!M36+'Faculty Club'!M36+'Almazar  &amp; Brand X'!M36+'Burger King'!M36+Bustelo!M36+Chilis!M36+Einstein!M36+Jamba!M36+'Pollo Tropical'!M36+'Subway GC'!M36+'Sushi Maki'!M36+Panda!M36+'Starbucks Mango'!M36+'Taco Bell'!M36+'Chick-fil-A'!M36+Dunkin!M36+Chipotle!M36+Sergios!M36+'Moes PG5'!M36+'Papa Johns'!M36+Salad!M36+'Half Moon &amp; Tropical Smoothie'!M36+'Athletic Concessions - Kitchen'!M36+'Starbucks BBC'!M36+'Moes BBC'!M36+'Grille Works BBC'!M36+'Subway BBC'!M36+'Market Pavillion'!M36+'Chic Fil A BBC'!M36+Panera!M36+'Heritage Market'!M36</f>
        <v>693643.91047488863</v>
      </c>
      <c r="N36" s="80">
        <f t="shared" ref="N36:N46" si="15">IFERROR(M36/M$28,0)</f>
        <v>3.4297995291918092E-2</v>
      </c>
      <c r="O36" s="79">
        <f>'POD Breezeway'!O36+'Express GL'!O36+'Starbucks GL-SBX Truck'!O36+'Miro''s'!O36+'Faculty Club'!O36+'Almazar  &amp; Brand X'!O36+'Burger King'!O36+Bustelo!O36+Chilis!O36+Einstein!O36+Jamba!O36+'Pollo Tropical'!O36+'Subway GC'!O36+'Sushi Maki'!O36+Panda!O36+'Starbucks Mango'!O36+'Taco Bell'!O36+'Chick-fil-A'!O36+Dunkin!O36+Chipotle!O36+Sergios!O36+'Moes PG5'!O36+'Papa Johns'!O36+Salad!O36+'Half Moon &amp; Tropical Smoothie'!O36+'Athletic Concessions - Kitchen'!O36+'Starbucks BBC'!O36+'Moes BBC'!O36+'Grille Works BBC'!O36+'Subway BBC'!O36+'Market Pavillion'!O36+'Chic Fil A BBC'!O36+Panera!O36+'Heritage Market'!O36</f>
        <v>710427.06338421442</v>
      </c>
      <c r="P36" s="80">
        <f t="shared" ref="P36:P46" si="16">IFERROR(O36/O$28,0)</f>
        <v>3.4503318034238936E-2</v>
      </c>
      <c r="Q36" s="79">
        <f>'POD Breezeway'!Q36+'Express GL'!Q36+'Starbucks GL-SBX Truck'!Q36+'Miro''s'!Q36+'Faculty Club'!Q36+'Almazar  &amp; Brand X'!Q36+'Burger King'!Q36+Bustelo!Q36+Chilis!Q36+Einstein!Q36+Jamba!Q36+'Pollo Tropical'!Q36+'Subway GC'!Q36+'Sushi Maki'!Q36+Panda!Q36+'Starbucks Mango'!Q36+'Taco Bell'!Q36+'Chick-fil-A'!Q36+Dunkin!Q36+Chipotle!Q36+Sergios!Q36+'Moes PG5'!Q36+'Papa Johns'!Q36+Salad!Q36+'Half Moon &amp; Tropical Smoothie'!Q36+'Athletic Concessions - Kitchen'!Q36+'Starbucks BBC'!Q36+'Moes BBC'!Q36+'Grille Works BBC'!Q36+'Subway BBC'!Q36+'Market Pavillion'!Q36+'Chic Fil A BBC'!Q36+Panera!Q36+'Heritage Market'!Q36</f>
        <v>727618.63621922233</v>
      </c>
      <c r="R36" s="80">
        <f t="shared" ref="R36:R46" si="17">IFERROR(Q36/Q$28,0)</f>
        <v>3.4709466419257921E-2</v>
      </c>
      <c r="S36" s="79">
        <f>'POD Breezeway'!S36+'Express GL'!S36+'Starbucks GL-SBX Truck'!S36+'Miro''s'!S36+'Faculty Club'!S36+'Almazar  &amp; Brand X'!S36+'Burger King'!S36+Bustelo!S36+Chilis!S36+Einstein!S36+Jamba!S36+'Pollo Tropical'!S36+'Subway GC'!S36+'Sushi Maki'!S36+Panda!S36+'Starbucks Mango'!S36+'Taco Bell'!S36+'Chick-fil-A'!S36+Dunkin!S36+Chipotle!S36+Sergios!S36+'Moes PG5'!S36+'Papa Johns'!S36+Salad!S36+'Half Moon &amp; Tropical Smoothie'!S36+'Athletic Concessions - Kitchen'!S36+'Starbucks BBC'!S36+'Moes BBC'!S36+'Grille Works BBC'!S36+'Subway BBC'!S36+'Market Pavillion'!S36+'Chic Fil A BBC'!S36+Panera!S36+'Heritage Market'!S36</f>
        <v>745228.61630011362</v>
      </c>
      <c r="T36" s="80">
        <f t="shared" ref="T36:T46" si="18">IFERROR(S36/S$28,0)</f>
        <v>3.4916443379411161E-2</v>
      </c>
      <c r="U36" s="79">
        <f>'POD Breezeway'!U36+'Express GL'!U36+'Starbucks GL-SBX Truck'!U36+'Miro''s'!U36+'Faculty Club'!U36+'Almazar  &amp; Brand X'!U36+'Burger King'!U36+Bustelo!U36+Chilis!U36+Einstein!U36+Jamba!U36+'Pollo Tropical'!U36+'Subway GC'!U36+'Sushi Maki'!U36+Panda!U36+'Starbucks Mango'!U36+'Taco Bell'!U36+'Chick-fil-A'!U36+Dunkin!U36+Chipotle!U36+Sergios!U36+'Moes PG5'!U36+'Papa Johns'!U36+Salad!U36+'Half Moon &amp; Tropical Smoothie'!U36+'Athletic Concessions - Kitchen'!U36+'Starbucks BBC'!U36+'Moes BBC'!U36+'Grille Works BBC'!U36+'Subway BBC'!U36+'Market Pavillion'!U36+'Chic Fil A BBC'!U36+Panera!U36+'Heritage Market'!U36</f>
        <v>763267.23616653541</v>
      </c>
      <c r="V36" s="80">
        <f t="shared" ref="V36:V46" si="19">IFERROR(U36/U$28,0)</f>
        <v>3.3931790326618694E-2</v>
      </c>
    </row>
    <row r="37" spans="1:22" ht="12.75" customHeight="1">
      <c r="A37" s="2" t="s">
        <v>372</v>
      </c>
      <c r="B37" s="35"/>
      <c r="C37" s="79">
        <f>'POD Breezeway'!C37+'Express GL'!C37+'Starbucks GL-SBX Truck'!C37+'Miro''s'!C37+'Faculty Club'!C37+'Almazar  &amp; Brand X'!C37+'Burger King'!C37+Bustelo!C37+Chilis!C37+Einstein!C37+Jamba!C37+'Pollo Tropical'!C37+'Subway GC'!C37+'Sushi Maki'!C37+Panda!C37+'Starbucks Mango'!C37+'Taco Bell'!C37+'Chick-fil-A'!C37+Dunkin!C37+Chipotle!C37+Sergios!C37+'Moes PG5'!C37+'Papa Johns'!C37+Salad!C37+'Half Moon &amp; Tropical Smoothie'!C37+'Athletic Concessions - Kitchen'!C37+'Starbucks BBC'!C37+'Moes BBC'!C37+'Grille Works BBC'!C37+'Subway BBC'!C37+'Market Pavillion'!C37+'Chic Fil A BBC'!C37+Panera!C37+'Heritage Market'!C37</f>
        <v>2607435</v>
      </c>
      <c r="D37" s="80">
        <f t="shared" si="10"/>
        <v>0.16404327841223754</v>
      </c>
      <c r="E37" s="79">
        <f>'POD Breezeway'!E37+'Express GL'!E37+'Starbucks GL-SBX Truck'!E37+'Miro''s'!E37+'Faculty Club'!E37+'Almazar  &amp; Brand X'!E37+'Burger King'!E37+Bustelo!E37+Chilis!E37+Einstein!E37+Jamba!E37+'Pollo Tropical'!E37+'Subway GC'!E37+'Sushi Maki'!E37+Panda!E37+'Starbucks Mango'!E37+'Taco Bell'!E37+'Chick-fil-A'!E37+Dunkin!E37+Chipotle!E37+Sergios!E37+'Moes PG5'!E37+'Papa Johns'!E37+Salad!E37+'Half Moon &amp; Tropical Smoothie'!E37+'Athletic Concessions - Kitchen'!E37+'Starbucks BBC'!E37+'Moes BBC'!E37+'Grille Works BBC'!E37+'Subway BBC'!E37+'Market Pavillion'!E37+'Chic Fil A BBC'!E37+Panera!E37+'Heritage Market'!E37</f>
        <v>2674103.1100000003</v>
      </c>
      <c r="F37" s="80">
        <f t="shared" si="11"/>
        <v>0.15433388565881409</v>
      </c>
      <c r="G37" s="79">
        <f>'POD Breezeway'!G37+'Express GL'!G37+'Starbucks GL-SBX Truck'!G37+'Miro''s'!G37+'Faculty Club'!G37+'Almazar  &amp; Brand X'!G37+'Burger King'!G37+Bustelo!G37+Chilis!G37+Einstein!G37+Jamba!G37+'Pollo Tropical'!G37+'Subway GC'!G37+'Sushi Maki'!G37+Panda!G37+'Starbucks Mango'!G37+'Taco Bell'!G37+'Chick-fil-A'!G37+Dunkin!G37+Chipotle!G37+Sergios!G37+'Moes PG5'!G37+'Papa Johns'!G37+Salad!G37+'Half Moon &amp; Tropical Smoothie'!G37+'Athletic Concessions - Kitchen'!G37+'Starbucks BBC'!G37+'Moes BBC'!G37+'Grille Works BBC'!G37+'Subway BBC'!G37+'Market Pavillion'!G37+'Chic Fil A BBC'!G37+Panera!G37+'Heritage Market'!G37</f>
        <v>2972936.7830099994</v>
      </c>
      <c r="H37" s="80">
        <f t="shared" si="12"/>
        <v>0.15548279737470419</v>
      </c>
      <c r="I37" s="79">
        <f>'POD Breezeway'!I37+'Express GL'!I37+'Starbucks GL-SBX Truck'!I37+'Miro''s'!I37+'Faculty Club'!I37+'Almazar  &amp; Brand X'!I37+'Burger King'!I37+Bustelo!I37+Chilis!I37+Einstein!I37+Jamba!I37+'Pollo Tropical'!I37+'Subway GC'!I37+'Sushi Maki'!I37+Panda!I37+'Starbucks Mango'!I37+'Taco Bell'!I37+'Chick-fil-A'!I37+Dunkin!I37+Chipotle!I37+Sergios!I37+'Moes PG5'!I37+'Papa Johns'!I37+Salad!I37+'Half Moon &amp; Tropical Smoothie'!I37+'Athletic Concessions - Kitchen'!I37+'Starbucks BBC'!I37+'Moes BBC'!I37+'Grille Works BBC'!I37+'Subway BBC'!I37+'Market Pavillion'!I37+'Chic Fil A BBC'!I37+Panera!I37+'Heritage Market'!I37</f>
        <v>3068070.7600663193</v>
      </c>
      <c r="J37" s="80">
        <f t="shared" si="13"/>
        <v>0.15723876446264859</v>
      </c>
      <c r="K37" s="79">
        <f>'POD Breezeway'!K37+'Express GL'!K37+'Starbucks GL-SBX Truck'!K37+'Miro''s'!K37+'Faculty Club'!K37+'Almazar  &amp; Brand X'!K37+'Burger King'!K37+Bustelo!K37+Chilis!K37+Einstein!K37+Jamba!K37+'Pollo Tropical'!K37+'Subway GC'!K37+'Sushi Maki'!K37+Panda!K37+'Starbucks Mango'!K37+'Taco Bell'!K37+'Chick-fil-A'!K37+Dunkin!K37+Chipotle!K37+Sergios!K37+'Moes PG5'!K37+'Papa Johns'!K37+Salad!K37+'Half Moon &amp; Tropical Smoothie'!K37+'Athletic Concessions - Kitchen'!K37+'Starbucks BBC'!K37+'Moes BBC'!K37+'Grille Works BBC'!K37+'Subway BBC'!K37+'Market Pavillion'!K37+'Chic Fil A BBC'!K37+Panera!K37+'Heritage Market'!K37</f>
        <v>3144772.5290679783</v>
      </c>
      <c r="L37" s="80">
        <f t="shared" si="14"/>
        <v>0.15830903602481652</v>
      </c>
      <c r="M37" s="79">
        <f>'POD Breezeway'!M37+'Express GL'!M37+'Starbucks GL-SBX Truck'!M37+'Miro''s'!M37+'Faculty Club'!M37+'Almazar  &amp; Brand X'!M37+'Burger King'!M37+Bustelo!M37+Chilis!M37+Einstein!M37+Jamba!M37+'Pollo Tropical'!M37+'Subway GC'!M37+'Sushi Maki'!M37+Panda!M37+'Starbucks Mango'!M37+'Taco Bell'!M37+'Chick-fil-A'!M37+Dunkin!M37+Chipotle!M37+Sergios!M37+'Moes PG5'!M37+'Papa Johns'!M37+Salad!M37+'Half Moon &amp; Tropical Smoothie'!M37+'Athletic Concessions - Kitchen'!M37+'Starbucks BBC'!M37+'Moes BBC'!M37+'Grille Works BBC'!M37+'Subway BBC'!M37+'Market Pavillion'!M37+'Chic Fil A BBC'!M37+Panera!M37+'Heritage Market'!M37</f>
        <v>3223391.8422946772</v>
      </c>
      <c r="N37" s="80">
        <f t="shared" si="15"/>
        <v>0.15938419780163612</v>
      </c>
      <c r="O37" s="79">
        <f>'POD Breezeway'!O37+'Express GL'!O37+'Starbucks GL-SBX Truck'!O37+'Miro''s'!O37+'Faculty Club'!O37+'Almazar  &amp; Brand X'!O37+'Burger King'!O37+Bustelo!O37+Chilis!O37+Einstein!O37+Jamba!O37+'Pollo Tropical'!O37+'Subway GC'!O37+'Sushi Maki'!O37+Panda!O37+'Starbucks Mango'!O37+'Taco Bell'!O37+'Chick-fil-A'!O37+Dunkin!O37+Chipotle!O37+Sergios!O37+'Moes PG5'!O37+'Papa Johns'!O37+Salad!O37+'Half Moon &amp; Tropical Smoothie'!O37+'Athletic Concessions - Kitchen'!O37+'Starbucks BBC'!O37+'Moes BBC'!O37+'Grille Works BBC'!O37+'Subway BBC'!O37+'Market Pavillion'!O37+'Chic Fil A BBC'!O37+Panera!O37+'Heritage Market'!O37</f>
        <v>3303976.6383520439</v>
      </c>
      <c r="P37" s="80">
        <f t="shared" si="16"/>
        <v>0.16046426523746257</v>
      </c>
      <c r="Q37" s="79">
        <f>'POD Breezeway'!Q37+'Express GL'!Q37+'Starbucks GL-SBX Truck'!Q37+'Miro''s'!Q37+'Faculty Club'!Q37+'Almazar  &amp; Brand X'!Q37+'Burger King'!Q37+Bustelo!Q37+Chilis!Q37+Einstein!Q37+Jamba!Q37+'Pollo Tropical'!Q37+'Subway GC'!Q37+'Sushi Maki'!Q37+Panda!Q37+'Starbucks Mango'!Q37+'Taco Bell'!Q37+'Chick-fil-A'!Q37+Dunkin!Q37+Chipotle!Q37+Sergios!Q37+'Moes PG5'!Q37+'Papa Johns'!Q37+Salad!Q37+'Half Moon &amp; Tropical Smoothie'!Q37+'Athletic Concessions - Kitchen'!Q37+'Starbucks BBC'!Q37+'Moes BBC'!Q37+'Grille Works BBC'!Q37+'Subway BBC'!Q37+'Market Pavillion'!Q37+'Chic Fil A BBC'!Q37+Panera!Q37+'Heritage Market'!Q37</f>
        <v>3386576.0543108447</v>
      </c>
      <c r="R37" s="80">
        <f t="shared" si="17"/>
        <v>0.1615492539390512</v>
      </c>
      <c r="S37" s="79">
        <f>'POD Breezeway'!S37+'Express GL'!S37+'Starbucks GL-SBX Truck'!S37+'Miro''s'!S37+'Faculty Club'!S37+'Almazar  &amp; Brand X'!S37+'Burger King'!S37+Bustelo!S37+Chilis!S37+Einstein!S37+Jamba!S37+'Pollo Tropical'!S37+'Subway GC'!S37+'Sushi Maki'!S37+Panda!S37+'Starbucks Mango'!S37+'Taco Bell'!S37+'Chick-fil-A'!S37+Dunkin!S37+Chipotle!S37+Sergios!S37+'Moes PG5'!S37+'Papa Johns'!S37+Salad!S37+'Half Moon &amp; Tropical Smoothie'!S37+'Athletic Concessions - Kitchen'!S37+'Starbucks BBC'!S37+'Moes BBC'!S37+'Grille Works BBC'!S37+'Subway BBC'!S37+'Market Pavillion'!S37+'Chic Fil A BBC'!S37+Panera!S37+'Heritage Market'!S37</f>
        <v>3471240.4556686147</v>
      </c>
      <c r="T37" s="80">
        <f t="shared" si="18"/>
        <v>0.16263917967672936</v>
      </c>
      <c r="U37" s="79">
        <f>'POD Breezeway'!U37+'Express GL'!U37+'Starbucks GL-SBX Truck'!U37+'Miro''s'!U37+'Faculty Club'!U37+'Almazar  &amp; Brand X'!U37+'Burger King'!U37+Bustelo!U37+Chilis!U37+Einstein!U37+Jamba!U37+'Pollo Tropical'!U37+'Subway GC'!U37+'Sushi Maki'!U37+Panda!U37+'Starbucks Mango'!U37+'Taco Bell'!U37+'Chick-fil-A'!U37+Dunkin!U37+Chipotle!U37+Sergios!U37+'Moes PG5'!U37+'Papa Johns'!U37+Salad!U37+'Half Moon &amp; Tropical Smoothie'!U37+'Athletic Concessions - Kitchen'!U37+'Starbucks BBC'!U37+'Moes BBC'!U37+'Grille Works BBC'!U37+'Subway BBC'!U37+'Market Pavillion'!U37+'Chic Fil A BBC'!U37+Panera!U37+'Heritage Market'!U37</f>
        <v>3558021.4670603303</v>
      </c>
      <c r="V37" s="80">
        <f t="shared" si="19"/>
        <v>0.15817531878383626</v>
      </c>
    </row>
    <row r="38" spans="1:22" ht="12.75" customHeight="1">
      <c r="A38" s="2" t="s">
        <v>373</v>
      </c>
      <c r="B38" s="35"/>
      <c r="C38" s="79">
        <f>'POD Breezeway'!C38+'Express GL'!C38+'Starbucks GL-SBX Truck'!C38+'Miro''s'!C38+'Faculty Club'!C38+'Almazar  &amp; Brand X'!C38+'Burger King'!C38+Bustelo!C38+Chilis!C38+Einstein!C38+Jamba!C38+'Pollo Tropical'!C38+'Subway GC'!C38+'Sushi Maki'!C38+Panda!C38+'Starbucks Mango'!C38+'Taco Bell'!C38+'Chick-fil-A'!C38+Dunkin!C38+Chipotle!C38+Sergios!C38+'Moes PG5'!C38+'Papa Johns'!C38+Salad!C38+'Half Moon &amp; Tropical Smoothie'!C38+'Athletic Concessions - Kitchen'!C38+'Starbucks BBC'!C38+'Moes BBC'!C38+'Grille Works BBC'!C38+'Subway BBC'!C38+'Market Pavillion'!C38+'Chic Fil A BBC'!C38+Panera!C38+'Heritage Market'!C38</f>
        <v>310886</v>
      </c>
      <c r="D38" s="80">
        <f t="shared" si="10"/>
        <v>1.9558976025276519E-2</v>
      </c>
      <c r="E38" s="79">
        <f>'POD Breezeway'!E38+'Express GL'!E38+'Starbucks GL-SBX Truck'!E38+'Miro''s'!E38+'Faculty Club'!E38+'Almazar  &amp; Brand X'!E38+'Burger King'!E38+Bustelo!E38+Chilis!E38+Einstein!E38+Jamba!E38+'Pollo Tropical'!E38+'Subway GC'!E38+'Sushi Maki'!E38+Panda!E38+'Starbucks Mango'!E38+'Taco Bell'!E38+'Chick-fil-A'!E38+Dunkin!E38+Chipotle!E38+Sergios!E38+'Moes PG5'!E38+'Papa Johns'!E38+Salad!E38+'Half Moon &amp; Tropical Smoothie'!E38+'Athletic Concessions - Kitchen'!E38+'Starbucks BBC'!E38+'Moes BBC'!E38+'Grille Works BBC'!E38+'Subway BBC'!E38+'Market Pavillion'!E38+'Chic Fil A BBC'!E38+Panera!E38+'Heritage Market'!E38</f>
        <v>512643.6605714286</v>
      </c>
      <c r="F38" s="80">
        <f t="shared" si="11"/>
        <v>2.9586850184825802E-2</v>
      </c>
      <c r="G38" s="79">
        <f>'POD Breezeway'!G38+'Express GL'!G38+'Starbucks GL-SBX Truck'!G38+'Miro''s'!G38+'Faculty Club'!G38+'Almazar  &amp; Brand X'!G38+'Burger King'!G38+Bustelo!G38+Chilis!G38+Einstein!G38+Jamba!G38+'Pollo Tropical'!G38+'Subway GC'!G38+'Sushi Maki'!G38+Panda!G38+'Starbucks Mango'!G38+'Taco Bell'!G38+'Chick-fil-A'!G38+Dunkin!G38+Chipotle!G38+Sergios!G38+'Moes PG5'!G38+'Papa Johns'!G38+Salad!G38+'Half Moon &amp; Tropical Smoothie'!G38+'Athletic Concessions - Kitchen'!G38+'Starbucks BBC'!G38+'Moes BBC'!G38+'Grille Works BBC'!G38+'Subway BBC'!G38+'Market Pavillion'!G38+'Chic Fil A BBC'!G38+Panera!G38+'Heritage Market'!G38</f>
        <v>625658.5196175999</v>
      </c>
      <c r="H38" s="80">
        <f t="shared" si="12"/>
        <v>3.2721562526118964E-2</v>
      </c>
      <c r="I38" s="79">
        <f>'POD Breezeway'!I38+'Express GL'!I38+'Starbucks GL-SBX Truck'!I38+'Miro''s'!I38+'Faculty Club'!I38+'Almazar  &amp; Brand X'!I38+'Burger King'!I38+Bustelo!I38+Chilis!I38+Einstein!I38+Jamba!I38+'Pollo Tropical'!I38+'Subway GC'!I38+'Sushi Maki'!I38+Panda!I38+'Starbucks Mango'!I38+'Taco Bell'!I38+'Chick-fil-A'!I38+Dunkin!I38+Chipotle!I38+Sergios!I38+'Moes PG5'!I38+'Papa Johns'!I38+Salad!I38+'Half Moon &amp; Tropical Smoothie'!I38+'Athletic Concessions - Kitchen'!I38+'Starbucks BBC'!I38+'Moes BBC'!I38+'Grille Works BBC'!I38+'Subway BBC'!I38+'Market Pavillion'!I38+'Chic Fil A BBC'!I38+Panera!I38+'Heritage Market'!I38</f>
        <v>645679.59224536316</v>
      </c>
      <c r="J38" s="80">
        <f t="shared" si="13"/>
        <v>3.309110814680593E-2</v>
      </c>
      <c r="K38" s="79">
        <f>'POD Breezeway'!K38+'Express GL'!K38+'Starbucks GL-SBX Truck'!K38+'Miro''s'!K38+'Faculty Club'!K38+'Almazar  &amp; Brand X'!K38+'Burger King'!K38+Bustelo!K38+Chilis!K38+Einstein!K38+Jamba!K38+'Pollo Tropical'!K38+'Subway GC'!K38+'Sushi Maki'!K38+Panda!K38+'Starbucks Mango'!K38+'Taco Bell'!K38+'Chick-fil-A'!K38+Dunkin!K38+Chipotle!K38+Sergios!K38+'Moes PG5'!K38+'Papa Johns'!K38+Salad!K38+'Half Moon &amp; Tropical Smoothie'!K38+'Athletic Concessions - Kitchen'!K38+'Starbucks BBC'!K38+'Moes BBC'!K38+'Grille Works BBC'!K38+'Subway BBC'!K38+'Market Pavillion'!K38+'Chic Fil A BBC'!K38+Panera!K38+'Heritage Market'!K38</f>
        <v>661821.5820514973</v>
      </c>
      <c r="L38" s="80">
        <f t="shared" si="14"/>
        <v>3.331634822759124E-2</v>
      </c>
      <c r="M38" s="79">
        <f>'POD Breezeway'!M38+'Express GL'!M38+'Starbucks GL-SBX Truck'!M38+'Miro''s'!M38+'Faculty Club'!M38+'Almazar  &amp; Brand X'!M38+'Burger King'!M38+Bustelo!M38+Chilis!M38+Einstein!M38+Jamba!M38+'Pollo Tropical'!M38+'Subway GC'!M38+'Sushi Maki'!M38+Panda!M38+'Starbucks Mango'!M38+'Taco Bell'!M38+'Chick-fil-A'!M38+Dunkin!M38+Chipotle!M38+Sergios!M38+'Moes PG5'!M38+'Papa Johns'!M38+Salad!M38+'Half Moon &amp; Tropical Smoothie'!M38+'Athletic Concessions - Kitchen'!M38+'Starbucks BBC'!M38+'Moes BBC'!M38+'Grille Works BBC'!M38+'Subway BBC'!M38+'Market Pavillion'!M38+'Chic Fil A BBC'!M38+Panera!M38+'Heritage Market'!M38</f>
        <v>678367.12160278461</v>
      </c>
      <c r="N38" s="80">
        <f t="shared" si="15"/>
        <v>3.3542617460586267E-2</v>
      </c>
      <c r="O38" s="79">
        <f>'POD Breezeway'!O38+'Express GL'!O38+'Starbucks GL-SBX Truck'!O38+'Miro''s'!O38+'Faculty Club'!O38+'Almazar  &amp; Brand X'!O38+'Burger King'!O38+Bustelo!O38+Chilis!O38+Einstein!O38+Jamba!O38+'Pollo Tropical'!O38+'Subway GC'!O38+'Sushi Maki'!O38+Panda!O38+'Starbucks Mango'!O38+'Taco Bell'!O38+'Chick-fil-A'!O38+Dunkin!O38+Chipotle!O38+Sergios!O38+'Moes PG5'!O38+'Papa Johns'!O38+Salad!O38+'Half Moon &amp; Tropical Smoothie'!O38+'Athletic Concessions - Kitchen'!O38+'Starbucks BBC'!O38+'Moes BBC'!O38+'Grille Works BBC'!O38+'Subway BBC'!O38+'Market Pavillion'!O38+'Chic Fil A BBC'!O38+Panera!O38+'Heritage Market'!O38</f>
        <v>695326.29964285402</v>
      </c>
      <c r="P38" s="80">
        <f t="shared" si="16"/>
        <v>3.3769919096076191E-2</v>
      </c>
      <c r="Q38" s="79">
        <f>'POD Breezeway'!Q38+'Express GL'!Q38+'Starbucks GL-SBX Truck'!Q38+'Miro''s'!Q38+'Faculty Club'!Q38+'Almazar  &amp; Brand X'!Q38+'Burger King'!Q38+Bustelo!Q38+Chilis!Q38+Einstein!Q38+Jamba!Q38+'Pollo Tropical'!Q38+'Subway GC'!Q38+'Sushi Maki'!Q38+Panda!Q38+'Starbucks Mango'!Q38+'Taco Bell'!Q38+'Chick-fil-A'!Q38+Dunkin!Q38+Chipotle!Q38+Sergios!Q38+'Moes PG5'!Q38+'Papa Johns'!Q38+Salad!Q38+'Half Moon &amp; Tropical Smoothie'!Q38+'Athletic Concessions - Kitchen'!Q38+'Starbucks BBC'!Q38+'Moes BBC'!Q38+'Grille Works BBC'!Q38+'Subway BBC'!Q38+'Market Pavillion'!Q38+'Chic Fil A BBC'!Q38+Panera!Q38+'Heritage Market'!Q38</f>
        <v>712709.4571339254</v>
      </c>
      <c r="R38" s="80">
        <f t="shared" si="17"/>
        <v>3.3998256418523554E-2</v>
      </c>
      <c r="S38" s="79">
        <f>'POD Breezeway'!S38+'Express GL'!S38+'Starbucks GL-SBX Truck'!S38+'Miro''s'!S38+'Faculty Club'!S38+'Almazar  &amp; Brand X'!S38+'Burger King'!S38+Bustelo!S38+Chilis!S38+Einstein!S38+Jamba!S38+'Pollo Tropical'!S38+'Subway GC'!S38+'Sushi Maki'!S38+Panda!S38+'Starbucks Mango'!S38+'Taco Bell'!S38+'Chick-fil-A'!S38+Dunkin!S38+Chipotle!S38+Sergios!S38+'Moes PG5'!S38+'Papa Johns'!S38+Salad!S38+'Half Moon &amp; Tropical Smoothie'!S38+'Athletic Concessions - Kitchen'!S38+'Starbucks BBC'!S38+'Moes BBC'!S38+'Grille Works BBC'!S38+'Subway BBC'!S38+'Market Pavillion'!S38+'Chic Fil A BBC'!S38+Panera!S38+'Heritage Market'!S38</f>
        <v>730527.19356227352</v>
      </c>
      <c r="T38" s="80">
        <f t="shared" si="18"/>
        <v>3.4227632746814812E-2</v>
      </c>
      <c r="U38" s="79">
        <f>'POD Breezeway'!U38+'Express GL'!U38+'Starbucks GL-SBX Truck'!U38+'Miro''s'!U38+'Faculty Club'!U38+'Almazar  &amp; Brand X'!U38+'Burger King'!U38+Bustelo!U38+Chilis!U38+Einstein!U38+Jamba!U38+'Pollo Tropical'!U38+'Subway GC'!U38+'Sushi Maki'!U38+Panda!U38+'Starbucks Mango'!U38+'Taco Bell'!U38+'Chick-fil-A'!U38+Dunkin!U38+Chipotle!U38+Sergios!U38+'Moes PG5'!U38+'Papa Johns'!U38+Salad!U38+'Half Moon &amp; Tropical Smoothie'!U38+'Athletic Concessions - Kitchen'!U38+'Starbucks BBC'!U38+'Moes BBC'!U38+'Grille Works BBC'!U38+'Subway BBC'!U38+'Market Pavillion'!U38+'Chic Fil A BBC'!U38+Panera!U38+'Heritage Market'!U38</f>
        <v>748790.37340133032</v>
      </c>
      <c r="V38" s="80">
        <f t="shared" si="19"/>
        <v>3.3288207255500211E-2</v>
      </c>
    </row>
    <row r="39" spans="1:22" ht="12.75" customHeight="1">
      <c r="A39" s="2" t="s">
        <v>374</v>
      </c>
      <c r="B39" s="35"/>
      <c r="C39" s="79">
        <f>'POD Breezeway'!C39+'Express GL'!C39+'Starbucks GL-SBX Truck'!C39+'Miro''s'!C39+'Faculty Club'!C39+'Almazar  &amp; Brand X'!C39+'Burger King'!C39+Bustelo!C39+Chilis!C39+Einstein!C39+Jamba!C39+'Pollo Tropical'!C39+'Subway GC'!C39+'Sushi Maki'!C39+Panda!C39+'Starbucks Mango'!C39+'Taco Bell'!C39+'Chick-fil-A'!C39+Dunkin!C39+Chipotle!C39+Sergios!C39+'Moes PG5'!C39+'Papa Johns'!C39+Salad!C39+'Half Moon &amp; Tropical Smoothie'!C39+'Athletic Concessions - Kitchen'!C39+'Starbucks BBC'!C39+'Moes BBC'!C39+'Grille Works BBC'!C39+'Subway BBC'!C39+'Market Pavillion'!C39+'Chic Fil A BBC'!C39+Panera!C39+'Heritage Market'!C39</f>
        <v>1069233</v>
      </c>
      <c r="D39" s="80">
        <f t="shared" si="10"/>
        <v>6.7269361156290369E-2</v>
      </c>
      <c r="E39" s="79">
        <f>'POD Breezeway'!E39+'Express GL'!E39+'Starbucks GL-SBX Truck'!E39+'Miro''s'!E39+'Faculty Club'!E39+'Almazar  &amp; Brand X'!E39+'Burger King'!E39+Bustelo!E39+Chilis!E39+Einstein!E39+Jamba!E39+'Pollo Tropical'!E39+'Subway GC'!E39+'Sushi Maki'!E39+Panda!E39+'Starbucks Mango'!E39+'Taco Bell'!E39+'Chick-fil-A'!E39+Dunkin!E39+Chipotle!E39+Sergios!E39+'Moes PG5'!E39+'Papa Johns'!E39+Salad!E39+'Half Moon &amp; Tropical Smoothie'!E39+'Athletic Concessions - Kitchen'!E39+'Starbucks BBC'!E39+'Moes BBC'!E39+'Grille Works BBC'!E39+'Subway BBC'!E39+'Market Pavillion'!E39+'Chic Fil A BBC'!E39+Panera!E39+'Heritage Market'!E39</f>
        <v>1150227.9222857144</v>
      </c>
      <c r="F39" s="80">
        <f t="shared" si="11"/>
        <v>6.6384554872163742E-2</v>
      </c>
      <c r="G39" s="79">
        <f>'POD Breezeway'!G39+'Express GL'!G39+'Starbucks GL-SBX Truck'!G39+'Miro''s'!G39+'Faculty Club'!G39+'Almazar  &amp; Brand X'!G39+'Burger King'!G39+Bustelo!G39+Chilis!G39+Einstein!G39+Jamba!G39+'Pollo Tropical'!G39+'Subway GC'!G39+'Sushi Maki'!G39+Panda!G39+'Starbucks Mango'!G39+'Taco Bell'!G39+'Chick-fil-A'!G39+Dunkin!G39+Chipotle!G39+Sergios!G39+'Moes PG5'!G39+'Papa Johns'!G39+Salad!G39+'Half Moon &amp; Tropical Smoothie'!G39+'Athletic Concessions - Kitchen'!G39+'Starbucks BBC'!G39+'Moes BBC'!G39+'Grille Works BBC'!G39+'Subway BBC'!G39+'Market Pavillion'!G39+'Chic Fil A BBC'!G39+Panera!G39+'Heritage Market'!G39</f>
        <v>1218435.1573599998</v>
      </c>
      <c r="H39" s="80">
        <f t="shared" si="12"/>
        <v>6.3723422498817212E-2</v>
      </c>
      <c r="I39" s="79">
        <f>'POD Breezeway'!I39+'Express GL'!I39+'Starbucks GL-SBX Truck'!I39+'Miro''s'!I39+'Faculty Club'!I39+'Almazar  &amp; Brand X'!I39+'Burger King'!I39+Bustelo!I39+Chilis!I39+Einstein!I39+Jamba!I39+'Pollo Tropical'!I39+'Subway GC'!I39+'Sushi Maki'!I39+Panda!I39+'Starbucks Mango'!I39+'Taco Bell'!I39+'Chick-fil-A'!I39+Dunkin!I39+Chipotle!I39+Sergios!I39+'Moes PG5'!I39+'Papa Johns'!I39+Salad!I39+'Half Moon &amp; Tropical Smoothie'!I39+'Athletic Concessions - Kitchen'!I39+'Starbucks BBC'!I39+'Moes BBC'!I39+'Grille Works BBC'!I39+'Subway BBC'!I39+'Market Pavillion'!I39+'Chic Fil A BBC'!I39+Panera!I39+'Heritage Market'!I39</f>
        <v>1257425.0823955198</v>
      </c>
      <c r="J39" s="80">
        <f t="shared" si="13"/>
        <v>6.444309203479448E-2</v>
      </c>
      <c r="K39" s="79">
        <f>'POD Breezeway'!K39+'Express GL'!K39+'Starbucks GL-SBX Truck'!K39+'Miro''s'!K39+'Faculty Club'!K39+'Almazar  &amp; Brand X'!K39+'Burger King'!K39+Bustelo!K39+Chilis!K39+Einstein!K39+Jamba!K39+'Pollo Tropical'!K39+'Subway GC'!K39+'Sushi Maki'!K39+Panda!K39+'Starbucks Mango'!K39+'Taco Bell'!K39+'Chick-fil-A'!K39+Dunkin!K39+Chipotle!K39+Sergios!K39+'Moes PG5'!K39+'Papa Johns'!K39+Salad!K39+'Half Moon &amp; Tropical Smoothie'!K39+'Athletic Concessions - Kitchen'!K39+'Starbucks BBC'!K39+'Moes BBC'!K39+'Grille Works BBC'!K39+'Subway BBC'!K39+'Market Pavillion'!K39+'Chic Fil A BBC'!K39+Panera!K39+'Heritage Market'!K39</f>
        <v>1288860.7094554077</v>
      </c>
      <c r="L39" s="80">
        <f t="shared" si="14"/>
        <v>6.4881734560501877E-2</v>
      </c>
      <c r="M39" s="79">
        <f>'POD Breezeway'!M39+'Express GL'!M39+'Starbucks GL-SBX Truck'!M39+'Miro''s'!M39+'Faculty Club'!M39+'Almazar  &amp; Brand X'!M39+'Burger King'!M39+Bustelo!M39+Chilis!M39+Einstein!M39+Jamba!M39+'Pollo Tropical'!M39+'Subway GC'!M39+'Sushi Maki'!M39+Panda!M39+'Starbucks Mango'!M39+'Taco Bell'!M39+'Chick-fil-A'!M39+Dunkin!M39+Chipotle!M39+Sergios!M39+'Moes PG5'!M39+'Papa Johns'!M39+Salad!M39+'Half Moon &amp; Tropical Smoothie'!M39+'Athletic Concessions - Kitchen'!M39+'Starbucks BBC'!M39+'Moes BBC'!M39+'Grille Works BBC'!M39+'Subway BBC'!M39+'Market Pavillion'!M39+'Chic Fil A BBC'!M39+Panera!M39+'Heritage Market'!M39</f>
        <v>1321082.2271917921</v>
      </c>
      <c r="N39" s="80">
        <f t="shared" si="15"/>
        <v>6.5322381302879026E-2</v>
      </c>
      <c r="O39" s="79">
        <f>'POD Breezeway'!O39+'Express GL'!O39+'Starbucks GL-SBX Truck'!O39+'Miro''s'!O39+'Faculty Club'!O39+'Almazar  &amp; Brand X'!O39+'Burger King'!O39+Bustelo!O39+Chilis!O39+Einstein!O39+Jamba!O39+'Pollo Tropical'!O39+'Subway GC'!O39+'Sushi Maki'!O39+Panda!O39+'Starbucks Mango'!O39+'Taco Bell'!O39+'Chick-fil-A'!O39+Dunkin!O39+Chipotle!O39+Sergios!O39+'Moes PG5'!O39+'Papa Johns'!O39+Salad!O39+'Half Moon &amp; Tropical Smoothie'!O39+'Athletic Concessions - Kitchen'!O39+'Starbucks BBC'!O39+'Moes BBC'!O39+'Grille Works BBC'!O39+'Subway BBC'!O39+'Market Pavillion'!O39+'Chic Fil A BBC'!O39+Panera!O39+'Heritage Market'!O39</f>
        <v>1354109.2828715879</v>
      </c>
      <c r="P39" s="80">
        <f t="shared" si="16"/>
        <v>6.5765038591675568E-2</v>
      </c>
      <c r="Q39" s="79">
        <f>'POD Breezeway'!Q39+'Express GL'!Q39+'Starbucks GL-SBX Truck'!Q39+'Miro''s'!Q39+'Faculty Club'!Q39+'Almazar  &amp; Brand X'!Q39+'Burger King'!Q39+Bustelo!Q39+Chilis!Q39+Einstein!Q39+Jamba!Q39+'Pollo Tropical'!Q39+'Subway GC'!Q39+'Sushi Maki'!Q39+Panda!Q39+'Starbucks Mango'!Q39+'Taco Bell'!Q39+'Chick-fil-A'!Q39+Dunkin!Q39+Chipotle!Q39+Sergios!Q39+'Moes PG5'!Q39+'Papa Johns'!Q39+Salad!Q39+'Half Moon &amp; Tropical Smoothie'!Q39+'Athletic Concessions - Kitchen'!Q39+'Starbucks BBC'!Q39+'Moes BBC'!Q39+'Grille Works BBC'!Q39+'Subway BBC'!Q39+'Market Pavillion'!Q39+'Chic Fil A BBC'!Q39+Panera!Q39+'Heritage Market'!Q39</f>
        <v>1387962.0149433773</v>
      </c>
      <c r="R39" s="80">
        <f t="shared" si="17"/>
        <v>6.6209712823199415E-2</v>
      </c>
      <c r="S39" s="79">
        <f>'POD Breezeway'!S39+'Express GL'!S39+'Starbucks GL-SBX Truck'!S39+'Miro''s'!S39+'Faculty Club'!S39+'Almazar  &amp; Brand X'!S39+'Burger King'!S39+Bustelo!S39+Chilis!S39+Einstein!S39+Jamba!S39+'Pollo Tropical'!S39+'Subway GC'!S39+'Sushi Maki'!S39+Panda!S39+'Starbucks Mango'!S39+'Taco Bell'!S39+'Chick-fil-A'!S39+Dunkin!S39+Chipotle!S39+Sergios!S39+'Moes PG5'!S39+'Papa Johns'!S39+Salad!S39+'Half Moon &amp; Tropical Smoothie'!S39+'Athletic Concessions - Kitchen'!S39+'Starbucks BBC'!S39+'Moes BBC'!S39+'Grille Works BBC'!S39+'Subway BBC'!S39+'Market Pavillion'!S39+'Chic Fil A BBC'!S39+Panera!S39+'Heritage Market'!S39</f>
        <v>1422661.0653169618</v>
      </c>
      <c r="T39" s="80">
        <f t="shared" si="18"/>
        <v>6.66564104607974E-2</v>
      </c>
      <c r="U39" s="79">
        <f>'POD Breezeway'!U39+'Express GL'!U39+'Starbucks GL-SBX Truck'!U39+'Miro''s'!U39+'Faculty Club'!U39+'Almazar  &amp; Brand X'!U39+'Burger King'!U39+Bustelo!U39+Chilis!U39+Einstein!U39+Jamba!U39+'Pollo Tropical'!U39+'Subway GC'!U39+'Sushi Maki'!U39+Panda!U39+'Starbucks Mango'!U39+'Taco Bell'!U39+'Chick-fil-A'!U39+Dunkin!U39+Chipotle!U39+Sergios!U39+'Moes PG5'!U39+'Papa Johns'!U39+Salad!U39+'Half Moon &amp; Tropical Smoothie'!U39+'Athletic Concessions - Kitchen'!U39+'Starbucks BBC'!U39+'Moes BBC'!U39+'Grille Works BBC'!U39+'Subway BBC'!U39+'Market Pavillion'!U39+'Chic Fil A BBC'!U39+Panera!U39+'Heritage Market'!U39</f>
        <v>1458227.5919498852</v>
      </c>
      <c r="V39" s="80">
        <f t="shared" si="19"/>
        <v>6.4826931583026326E-2</v>
      </c>
    </row>
    <row r="40" spans="1:22" ht="12.75" customHeight="1">
      <c r="A40" s="2" t="s">
        <v>375</v>
      </c>
      <c r="B40" s="35"/>
      <c r="C40" s="79">
        <f>'POD Breezeway'!C40+'Express GL'!C40+'Starbucks GL-SBX Truck'!C40+'Miro''s'!C40+'Faculty Club'!C40+'Almazar  &amp; Brand X'!C40+'Burger King'!C40+Bustelo!C40+Chilis!C40+Einstein!C40+Jamba!C40+'Pollo Tropical'!C40+'Subway GC'!C40+'Sushi Maki'!C40+Panda!C40+'Starbucks Mango'!C40+'Taco Bell'!C40+'Chick-fil-A'!C40+Dunkin!C40+Chipotle!C40+Sergios!C40+'Moes PG5'!C40+'Papa Johns'!C40+Salad!C40+'Half Moon &amp; Tropical Smoothie'!C40+'Athletic Concessions - Kitchen'!C40+'Starbucks BBC'!C40+'Moes BBC'!C40+'Grille Works BBC'!C40+'Subway BBC'!C40+'Market Pavillion'!C40+'Chic Fil A BBC'!C40+Panera!C40+'Heritage Market'!C40</f>
        <v>47736.899999999994</v>
      </c>
      <c r="D40" s="80">
        <f t="shared" si="10"/>
        <v>3.0033030841563227E-3</v>
      </c>
      <c r="E40" s="79">
        <f>'POD Breezeway'!E40+'Express GL'!E40+'Starbucks GL-SBX Truck'!E40+'Miro''s'!E40+'Faculty Club'!E40+'Almazar  &amp; Brand X'!E40+'Burger King'!E40+Bustelo!E40+Chilis!E40+Einstein!E40+Jamba!E40+'Pollo Tropical'!E40+'Subway GC'!E40+'Sushi Maki'!E40+Panda!E40+'Starbucks Mango'!E40+'Taco Bell'!E40+'Chick-fil-A'!E40+Dunkin!E40+Chipotle!E40+Sergios!E40+'Moes PG5'!E40+'Papa Johns'!E40+Salad!E40+'Half Moon &amp; Tropical Smoothie'!E40+'Athletic Concessions - Kitchen'!E40+'Starbucks BBC'!E40+'Moes BBC'!E40+'Grille Works BBC'!E40+'Subway BBC'!E40+'Market Pavillion'!E40+'Chic Fil A BBC'!E40+Panera!E40+'Heritage Market'!E40</f>
        <v>65262.838737500002</v>
      </c>
      <c r="F40" s="80">
        <f t="shared" si="11"/>
        <v>3.7665965286891824E-3</v>
      </c>
      <c r="G40" s="79">
        <f>'POD Breezeway'!G40+'Express GL'!G40+'Starbucks GL-SBX Truck'!G40+'Miro''s'!G40+'Faculty Club'!G40+'Almazar  &amp; Brand X'!G40+'Burger King'!G40+Bustelo!G40+Chilis!G40+Einstein!G40+Jamba!G40+'Pollo Tropical'!G40+'Subway GC'!G40+'Sushi Maki'!G40+Panda!G40+'Starbucks Mango'!G40+'Taco Bell'!G40+'Chick-fil-A'!G40+Dunkin!G40+Chipotle!G40+Sergios!G40+'Moes PG5'!G40+'Papa Johns'!G40+Salad!G40+'Half Moon &amp; Tropical Smoothie'!G40+'Athletic Concessions - Kitchen'!G40+'Starbucks BBC'!G40+'Moes BBC'!G40+'Grille Works BBC'!G40+'Subway BBC'!G40+'Market Pavillion'!G40+'Chic Fil A BBC'!G40+Panera!G40+'Heritage Market'!G40</f>
        <v>80262.931940799986</v>
      </c>
      <c r="H40" s="80">
        <f t="shared" si="12"/>
        <v>4.1977028421761441E-3</v>
      </c>
      <c r="I40" s="79">
        <f>'POD Breezeway'!I40+'Express GL'!I40+'Starbucks GL-SBX Truck'!I40+'Miro''s'!I40+'Faculty Club'!I40+'Almazar  &amp; Brand X'!I40+'Burger King'!I40+Bustelo!I40+Chilis!I40+Einstein!I40+Jamba!I40+'Pollo Tropical'!I40+'Subway GC'!I40+'Sushi Maki'!I40+Panda!I40+'Starbucks Mango'!I40+'Taco Bell'!I40+'Chick-fil-A'!I40+Dunkin!I40+Chipotle!I40+Sergios!I40+'Moes PG5'!I40+'Papa Johns'!I40+Salad!I40+'Half Moon &amp; Tropical Smoothie'!I40+'Athletic Concessions - Kitchen'!I40+'Starbucks BBC'!I40+'Moes BBC'!I40+'Grille Works BBC'!I40+'Subway BBC'!I40+'Market Pavillion'!I40+'Chic Fil A BBC'!I40+Panera!I40+'Heritage Market'!I40</f>
        <v>81996.749146278482</v>
      </c>
      <c r="J40" s="80">
        <f t="shared" si="13"/>
        <v>4.2023370821590404E-3</v>
      </c>
      <c r="K40" s="79">
        <f>'POD Breezeway'!K40+'Express GL'!K40+'Starbucks GL-SBX Truck'!K40+'Miro''s'!K40+'Faculty Club'!K40+'Almazar  &amp; Brand X'!K40+'Burger King'!K40+Bustelo!K40+Chilis!K40+Einstein!K40+Jamba!K40+'Pollo Tropical'!K40+'Subway GC'!K40+'Sushi Maki'!K40+Panda!K40+'Starbucks Mango'!K40+'Taco Bell'!K40+'Chick-fil-A'!K40+Dunkin!K40+Chipotle!K40+Sergios!K40+'Moes PG5'!K40+'Papa Johns'!K40+Salad!K40+'Half Moon &amp; Tropical Smoothie'!K40+'Athletic Concessions - Kitchen'!K40+'Starbucks BBC'!K40+'Moes BBC'!K40+'Grille Works BBC'!K40+'Subway BBC'!K40+'Market Pavillion'!K40+'Chic Fil A BBC'!K40+Panera!K40+'Heritage Market'!K40</f>
        <v>83980.169257369358</v>
      </c>
      <c r="L40" s="80">
        <f t="shared" si="14"/>
        <v>4.2275934165182001E-3</v>
      </c>
      <c r="M40" s="79">
        <f>'POD Breezeway'!M40+'Express GL'!M40+'Starbucks GL-SBX Truck'!M40+'Miro''s'!M40+'Faculty Club'!M40+'Almazar  &amp; Brand X'!M40+'Burger King'!M40+Bustelo!M40+Chilis!M40+Einstein!M40+Jamba!M40+'Pollo Tropical'!M40+'Subway GC'!M40+'Sushi Maki'!M40+Panda!M40+'Starbucks Mango'!M40+'Taco Bell'!M40+'Chick-fil-A'!M40+Dunkin!M40+Chipotle!M40+Sergios!M40+'Moes PG5'!M40+'Papa Johns'!M40+Salad!M40+'Half Moon &amp; Tropical Smoothie'!M40+'Athletic Concessions - Kitchen'!M40+'Starbucks BBC'!M40+'Moes BBC'!M40+'Grille Works BBC'!M40+'Subway BBC'!M40+'Market Pavillion'!M40+'Chic Fil A BBC'!M40+Panera!M40+'Heritage Market'!M40</f>
        <v>86011.844898886193</v>
      </c>
      <c r="N40" s="80">
        <f t="shared" si="15"/>
        <v>4.252951416197844E-3</v>
      </c>
      <c r="O40" s="79">
        <f>'POD Breezeway'!O40+'Express GL'!O40+'Starbucks GL-SBX Truck'!O40+'Miro''s'!O40+'Faculty Club'!O40+'Almazar  &amp; Brand X'!O40+'Burger King'!O40+Bustelo!O40+Chilis!O40+Einstein!O40+Jamba!O40+'Pollo Tropical'!O40+'Subway GC'!O40+'Sushi Maki'!O40+Panda!O40+'Starbucks Mango'!O40+'Taco Bell'!O40+'Chick-fil-A'!O40+Dunkin!O40+Chipotle!O40+Sergios!O40+'Moes PG5'!O40+'Papa Johns'!O40+Salad!O40+'Half Moon &amp; Tropical Smoothie'!O40+'Athletic Concessions - Kitchen'!O40+'Starbucks BBC'!O40+'Moes BBC'!O40+'Grille Works BBC'!O40+'Subway BBC'!O40+'Market Pavillion'!O40+'Chic Fil A BBC'!O40+Panera!O40+'Heritage Market'!O40</f>
        <v>88092.955859642578</v>
      </c>
      <c r="P40" s="80">
        <f t="shared" si="16"/>
        <v>4.2784114362456275E-3</v>
      </c>
      <c r="Q40" s="79">
        <f>'POD Breezeway'!Q40+'Express GL'!Q40+'Starbucks GL-SBX Truck'!Q40+'Miro''s'!Q40+'Faculty Club'!Q40+'Almazar  &amp; Brand X'!Q40+'Burger King'!Q40+Bustelo!Q40+Chilis!Q40+Einstein!Q40+Jamba!Q40+'Pollo Tropical'!Q40+'Subway GC'!Q40+'Sushi Maki'!Q40+Panda!Q40+'Starbucks Mango'!Q40+'Taco Bell'!Q40+'Chick-fil-A'!Q40+Dunkin!Q40+Chipotle!Q40+Sergios!Q40+'Moes PG5'!Q40+'Papa Johns'!Q40+Salad!Q40+'Half Moon &amp; Tropical Smoothie'!Q40+'Athletic Concessions - Kitchen'!Q40+'Starbucks BBC'!Q40+'Moes BBC'!Q40+'Grille Works BBC'!Q40+'Subway BBC'!Q40+'Market Pavillion'!Q40+'Chic Fil A BBC'!Q40+Panera!Q40+'Heritage Market'!Q40</f>
        <v>90224.710891183582</v>
      </c>
      <c r="R40" s="80">
        <f t="shared" si="17"/>
        <v>4.3039738359879828E-3</v>
      </c>
      <c r="S40" s="79">
        <f>'POD Breezeway'!S40+'Express GL'!S40+'Starbucks GL-SBX Truck'!S40+'Miro''s'!S40+'Faculty Club'!S40+'Almazar  &amp; Brand X'!S40+'Burger King'!S40+Bustelo!S40+Chilis!S40+Einstein!S40+Jamba!S40+'Pollo Tropical'!S40+'Subway GC'!S40+'Sushi Maki'!S40+Panda!S40+'Starbucks Mango'!S40+'Taco Bell'!S40+'Chick-fil-A'!S40+Dunkin!S40+Chipotle!S40+Sergios!S40+'Moes PG5'!S40+'Papa Johns'!S40+Salad!S40+'Half Moon &amp; Tropical Smoothie'!S40+'Athletic Concessions - Kitchen'!S40+'Starbucks BBC'!S40+'Moes BBC'!S40+'Grille Works BBC'!S40+'Subway BBC'!S40+'Market Pavillion'!S40+'Chic Fil A BBC'!S40+Panera!S40+'Heritage Market'!S40</f>
        <v>92408.34842121409</v>
      </c>
      <c r="T40" s="80">
        <f t="shared" si="18"/>
        <v>4.3296389790469843E-3</v>
      </c>
      <c r="U40" s="79">
        <f>'POD Breezeway'!U40+'Express GL'!U40+'Starbucks GL-SBX Truck'!U40+'Miro''s'!U40+'Faculty Club'!U40+'Almazar  &amp; Brand X'!U40+'Burger King'!U40+Bustelo!U40+Chilis!U40+Einstein!U40+Jamba!U40+'Pollo Tropical'!U40+'Subway GC'!U40+'Sushi Maki'!U40+Panda!U40+'Starbucks Mango'!U40+'Taco Bell'!U40+'Chick-fil-A'!U40+Dunkin!U40+Chipotle!U40+Sergios!U40+'Moes PG5'!U40+'Papa Johns'!U40+Salad!U40+'Half Moon &amp; Tropical Smoothie'!U40+'Athletic Concessions - Kitchen'!U40+'Starbucks BBC'!U40+'Moes BBC'!U40+'Grille Works BBC'!U40+'Subway BBC'!U40+'Market Pavillion'!U40+'Chic Fil A BBC'!U40+Panera!U40+'Heritage Market'!U40</f>
        <v>94645.137284650395</v>
      </c>
      <c r="V40" s="80">
        <f t="shared" si="19"/>
        <v>4.2075420005007183E-3</v>
      </c>
    </row>
    <row r="41" spans="1:22" ht="12.75" customHeight="1">
      <c r="A41" s="2" t="s">
        <v>376</v>
      </c>
      <c r="B41" s="35"/>
      <c r="C41" s="79">
        <f>'POD Breezeway'!C41+'Express GL'!C41+'Starbucks GL-SBX Truck'!C41+'Miro''s'!C41+'Faculty Club'!C41+'Almazar  &amp; Brand X'!C41+'Burger King'!C41+Bustelo!C41+Chilis!C41+Einstein!C41+Jamba!C41+'Pollo Tropical'!C41+'Subway GC'!C41+'Sushi Maki'!C41+Panda!C41+'Starbucks Mango'!C41+'Taco Bell'!C41+'Chick-fil-A'!C41+Dunkin!C41+Chipotle!C41+Sergios!C41+'Moes PG5'!C41+'Papa Johns'!C41+Salad!C41+'Half Moon &amp; Tropical Smoothie'!C41+'Athletic Concessions - Kitchen'!C41+'Starbucks BBC'!C41+'Moes BBC'!C41+'Grille Works BBC'!C41+'Subway BBC'!C41+'Market Pavillion'!C41+'Chic Fil A BBC'!C41+Panera!C41+'Heritage Market'!C41</f>
        <v>323321.93999999994</v>
      </c>
      <c r="D41" s="80">
        <f t="shared" si="10"/>
        <v>2.0341366523117452E-2</v>
      </c>
      <c r="E41" s="79">
        <f>'POD Breezeway'!E41+'Express GL'!E41+'Starbucks GL-SBX Truck'!E41+'Miro''s'!E41+'Faculty Club'!E41+'Almazar  &amp; Brand X'!E41+'Burger King'!E41+Bustelo!E41+Chilis!E41+Einstein!E41+Jamba!E41+'Pollo Tropical'!E41+'Subway GC'!E41+'Sushi Maki'!E41+Panda!E41+'Starbucks Mango'!E41+'Taco Bell'!E41+'Chick-fil-A'!E41+Dunkin!E41+Chipotle!E41+Sergios!E41+'Moes PG5'!E41+'Papa Johns'!E41+Salad!E41+'Half Moon &amp; Tropical Smoothie'!E41+'Athletic Concessions - Kitchen'!E41+'Starbucks BBC'!E41+'Moes BBC'!E41+'Grille Works BBC'!E41+'Subway BBC'!E41+'Market Pavillion'!E41+'Chic Fil A BBC'!E41+Panera!E41+'Heritage Market'!E41</f>
        <v>347125.47652576002</v>
      </c>
      <c r="F41" s="80">
        <f t="shared" si="11"/>
        <v>2.0034090459357043E-2</v>
      </c>
      <c r="G41" s="79">
        <f>'POD Breezeway'!G41+'Express GL'!G41+'Starbucks GL-SBX Truck'!G41+'Miro''s'!G41+'Faculty Club'!G41+'Almazar  &amp; Brand X'!G41+'Burger King'!G41+Bustelo!G41+Chilis!G41+Einstein!G41+Jamba!G41+'Pollo Tropical'!G41+'Subway GC'!G41+'Sushi Maki'!G41+Panda!G41+'Starbucks Mango'!G41+'Taco Bell'!G41+'Chick-fil-A'!G41+Dunkin!G41+Chipotle!G41+Sergios!G41+'Moes PG5'!G41+'Papa Johns'!G41+Salad!G41+'Half Moon &amp; Tropical Smoothie'!G41+'Athletic Concessions - Kitchen'!G41+'Starbucks BBC'!G41+'Moes BBC'!G41+'Grille Works BBC'!G41+'Subway BBC'!G41+'Market Pavillion'!G41+'Chic Fil A BBC'!G41+Panera!G41+'Heritage Market'!G41</f>
        <v>387194.31872621283</v>
      </c>
      <c r="H41" s="80">
        <f t="shared" si="12"/>
        <v>2.0250028909861918E-2</v>
      </c>
      <c r="I41" s="79">
        <f>'POD Breezeway'!I41+'Express GL'!I41+'Starbucks GL-SBX Truck'!I41+'Miro''s'!I41+'Faculty Club'!I41+'Almazar  &amp; Brand X'!I41+'Burger King'!I41+Bustelo!I41+Chilis!I41+Einstein!I41+Jamba!I41+'Pollo Tropical'!I41+'Subway GC'!I41+'Sushi Maki'!I41+Panda!I41+'Starbucks Mango'!I41+'Taco Bell'!I41+'Chick-fil-A'!I41+Dunkin!I41+Chipotle!I41+Sergios!I41+'Moes PG5'!I41+'Papa Johns'!I41+Salad!I41+'Half Moon &amp; Tropical Smoothie'!I41+'Athletic Concessions - Kitchen'!I41+'Starbucks BBC'!I41+'Moes BBC'!I41+'Grille Works BBC'!I41+'Subway BBC'!I41+'Market Pavillion'!I41+'Chic Fil A BBC'!I41+Panera!I41+'Heritage Market'!I41</f>
        <v>380440.77424822369</v>
      </c>
      <c r="J41" s="80">
        <f t="shared" si="13"/>
        <v>1.9497606793368431E-2</v>
      </c>
      <c r="K41" s="79">
        <f>'POD Breezeway'!K41+'Express GL'!K41+'Starbucks GL-SBX Truck'!K41+'Miro''s'!K41+'Faculty Club'!K41+'Almazar  &amp; Brand X'!K41+'Burger King'!K41+Bustelo!K41+Chilis!K41+Einstein!K41+Jamba!K41+'Pollo Tropical'!K41+'Subway GC'!K41+'Sushi Maki'!K41+Panda!K41+'Starbucks Mango'!K41+'Taco Bell'!K41+'Chick-fil-A'!K41+Dunkin!K41+Chipotle!K41+Sergios!K41+'Moes PG5'!K41+'Papa Johns'!K41+Salad!K41+'Half Moon &amp; Tropical Smoothie'!K41+'Athletic Concessions - Kitchen'!K41+'Starbucks BBC'!K41+'Moes BBC'!K41+'Grille Works BBC'!K41+'Subway BBC'!K41+'Market Pavillion'!K41+'Chic Fil A BBC'!K41+Panera!K41+'Heritage Market'!K41</f>
        <v>389951.79360442929</v>
      </c>
      <c r="L41" s="80">
        <f t="shared" si="14"/>
        <v>1.9630320467077248E-2</v>
      </c>
      <c r="M41" s="79">
        <f>'POD Breezeway'!M41+'Express GL'!M41+'Starbucks GL-SBX Truck'!M41+'Miro''s'!M41+'Faculty Club'!M41+'Almazar  &amp; Brand X'!M41+'Burger King'!M41+Bustelo!M41+Chilis!M41+Einstein!M41+Jamba!M41+'Pollo Tropical'!M41+'Subway GC'!M41+'Sushi Maki'!M41+Panda!M41+'Starbucks Mango'!M41+'Taco Bell'!M41+'Chick-fil-A'!M41+Dunkin!M41+Chipotle!M41+Sergios!M41+'Moes PG5'!M41+'Papa Johns'!M41+Salad!M41+'Half Moon &amp; Tropical Smoothie'!M41+'Athletic Concessions - Kitchen'!M41+'Starbucks BBC'!M41+'Moes BBC'!M41+'Grille Works BBC'!M41+'Subway BBC'!M41+'Market Pavillion'!M41+'Chic Fil A BBC'!M41+Panera!M41+'Heritage Market'!M41</f>
        <v>399700.58844453999</v>
      </c>
      <c r="N41" s="80">
        <f t="shared" si="15"/>
        <v>1.9763640527402881E-2</v>
      </c>
      <c r="O41" s="79">
        <f>'POD Breezeway'!O41+'Express GL'!O41+'Starbucks GL-SBX Truck'!O41+'Miro''s'!O41+'Faculty Club'!O41+'Almazar  &amp; Brand X'!O41+'Burger King'!O41+Bustelo!O41+Chilis!O41+Einstein!O41+Jamba!O41+'Pollo Tropical'!O41+'Subway GC'!O41+'Sushi Maki'!O41+Panda!O41+'Starbucks Mango'!O41+'Taco Bell'!O41+'Chick-fil-A'!O41+Dunkin!O41+Chipotle!O41+Sergios!O41+'Moes PG5'!O41+'Papa Johns'!O41+Salad!O41+'Half Moon &amp; Tropical Smoothie'!O41+'Athletic Concessions - Kitchen'!O41+'Starbucks BBC'!O41+'Moes BBC'!O41+'Grille Works BBC'!O41+'Subway BBC'!O41+'Market Pavillion'!O41+'Chic Fil A BBC'!O41+Panera!O41+'Heritage Market'!O41</f>
        <v>409693.1031556534</v>
      </c>
      <c r="P41" s="80">
        <f t="shared" si="16"/>
        <v>1.9897568889445355E-2</v>
      </c>
      <c r="Q41" s="79">
        <f>'POD Breezeway'!Q41+'Express GL'!Q41+'Starbucks GL-SBX Truck'!Q41+'Miro''s'!Q41+'Faculty Club'!Q41+'Almazar  &amp; Brand X'!Q41+'Burger King'!Q41+Bustelo!Q41+Chilis!Q41+Einstein!Q41+Jamba!Q41+'Pollo Tropical'!Q41+'Subway GC'!Q41+'Sushi Maki'!Q41+Panda!Q41+'Starbucks Mango'!Q41+'Taco Bell'!Q41+'Chick-fil-A'!Q41+Dunkin!Q41+Chipotle!Q41+Sergios!Q41+'Moes PG5'!Q41+'Papa Johns'!Q41+Salad!Q41+'Half Moon &amp; Tropical Smoothie'!Q41+'Athletic Concessions - Kitchen'!Q41+'Starbucks BBC'!Q41+'Moes BBC'!Q41+'Grille Works BBC'!Q41+'Subway BBC'!Q41+'Market Pavillion'!Q41+'Chic Fil A BBC'!Q41+Panera!Q41+'Heritage Market'!Q41</f>
        <v>419935.43073454482</v>
      </c>
      <c r="R41" s="80">
        <f t="shared" si="17"/>
        <v>2.0032107488442353E-2</v>
      </c>
      <c r="S41" s="79">
        <f>'POD Breezeway'!S41+'Express GL'!S41+'Starbucks GL-SBX Truck'!S41+'Miro''s'!S41+'Faculty Club'!S41+'Almazar  &amp; Brand X'!S41+'Burger King'!S41+Bustelo!S41+Chilis!S41+Einstein!S41+Jamba!S41+'Pollo Tropical'!S41+'Subway GC'!S41+'Sushi Maki'!S41+Panda!S41+'Starbucks Mango'!S41+'Taco Bell'!S41+'Chick-fil-A'!S41+Dunkin!S41+Chipotle!S41+Sergios!S41+'Moes PG5'!S41+'Papa Johns'!S41+Salad!S41+'Half Moon &amp; Tropical Smoothie'!S41+'Athletic Concessions - Kitchen'!S41+'Starbucks BBC'!S41+'Moes BBC'!S41+'Grille Works BBC'!S41+'Subway BBC'!S41+'Market Pavillion'!S41+'Chic Fil A BBC'!S41+Panera!S41+'Heritage Market'!S41</f>
        <v>430433.81650290836</v>
      </c>
      <c r="T41" s="80">
        <f t="shared" si="18"/>
        <v>2.0167258279914446E-2</v>
      </c>
      <c r="U41" s="79">
        <f>'POD Breezeway'!U41+'Express GL'!U41+'Starbucks GL-SBX Truck'!U41+'Miro''s'!U41+'Faculty Club'!U41+'Almazar  &amp; Brand X'!U41+'Burger King'!U41+Bustelo!U41+Chilis!U41+Einstein!U41+Jamba!U41+'Pollo Tropical'!U41+'Subway GC'!U41+'Sushi Maki'!U41+Panda!U41+'Starbucks Mango'!U41+'Taco Bell'!U41+'Chick-fil-A'!U41+Dunkin!U41+Chipotle!U41+Sergios!U41+'Moes PG5'!U41+'Papa Johns'!U41+Salad!U41+'Half Moon &amp; Tropical Smoothie'!U41+'Athletic Concessions - Kitchen'!U41+'Starbucks BBC'!U41+'Moes BBC'!U41+'Grille Works BBC'!U41+'Subway BBC'!U41+'Market Pavillion'!U41+'Chic Fil A BBC'!U41+Panera!U41+'Heritage Market'!U41</f>
        <v>441194.66191548097</v>
      </c>
      <c r="V41" s="80">
        <f t="shared" si="19"/>
        <v>1.9613739529195696E-2</v>
      </c>
    </row>
    <row r="42" spans="1:22" ht="12.75" customHeight="1">
      <c r="A42" s="2" t="s">
        <v>377</v>
      </c>
      <c r="B42" s="35"/>
      <c r="C42" s="79">
        <f>'POD Breezeway'!C42+'Express GL'!C42+'Starbucks GL-SBX Truck'!C42+'Miro''s'!C42+'Faculty Club'!C42+'Almazar  &amp; Brand X'!C42+'Burger King'!C42+Bustelo!C42+Chilis!C42+Einstein!C42+Jamba!C42+'Pollo Tropical'!C42+'Subway GC'!C42+'Sushi Maki'!C42+Panda!C42+'Starbucks Mango'!C42+'Taco Bell'!C42+'Chick-fil-A'!C42+Dunkin!C42+Chipotle!C42+Sergios!C42+'Moes PG5'!C42+'Papa Johns'!C42+Salad!C42+'Half Moon &amp; Tropical Smoothie'!C42+'Athletic Concessions - Kitchen'!C42+'Starbucks BBC'!C42+'Moes BBC'!C42+'Grille Works BBC'!C42+'Subway BBC'!C42+'Market Pavillion'!C42+'Chic Fil A BBC'!C42+Panera!C42+'Heritage Market'!C42</f>
        <v>0</v>
      </c>
      <c r="D42" s="80">
        <f t="shared" si="10"/>
        <v>0</v>
      </c>
      <c r="E42" s="79">
        <f>'POD Breezeway'!E42+'Express GL'!E42+'Starbucks GL-SBX Truck'!E42+'Miro''s'!E42+'Faculty Club'!E42+'Almazar  &amp; Brand X'!E42+'Burger King'!E42+Bustelo!E42+Chilis!E42+Einstein!E42+Jamba!E42+'Pollo Tropical'!E42+'Subway GC'!E42+'Sushi Maki'!E42+Panda!E42+'Starbucks Mango'!E42+'Taco Bell'!E42+'Chick-fil-A'!E42+Dunkin!E42+Chipotle!E42+Sergios!E42+'Moes PG5'!E42+'Papa Johns'!E42+Salad!E42+'Half Moon &amp; Tropical Smoothie'!E42+'Athletic Concessions - Kitchen'!E42+'Starbucks BBC'!E42+'Moes BBC'!E42+'Grille Works BBC'!E42+'Subway BBC'!E42+'Market Pavillion'!E42+'Chic Fil A BBC'!E42+Panera!E42+'Heritage Market'!E42</f>
        <v>0</v>
      </c>
      <c r="F42" s="80">
        <f t="shared" si="11"/>
        <v>0</v>
      </c>
      <c r="G42" s="79">
        <f>'POD Breezeway'!G42+'Express GL'!G42+'Starbucks GL-SBX Truck'!G42+'Miro''s'!G42+'Faculty Club'!G42+'Almazar  &amp; Brand X'!G42+'Burger King'!G42+Bustelo!G42+Chilis!G42+Einstein!G42+Jamba!G42+'Pollo Tropical'!G42+'Subway GC'!G42+'Sushi Maki'!G42+Panda!G42+'Starbucks Mango'!G42+'Taco Bell'!G42+'Chick-fil-A'!G42+Dunkin!G42+Chipotle!G42+Sergios!G42+'Moes PG5'!G42+'Papa Johns'!G42+Salad!G42+'Half Moon &amp; Tropical Smoothie'!G42+'Athletic Concessions - Kitchen'!G42+'Starbucks BBC'!G42+'Moes BBC'!G42+'Grille Works BBC'!G42+'Subway BBC'!G42+'Market Pavillion'!G42+'Chic Fil A BBC'!G42+Panera!G42+'Heritage Market'!G42</f>
        <v>0</v>
      </c>
      <c r="H42" s="80">
        <f t="shared" si="12"/>
        <v>0</v>
      </c>
      <c r="I42" s="79">
        <f>'POD Breezeway'!I42+'Express GL'!I42+'Starbucks GL-SBX Truck'!I42+'Miro''s'!I42+'Faculty Club'!I42+'Almazar  &amp; Brand X'!I42+'Burger King'!I42+Bustelo!I42+Chilis!I42+Einstein!I42+Jamba!I42+'Pollo Tropical'!I42+'Subway GC'!I42+'Sushi Maki'!I42+Panda!I42+'Starbucks Mango'!I42+'Taco Bell'!I42+'Chick-fil-A'!I42+Dunkin!I42+Chipotle!I42+Sergios!I42+'Moes PG5'!I42+'Papa Johns'!I42+Salad!I42+'Half Moon &amp; Tropical Smoothie'!I42+'Athletic Concessions - Kitchen'!I42+'Starbucks BBC'!I42+'Moes BBC'!I42+'Grille Works BBC'!I42+'Subway BBC'!I42+'Market Pavillion'!I42+'Chic Fil A BBC'!I42+Panera!I42+'Heritage Market'!I42</f>
        <v>0</v>
      </c>
      <c r="J42" s="80">
        <f t="shared" si="13"/>
        <v>0</v>
      </c>
      <c r="K42" s="79">
        <f>'POD Breezeway'!K42+'Express GL'!K42+'Starbucks GL-SBX Truck'!K42+'Miro''s'!K42+'Faculty Club'!K42+'Almazar  &amp; Brand X'!K42+'Burger King'!K42+Bustelo!K42+Chilis!K42+Einstein!K42+Jamba!K42+'Pollo Tropical'!K42+'Subway GC'!K42+'Sushi Maki'!K42+Panda!K42+'Starbucks Mango'!K42+'Taco Bell'!K42+'Chick-fil-A'!K42+Dunkin!K42+Chipotle!K42+Sergios!K42+'Moes PG5'!K42+'Papa Johns'!K42+Salad!K42+'Half Moon &amp; Tropical Smoothie'!K42+'Athletic Concessions - Kitchen'!K42+'Starbucks BBC'!K42+'Moes BBC'!K42+'Grille Works BBC'!K42+'Subway BBC'!K42+'Market Pavillion'!K42+'Chic Fil A BBC'!K42+Panera!K42+'Heritage Market'!K42</f>
        <v>0</v>
      </c>
      <c r="L42" s="80">
        <f t="shared" si="14"/>
        <v>0</v>
      </c>
      <c r="M42" s="79">
        <f>'POD Breezeway'!M42+'Express GL'!M42+'Starbucks GL-SBX Truck'!M42+'Miro''s'!M42+'Faculty Club'!M42+'Almazar  &amp; Brand X'!M42+'Burger King'!M42+Bustelo!M42+Chilis!M42+Einstein!M42+Jamba!M42+'Pollo Tropical'!M42+'Subway GC'!M42+'Sushi Maki'!M42+Panda!M42+'Starbucks Mango'!M42+'Taco Bell'!M42+'Chick-fil-A'!M42+Dunkin!M42+Chipotle!M42+Sergios!M42+'Moes PG5'!M42+'Papa Johns'!M42+Salad!M42+'Half Moon &amp; Tropical Smoothie'!M42+'Athletic Concessions - Kitchen'!M42+'Starbucks BBC'!M42+'Moes BBC'!M42+'Grille Works BBC'!M42+'Subway BBC'!M42+'Market Pavillion'!M42+'Chic Fil A BBC'!M42+Panera!M42+'Heritage Market'!M42</f>
        <v>0</v>
      </c>
      <c r="N42" s="80">
        <f t="shared" si="15"/>
        <v>0</v>
      </c>
      <c r="O42" s="79">
        <f>'POD Breezeway'!O42+'Express GL'!O42+'Starbucks GL-SBX Truck'!O42+'Miro''s'!O42+'Faculty Club'!O42+'Almazar  &amp; Brand X'!O42+'Burger King'!O42+Bustelo!O42+Chilis!O42+Einstein!O42+Jamba!O42+'Pollo Tropical'!O42+'Subway GC'!O42+'Sushi Maki'!O42+Panda!O42+'Starbucks Mango'!O42+'Taco Bell'!O42+'Chick-fil-A'!O42+Dunkin!O42+Chipotle!O42+Sergios!O42+'Moes PG5'!O42+'Papa Johns'!O42+Salad!O42+'Half Moon &amp; Tropical Smoothie'!O42+'Athletic Concessions - Kitchen'!O42+'Starbucks BBC'!O42+'Moes BBC'!O42+'Grille Works BBC'!O42+'Subway BBC'!O42+'Market Pavillion'!O42+'Chic Fil A BBC'!O42+Panera!O42+'Heritage Market'!O42</f>
        <v>0</v>
      </c>
      <c r="P42" s="80">
        <f t="shared" si="16"/>
        <v>0</v>
      </c>
      <c r="Q42" s="79">
        <f>'POD Breezeway'!Q42+'Express GL'!Q42+'Starbucks GL-SBX Truck'!Q42+'Miro''s'!Q42+'Faculty Club'!Q42+'Almazar  &amp; Brand X'!Q42+'Burger King'!Q42+Bustelo!Q42+Chilis!Q42+Einstein!Q42+Jamba!Q42+'Pollo Tropical'!Q42+'Subway GC'!Q42+'Sushi Maki'!Q42+Panda!Q42+'Starbucks Mango'!Q42+'Taco Bell'!Q42+'Chick-fil-A'!Q42+Dunkin!Q42+Chipotle!Q42+Sergios!Q42+'Moes PG5'!Q42+'Papa Johns'!Q42+Salad!Q42+'Half Moon &amp; Tropical Smoothie'!Q42+'Athletic Concessions - Kitchen'!Q42+'Starbucks BBC'!Q42+'Moes BBC'!Q42+'Grille Works BBC'!Q42+'Subway BBC'!Q42+'Market Pavillion'!Q42+'Chic Fil A BBC'!Q42+Panera!Q42+'Heritage Market'!Q42</f>
        <v>0</v>
      </c>
      <c r="R42" s="80">
        <f t="shared" si="17"/>
        <v>0</v>
      </c>
      <c r="S42" s="79">
        <f>'POD Breezeway'!S42+'Express GL'!S42+'Starbucks GL-SBX Truck'!S42+'Miro''s'!S42+'Faculty Club'!S42+'Almazar  &amp; Brand X'!S42+'Burger King'!S42+Bustelo!S42+Chilis!S42+Einstein!S42+Jamba!S42+'Pollo Tropical'!S42+'Subway GC'!S42+'Sushi Maki'!S42+Panda!S42+'Starbucks Mango'!S42+'Taco Bell'!S42+'Chick-fil-A'!S42+Dunkin!S42+Chipotle!S42+Sergios!S42+'Moes PG5'!S42+'Papa Johns'!S42+Salad!S42+'Half Moon &amp; Tropical Smoothie'!S42+'Athletic Concessions - Kitchen'!S42+'Starbucks BBC'!S42+'Moes BBC'!S42+'Grille Works BBC'!S42+'Subway BBC'!S42+'Market Pavillion'!S42+'Chic Fil A BBC'!S42+Panera!S42+'Heritage Market'!S42</f>
        <v>0</v>
      </c>
      <c r="T42" s="80">
        <f t="shared" si="18"/>
        <v>0</v>
      </c>
      <c r="U42" s="79">
        <f>'POD Breezeway'!U42+'Express GL'!U42+'Starbucks GL-SBX Truck'!U42+'Miro''s'!U42+'Faculty Club'!U42+'Almazar  &amp; Brand X'!U42+'Burger King'!U42+Bustelo!U42+Chilis!U42+Einstein!U42+Jamba!U42+'Pollo Tropical'!U42+'Subway GC'!U42+'Sushi Maki'!U42+Panda!U42+'Starbucks Mango'!U42+'Taco Bell'!U42+'Chick-fil-A'!U42+Dunkin!U42+Chipotle!U42+Sergios!U42+'Moes PG5'!U42+'Papa Johns'!U42+Salad!U42+'Half Moon &amp; Tropical Smoothie'!U42+'Athletic Concessions - Kitchen'!U42+'Starbucks BBC'!U42+'Moes BBC'!U42+'Grille Works BBC'!U42+'Subway BBC'!U42+'Market Pavillion'!U42+'Chic Fil A BBC'!U42+Panera!U42+'Heritage Market'!U42</f>
        <v>0</v>
      </c>
      <c r="V42" s="80">
        <f t="shared" si="19"/>
        <v>0</v>
      </c>
    </row>
    <row r="43" spans="1:22" ht="12.75" customHeight="1">
      <c r="A43" s="2" t="s">
        <v>378</v>
      </c>
      <c r="B43" s="35"/>
      <c r="C43" s="79">
        <f>'POD Breezeway'!C43+'Express GL'!C43+'Starbucks GL-SBX Truck'!C43+'Miro''s'!C43+'Faculty Club'!C43+'Almazar  &amp; Brand X'!C43+'Burger King'!C43+Bustelo!C43+Chilis!C43+Einstein!C43+Jamba!C43+'Pollo Tropical'!C43+'Subway GC'!C43+'Sushi Maki'!C43+Panda!C43+'Starbucks Mango'!C43+'Taco Bell'!C43+'Chick-fil-A'!C43+Dunkin!C43+Chipotle!C43+Sergios!C43+'Moes PG5'!C43+'Papa Johns'!C43+Salad!C43+'Half Moon &amp; Tropical Smoothie'!C43+'Athletic Concessions - Kitchen'!C43+'Starbucks BBC'!C43+'Moes BBC'!C43+'Grille Works BBC'!C43+'Subway BBC'!C43+'Market Pavillion'!C43+'Chic Fil A BBC'!C43+Panera!C43+'Heritage Market'!C43</f>
        <v>0</v>
      </c>
      <c r="D43" s="80">
        <f t="shared" si="10"/>
        <v>0</v>
      </c>
      <c r="E43" s="79">
        <f>'POD Breezeway'!E43+'Express GL'!E43+'Starbucks GL-SBX Truck'!E43+'Miro''s'!E43+'Faculty Club'!E43+'Almazar  &amp; Brand X'!E43+'Burger King'!E43+Bustelo!E43+Chilis!E43+Einstein!E43+Jamba!E43+'Pollo Tropical'!E43+'Subway GC'!E43+'Sushi Maki'!E43+Panda!E43+'Starbucks Mango'!E43+'Taco Bell'!E43+'Chick-fil-A'!E43+Dunkin!E43+Chipotle!E43+Sergios!E43+'Moes PG5'!E43+'Papa Johns'!E43+Salad!E43+'Half Moon &amp; Tropical Smoothie'!E43+'Athletic Concessions - Kitchen'!E43+'Starbucks BBC'!E43+'Moes BBC'!E43+'Grille Works BBC'!E43+'Subway BBC'!E43+'Market Pavillion'!E43+'Chic Fil A BBC'!E43+Panera!E43+'Heritage Market'!E43</f>
        <v>0</v>
      </c>
      <c r="F43" s="80">
        <f t="shared" si="11"/>
        <v>0</v>
      </c>
      <c r="G43" s="79">
        <f>'POD Breezeway'!G43+'Express GL'!G43+'Starbucks GL-SBX Truck'!G43+'Miro''s'!G43+'Faculty Club'!G43+'Almazar  &amp; Brand X'!G43+'Burger King'!G43+Bustelo!G43+Chilis!G43+Einstein!G43+Jamba!G43+'Pollo Tropical'!G43+'Subway GC'!G43+'Sushi Maki'!G43+Panda!G43+'Starbucks Mango'!G43+'Taco Bell'!G43+'Chick-fil-A'!G43+Dunkin!G43+Chipotle!G43+Sergios!G43+'Moes PG5'!G43+'Papa Johns'!G43+Salad!G43+'Half Moon &amp; Tropical Smoothie'!G43+'Athletic Concessions - Kitchen'!G43+'Starbucks BBC'!G43+'Moes BBC'!G43+'Grille Works BBC'!G43+'Subway BBC'!G43+'Market Pavillion'!G43+'Chic Fil A BBC'!G43+Panera!G43+'Heritage Market'!G43</f>
        <v>0</v>
      </c>
      <c r="H43" s="80">
        <f t="shared" si="12"/>
        <v>0</v>
      </c>
      <c r="I43" s="79">
        <f>'POD Breezeway'!I43+'Express GL'!I43+'Starbucks GL-SBX Truck'!I43+'Miro''s'!I43+'Faculty Club'!I43+'Almazar  &amp; Brand X'!I43+'Burger King'!I43+Bustelo!I43+Chilis!I43+Einstein!I43+Jamba!I43+'Pollo Tropical'!I43+'Subway GC'!I43+'Sushi Maki'!I43+Panda!I43+'Starbucks Mango'!I43+'Taco Bell'!I43+'Chick-fil-A'!I43+Dunkin!I43+Chipotle!I43+Sergios!I43+'Moes PG5'!I43+'Papa Johns'!I43+Salad!I43+'Half Moon &amp; Tropical Smoothie'!I43+'Athletic Concessions - Kitchen'!I43+'Starbucks BBC'!I43+'Moes BBC'!I43+'Grille Works BBC'!I43+'Subway BBC'!I43+'Market Pavillion'!I43+'Chic Fil A BBC'!I43+Panera!I43+'Heritage Market'!I43</f>
        <v>0</v>
      </c>
      <c r="J43" s="80">
        <f t="shared" si="13"/>
        <v>0</v>
      </c>
      <c r="K43" s="79">
        <f>'POD Breezeway'!K43+'Express GL'!K43+'Starbucks GL-SBX Truck'!K43+'Miro''s'!K43+'Faculty Club'!K43+'Almazar  &amp; Brand X'!K43+'Burger King'!K43+Bustelo!K43+Chilis!K43+Einstein!K43+Jamba!K43+'Pollo Tropical'!K43+'Subway GC'!K43+'Sushi Maki'!K43+Panda!K43+'Starbucks Mango'!K43+'Taco Bell'!K43+'Chick-fil-A'!K43+Dunkin!K43+Chipotle!K43+Sergios!K43+'Moes PG5'!K43+'Papa Johns'!K43+Salad!K43+'Half Moon &amp; Tropical Smoothie'!K43+'Athletic Concessions - Kitchen'!K43+'Starbucks BBC'!K43+'Moes BBC'!K43+'Grille Works BBC'!K43+'Subway BBC'!K43+'Market Pavillion'!K43+'Chic Fil A BBC'!K43+Panera!K43+'Heritage Market'!K43</f>
        <v>0</v>
      </c>
      <c r="L43" s="80">
        <f t="shared" si="14"/>
        <v>0</v>
      </c>
      <c r="M43" s="79">
        <f>'POD Breezeway'!M43+'Express GL'!M43+'Starbucks GL-SBX Truck'!M43+'Miro''s'!M43+'Faculty Club'!M43+'Almazar  &amp; Brand X'!M43+'Burger King'!M43+Bustelo!M43+Chilis!M43+Einstein!M43+Jamba!M43+'Pollo Tropical'!M43+'Subway GC'!M43+'Sushi Maki'!M43+Panda!M43+'Starbucks Mango'!M43+'Taco Bell'!M43+'Chick-fil-A'!M43+Dunkin!M43+Chipotle!M43+Sergios!M43+'Moes PG5'!M43+'Papa Johns'!M43+Salad!M43+'Half Moon &amp; Tropical Smoothie'!M43+'Athletic Concessions - Kitchen'!M43+'Starbucks BBC'!M43+'Moes BBC'!M43+'Grille Works BBC'!M43+'Subway BBC'!M43+'Market Pavillion'!M43+'Chic Fil A BBC'!M43+Panera!M43+'Heritage Market'!M43</f>
        <v>0</v>
      </c>
      <c r="N43" s="80">
        <f t="shared" si="15"/>
        <v>0</v>
      </c>
      <c r="O43" s="79">
        <f>'POD Breezeway'!O43+'Express GL'!O43+'Starbucks GL-SBX Truck'!O43+'Miro''s'!O43+'Faculty Club'!O43+'Almazar  &amp; Brand X'!O43+'Burger King'!O43+Bustelo!O43+Chilis!O43+Einstein!O43+Jamba!O43+'Pollo Tropical'!O43+'Subway GC'!O43+'Sushi Maki'!O43+Panda!O43+'Starbucks Mango'!O43+'Taco Bell'!O43+'Chick-fil-A'!O43+Dunkin!O43+Chipotle!O43+Sergios!O43+'Moes PG5'!O43+'Papa Johns'!O43+Salad!O43+'Half Moon &amp; Tropical Smoothie'!O43+'Athletic Concessions - Kitchen'!O43+'Starbucks BBC'!O43+'Moes BBC'!O43+'Grille Works BBC'!O43+'Subway BBC'!O43+'Market Pavillion'!O43+'Chic Fil A BBC'!O43+Panera!O43+'Heritage Market'!O43</f>
        <v>0</v>
      </c>
      <c r="P43" s="80">
        <f t="shared" si="16"/>
        <v>0</v>
      </c>
      <c r="Q43" s="79">
        <f>'POD Breezeway'!Q43+'Express GL'!Q43+'Starbucks GL-SBX Truck'!Q43+'Miro''s'!Q43+'Faculty Club'!Q43+'Almazar  &amp; Brand X'!Q43+'Burger King'!Q43+Bustelo!Q43+Chilis!Q43+Einstein!Q43+Jamba!Q43+'Pollo Tropical'!Q43+'Subway GC'!Q43+'Sushi Maki'!Q43+Panda!Q43+'Starbucks Mango'!Q43+'Taco Bell'!Q43+'Chick-fil-A'!Q43+Dunkin!Q43+Chipotle!Q43+Sergios!Q43+'Moes PG5'!Q43+'Papa Johns'!Q43+Salad!Q43+'Half Moon &amp; Tropical Smoothie'!Q43+'Athletic Concessions - Kitchen'!Q43+'Starbucks BBC'!Q43+'Moes BBC'!Q43+'Grille Works BBC'!Q43+'Subway BBC'!Q43+'Market Pavillion'!Q43+'Chic Fil A BBC'!Q43+Panera!Q43+'Heritage Market'!Q43</f>
        <v>0</v>
      </c>
      <c r="R43" s="80">
        <f t="shared" si="17"/>
        <v>0</v>
      </c>
      <c r="S43" s="79">
        <f>'POD Breezeway'!S43+'Express GL'!S43+'Starbucks GL-SBX Truck'!S43+'Miro''s'!S43+'Faculty Club'!S43+'Almazar  &amp; Brand X'!S43+'Burger King'!S43+Bustelo!S43+Chilis!S43+Einstein!S43+Jamba!S43+'Pollo Tropical'!S43+'Subway GC'!S43+'Sushi Maki'!S43+Panda!S43+'Starbucks Mango'!S43+'Taco Bell'!S43+'Chick-fil-A'!S43+Dunkin!S43+Chipotle!S43+Sergios!S43+'Moes PG5'!S43+'Papa Johns'!S43+Salad!S43+'Half Moon &amp; Tropical Smoothie'!S43+'Athletic Concessions - Kitchen'!S43+'Starbucks BBC'!S43+'Moes BBC'!S43+'Grille Works BBC'!S43+'Subway BBC'!S43+'Market Pavillion'!S43+'Chic Fil A BBC'!S43+Panera!S43+'Heritage Market'!S43</f>
        <v>0</v>
      </c>
      <c r="T43" s="80">
        <f t="shared" si="18"/>
        <v>0</v>
      </c>
      <c r="U43" s="79">
        <f>'POD Breezeway'!U43+'Express GL'!U43+'Starbucks GL-SBX Truck'!U43+'Miro''s'!U43+'Faculty Club'!U43+'Almazar  &amp; Brand X'!U43+'Burger King'!U43+Bustelo!U43+Chilis!U43+Einstein!U43+Jamba!U43+'Pollo Tropical'!U43+'Subway GC'!U43+'Sushi Maki'!U43+Panda!U43+'Starbucks Mango'!U43+'Taco Bell'!U43+'Chick-fil-A'!U43+Dunkin!U43+Chipotle!U43+Sergios!U43+'Moes PG5'!U43+'Papa Johns'!U43+Salad!U43+'Half Moon &amp; Tropical Smoothie'!U43+'Athletic Concessions - Kitchen'!U43+'Starbucks BBC'!U43+'Moes BBC'!U43+'Grille Works BBC'!U43+'Subway BBC'!U43+'Market Pavillion'!U43+'Chic Fil A BBC'!U43+Panera!U43+'Heritage Market'!U43</f>
        <v>0</v>
      </c>
      <c r="V43" s="80">
        <f t="shared" si="19"/>
        <v>0</v>
      </c>
    </row>
    <row r="44" spans="1:22" ht="12.75" customHeight="1">
      <c r="A44" s="2" t="s">
        <v>379</v>
      </c>
      <c r="B44" s="35"/>
      <c r="C44" s="79">
        <f>'POD Breezeway'!C44+'Express GL'!C44+'Starbucks GL-SBX Truck'!C44+'Miro''s'!C44+'Faculty Club'!C44+'Almazar  &amp; Brand X'!C44+'Burger King'!C44+Bustelo!C44+Chilis!C44+Einstein!C44+Jamba!C44+'Pollo Tropical'!C44+'Subway GC'!C44+'Sushi Maki'!C44+Panda!C44+'Starbucks Mango'!C44+'Taco Bell'!C44+'Chick-fil-A'!C44+Dunkin!C44+Chipotle!C44+Sergios!C44+'Moes PG5'!C44+'Papa Johns'!C44+Salad!C44+'Half Moon &amp; Tropical Smoothie'!C44+'Athletic Concessions - Kitchen'!C44+'Starbucks BBC'!C44+'Moes BBC'!C44+'Grille Works BBC'!C44+'Subway BBC'!C44+'Market Pavillion'!C44+'Chic Fil A BBC'!C44+Panera!C44+'Heritage Market'!C44</f>
        <v>0</v>
      </c>
      <c r="D44" s="80">
        <f t="shared" si="10"/>
        <v>0</v>
      </c>
      <c r="E44" s="79">
        <f>'POD Breezeway'!E44+'Express GL'!E44+'Starbucks GL-SBX Truck'!E44+'Miro''s'!E44+'Faculty Club'!E44+'Almazar  &amp; Brand X'!E44+'Burger King'!E44+Bustelo!E44+Chilis!E44+Einstein!E44+Jamba!E44+'Pollo Tropical'!E44+'Subway GC'!E44+'Sushi Maki'!E44+Panda!E44+'Starbucks Mango'!E44+'Taco Bell'!E44+'Chick-fil-A'!E44+Dunkin!E44+Chipotle!E44+Sergios!E44+'Moes PG5'!E44+'Papa Johns'!E44+Salad!E44+'Half Moon &amp; Tropical Smoothie'!E44+'Athletic Concessions - Kitchen'!E44+'Starbucks BBC'!E44+'Moes BBC'!E44+'Grille Works BBC'!E44+'Subway BBC'!E44+'Market Pavillion'!E44+'Chic Fil A BBC'!E44+Panera!E44+'Heritage Market'!E44</f>
        <v>0</v>
      </c>
      <c r="F44" s="80">
        <f t="shared" si="11"/>
        <v>0</v>
      </c>
      <c r="G44" s="79">
        <f>'POD Breezeway'!G44+'Express GL'!G44+'Starbucks GL-SBX Truck'!G44+'Miro''s'!G44+'Faculty Club'!G44+'Almazar  &amp; Brand X'!G44+'Burger King'!G44+Bustelo!G44+Chilis!G44+Einstein!G44+Jamba!G44+'Pollo Tropical'!G44+'Subway GC'!G44+'Sushi Maki'!G44+Panda!G44+'Starbucks Mango'!G44+'Taco Bell'!G44+'Chick-fil-A'!G44+Dunkin!G44+Chipotle!G44+Sergios!G44+'Moes PG5'!G44+'Papa Johns'!G44+Salad!G44+'Half Moon &amp; Tropical Smoothie'!G44+'Athletic Concessions - Kitchen'!G44+'Starbucks BBC'!G44+'Moes BBC'!G44+'Grille Works BBC'!G44+'Subway BBC'!G44+'Market Pavillion'!G44+'Chic Fil A BBC'!G44+Panera!G44+'Heritage Market'!G44</f>
        <v>0</v>
      </c>
      <c r="H44" s="80">
        <f t="shared" si="12"/>
        <v>0</v>
      </c>
      <c r="I44" s="79">
        <f>'POD Breezeway'!I44+'Express GL'!I44+'Starbucks GL-SBX Truck'!I44+'Miro''s'!I44+'Faculty Club'!I44+'Almazar  &amp; Brand X'!I44+'Burger King'!I44+Bustelo!I44+Chilis!I44+Einstein!I44+Jamba!I44+'Pollo Tropical'!I44+'Subway GC'!I44+'Sushi Maki'!I44+Panda!I44+'Starbucks Mango'!I44+'Taco Bell'!I44+'Chick-fil-A'!I44+Dunkin!I44+Chipotle!I44+Sergios!I44+'Moes PG5'!I44+'Papa Johns'!I44+Salad!I44+'Half Moon &amp; Tropical Smoothie'!I44+'Athletic Concessions - Kitchen'!I44+'Starbucks BBC'!I44+'Moes BBC'!I44+'Grille Works BBC'!I44+'Subway BBC'!I44+'Market Pavillion'!I44+'Chic Fil A BBC'!I44+Panera!I44+'Heritage Market'!I44</f>
        <v>0</v>
      </c>
      <c r="J44" s="80">
        <f t="shared" si="13"/>
        <v>0</v>
      </c>
      <c r="K44" s="79">
        <f>'POD Breezeway'!K44+'Express GL'!K44+'Starbucks GL-SBX Truck'!K44+'Miro''s'!K44+'Faculty Club'!K44+'Almazar  &amp; Brand X'!K44+'Burger King'!K44+Bustelo!K44+Chilis!K44+Einstein!K44+Jamba!K44+'Pollo Tropical'!K44+'Subway GC'!K44+'Sushi Maki'!K44+Panda!K44+'Starbucks Mango'!K44+'Taco Bell'!K44+'Chick-fil-A'!K44+Dunkin!K44+Chipotle!K44+Sergios!K44+'Moes PG5'!K44+'Papa Johns'!K44+Salad!K44+'Half Moon &amp; Tropical Smoothie'!K44+'Athletic Concessions - Kitchen'!K44+'Starbucks BBC'!K44+'Moes BBC'!K44+'Grille Works BBC'!K44+'Subway BBC'!K44+'Market Pavillion'!K44+'Chic Fil A BBC'!K44+Panera!K44+'Heritage Market'!K44</f>
        <v>0</v>
      </c>
      <c r="L44" s="80">
        <f t="shared" si="14"/>
        <v>0</v>
      </c>
      <c r="M44" s="79">
        <f>'POD Breezeway'!M44+'Express GL'!M44+'Starbucks GL-SBX Truck'!M44+'Miro''s'!M44+'Faculty Club'!M44+'Almazar  &amp; Brand X'!M44+'Burger King'!M44+Bustelo!M44+Chilis!M44+Einstein!M44+Jamba!M44+'Pollo Tropical'!M44+'Subway GC'!M44+'Sushi Maki'!M44+Panda!M44+'Starbucks Mango'!M44+'Taco Bell'!M44+'Chick-fil-A'!M44+Dunkin!M44+Chipotle!M44+Sergios!M44+'Moes PG5'!M44+'Papa Johns'!M44+Salad!M44+'Half Moon &amp; Tropical Smoothie'!M44+'Athletic Concessions - Kitchen'!M44+'Starbucks BBC'!M44+'Moes BBC'!M44+'Grille Works BBC'!M44+'Subway BBC'!M44+'Market Pavillion'!M44+'Chic Fil A BBC'!M44+Panera!M44+'Heritage Market'!M44</f>
        <v>0</v>
      </c>
      <c r="N44" s="80">
        <f t="shared" si="15"/>
        <v>0</v>
      </c>
      <c r="O44" s="79">
        <f>'POD Breezeway'!O44+'Express GL'!O44+'Starbucks GL-SBX Truck'!O44+'Miro''s'!O44+'Faculty Club'!O44+'Almazar  &amp; Brand X'!O44+'Burger King'!O44+Bustelo!O44+Chilis!O44+Einstein!O44+Jamba!O44+'Pollo Tropical'!O44+'Subway GC'!O44+'Sushi Maki'!O44+Panda!O44+'Starbucks Mango'!O44+'Taco Bell'!O44+'Chick-fil-A'!O44+Dunkin!O44+Chipotle!O44+Sergios!O44+'Moes PG5'!O44+'Papa Johns'!O44+Salad!O44+'Half Moon &amp; Tropical Smoothie'!O44+'Athletic Concessions - Kitchen'!O44+'Starbucks BBC'!O44+'Moes BBC'!O44+'Grille Works BBC'!O44+'Subway BBC'!O44+'Market Pavillion'!O44+'Chic Fil A BBC'!O44+Panera!O44+'Heritage Market'!O44</f>
        <v>0</v>
      </c>
      <c r="P44" s="80">
        <f t="shared" si="16"/>
        <v>0</v>
      </c>
      <c r="Q44" s="79">
        <f>'POD Breezeway'!Q44+'Express GL'!Q44+'Starbucks GL-SBX Truck'!Q44+'Miro''s'!Q44+'Faculty Club'!Q44+'Almazar  &amp; Brand X'!Q44+'Burger King'!Q44+Bustelo!Q44+Chilis!Q44+Einstein!Q44+Jamba!Q44+'Pollo Tropical'!Q44+'Subway GC'!Q44+'Sushi Maki'!Q44+Panda!Q44+'Starbucks Mango'!Q44+'Taco Bell'!Q44+'Chick-fil-A'!Q44+Dunkin!Q44+Chipotle!Q44+Sergios!Q44+'Moes PG5'!Q44+'Papa Johns'!Q44+Salad!Q44+'Half Moon &amp; Tropical Smoothie'!Q44+'Athletic Concessions - Kitchen'!Q44+'Starbucks BBC'!Q44+'Moes BBC'!Q44+'Grille Works BBC'!Q44+'Subway BBC'!Q44+'Market Pavillion'!Q44+'Chic Fil A BBC'!Q44+Panera!Q44+'Heritage Market'!Q44</f>
        <v>0</v>
      </c>
      <c r="R44" s="80">
        <f t="shared" si="17"/>
        <v>0</v>
      </c>
      <c r="S44" s="79">
        <f>'POD Breezeway'!S44+'Express GL'!S44+'Starbucks GL-SBX Truck'!S44+'Miro''s'!S44+'Faculty Club'!S44+'Almazar  &amp; Brand X'!S44+'Burger King'!S44+Bustelo!S44+Chilis!S44+Einstein!S44+Jamba!S44+'Pollo Tropical'!S44+'Subway GC'!S44+'Sushi Maki'!S44+Panda!S44+'Starbucks Mango'!S44+'Taco Bell'!S44+'Chick-fil-A'!S44+Dunkin!S44+Chipotle!S44+Sergios!S44+'Moes PG5'!S44+'Papa Johns'!S44+Salad!S44+'Half Moon &amp; Tropical Smoothie'!S44+'Athletic Concessions - Kitchen'!S44+'Starbucks BBC'!S44+'Moes BBC'!S44+'Grille Works BBC'!S44+'Subway BBC'!S44+'Market Pavillion'!S44+'Chic Fil A BBC'!S44+Panera!S44+'Heritage Market'!S44</f>
        <v>0</v>
      </c>
      <c r="T44" s="80">
        <f t="shared" si="18"/>
        <v>0</v>
      </c>
      <c r="U44" s="79">
        <f>'POD Breezeway'!U44+'Express GL'!U44+'Starbucks GL-SBX Truck'!U44+'Miro''s'!U44+'Faculty Club'!U44+'Almazar  &amp; Brand X'!U44+'Burger King'!U44+Bustelo!U44+Chilis!U44+Einstein!U44+Jamba!U44+'Pollo Tropical'!U44+'Subway GC'!U44+'Sushi Maki'!U44+Panda!U44+'Starbucks Mango'!U44+'Taco Bell'!U44+'Chick-fil-A'!U44+Dunkin!U44+Chipotle!U44+Sergios!U44+'Moes PG5'!U44+'Papa Johns'!U44+Salad!U44+'Half Moon &amp; Tropical Smoothie'!U44+'Athletic Concessions - Kitchen'!U44+'Starbucks BBC'!U44+'Moes BBC'!U44+'Grille Works BBC'!U44+'Subway BBC'!U44+'Market Pavillion'!U44+'Chic Fil A BBC'!U44+Panera!U44+'Heritage Market'!U44</f>
        <v>0</v>
      </c>
      <c r="V44" s="80">
        <f t="shared" si="19"/>
        <v>0</v>
      </c>
    </row>
    <row r="45" spans="1:22" ht="12.75" customHeight="1">
      <c r="A45" s="2" t="s">
        <v>380</v>
      </c>
      <c r="B45" s="35"/>
      <c r="C45" s="81">
        <f>'POD Breezeway'!C45+'Express GL'!C45+'Starbucks GL-SBX Truck'!C45+'Miro''s'!C45+'Faculty Club'!C45+'Almazar  &amp; Brand X'!C45+'Burger King'!C45+Bustelo!C45+Chilis!C45+Einstein!C45+Jamba!C45+'Pollo Tropical'!C45+'Subway GC'!C45+'Sushi Maki'!C45+Panda!C45+'Starbucks Mango'!C45+'Taco Bell'!C45+'Chick-fil-A'!C45+Dunkin!C45+Chipotle!C45+Sergios!C45+'Moes PG5'!C45+'Papa Johns'!C45+Salad!C45+'Half Moon &amp; Tropical Smoothie'!C45+'Athletic Concessions - Kitchen'!C45+'Starbucks BBC'!C45+'Moes BBC'!C45+'Grille Works BBC'!C45+'Subway BBC'!C45+'Market Pavillion'!C45+'Chic Fil A BBC'!C45+Panera!C45+'Heritage Market'!C45</f>
        <v>410409.98800000007</v>
      </c>
      <c r="D45" s="80">
        <f t="shared" si="10"/>
        <v>2.5820394343347802E-2</v>
      </c>
      <c r="E45" s="81">
        <f>'POD Breezeway'!E45+'Express GL'!E45+'Starbucks GL-SBX Truck'!E45+'Miro''s'!E45+'Faculty Club'!E45+'Almazar  &amp; Brand X'!E45+'Burger King'!E45+Bustelo!E45+Chilis!E45+Einstein!E45+Jamba!E45+'Pollo Tropical'!E45+'Subway GC'!E45+'Sushi Maki'!E45+Panda!E45+'Starbucks Mango'!E45+'Taco Bell'!E45+'Chick-fil-A'!E45+Dunkin!E45+Chipotle!E45+Sergios!E45+'Moes PG5'!E45+'Papa Johns'!E45+Salad!E45+'Half Moon &amp; Tropical Smoothie'!E45+'Athletic Concessions - Kitchen'!E45+'Starbucks BBC'!E45+'Moes BBC'!E45+'Grille Works BBC'!E45+'Subway BBC'!E45+'Market Pavillion'!E45+'Chic Fil A BBC'!E45+Panera!E45+'Heritage Market'!E45</f>
        <v>468883.58997371013</v>
      </c>
      <c r="F45" s="80">
        <f t="shared" si="11"/>
        <v>2.7061270035431368E-2</v>
      </c>
      <c r="G45" s="81">
        <f>'POD Breezeway'!G45+'Express GL'!G45+'Starbucks GL-SBX Truck'!G45+'Miro''s'!G45+'Faculty Club'!G45+'Almazar  &amp; Brand X'!G45+'Burger King'!G45+Bustelo!G45+Chilis!G45+Einstein!G45+Jamba!G45+'Pollo Tropical'!G45+'Subway GC'!G45+'Sushi Maki'!G45+Panda!G45+'Starbucks Mango'!G45+'Taco Bell'!G45+'Chick-fil-A'!G45+Dunkin!G45+Chipotle!G45+Sergios!G45+'Moes PG5'!G45+'Papa Johns'!G45+Salad!G45+'Half Moon &amp; Tropical Smoothie'!G45+'Athletic Concessions - Kitchen'!G45+'Starbucks BBC'!G45+'Moes BBC'!G45+'Grille Works BBC'!G45+'Subway BBC'!G45+'Market Pavillion'!G45+'Chic Fil A BBC'!G45+Panera!G45+'Heritage Market'!G45</f>
        <v>530121.97711265518</v>
      </c>
      <c r="H45" s="80">
        <f t="shared" si="12"/>
        <v>2.7725059080412777E-2</v>
      </c>
      <c r="I45" s="81">
        <f>'POD Breezeway'!I45+'Express GL'!I45+'Starbucks GL-SBX Truck'!I45+'Miro''s'!I45+'Faculty Club'!I45+'Almazar  &amp; Brand X'!I45+'Burger King'!I45+Bustelo!I45+Chilis!I45+Einstein!I45+Jamba!I45+'Pollo Tropical'!I45+'Subway GC'!I45+'Sushi Maki'!I45+Panda!I45+'Starbucks Mango'!I45+'Taco Bell'!I45+'Chick-fil-A'!I45+Dunkin!I45+Chipotle!I45+Sergios!I45+'Moes PG5'!I45+'Papa Johns'!I45+Salad!I45+'Half Moon &amp; Tropical Smoothie'!I45+'Athletic Concessions - Kitchen'!I45+'Starbucks BBC'!I45+'Moes BBC'!I45+'Grille Works BBC'!I45+'Subway BBC'!I45+'Market Pavillion'!I45+'Chic Fil A BBC'!I45+Panera!I45+'Heritage Market'!I45</f>
        <v>528368.12393087766</v>
      </c>
      <c r="J45" s="80">
        <f t="shared" si="13"/>
        <v>2.7078890118734728E-2</v>
      </c>
      <c r="K45" s="81">
        <f>'POD Breezeway'!K45+'Express GL'!K45+'Starbucks GL-SBX Truck'!K45+'Miro''s'!K45+'Faculty Club'!K45+'Almazar  &amp; Brand X'!K45+'Burger King'!K45+Bustelo!K45+Chilis!K45+Einstein!K45+Jamba!K45+'Pollo Tropical'!K45+'Subway GC'!K45+'Sushi Maki'!K45+Panda!K45+'Starbucks Mango'!K45+'Taco Bell'!K45+'Chick-fil-A'!K45+Dunkin!K45+Chipotle!K45+Sergios!K45+'Moes PG5'!K45+'Papa Johns'!K45+Salad!K45+'Half Moon &amp; Tropical Smoothie'!K45+'Athletic Concessions - Kitchen'!K45+'Starbucks BBC'!K45+'Moes BBC'!K45+'Grille Works BBC'!K45+'Subway BBC'!K45+'Market Pavillion'!K45+'Chic Fil A BBC'!K45+Panera!K45+'Heritage Market'!K45</f>
        <v>541479.06678680098</v>
      </c>
      <c r="L45" s="80">
        <f t="shared" si="14"/>
        <v>2.7258260589054752E-2</v>
      </c>
      <c r="M45" s="81">
        <f>'POD Breezeway'!M45+'Express GL'!M45+'Starbucks GL-SBX Truck'!M45+'Miro''s'!M45+'Faculty Club'!M45+'Almazar  &amp; Brand X'!M45+'Burger King'!M45+Bustelo!M45+Chilis!M45+Einstein!M45+Jamba!M45+'Pollo Tropical'!M45+'Subway GC'!M45+'Sushi Maki'!M45+Panda!M45+'Starbucks Mango'!M45+'Taco Bell'!M45+'Chick-fil-A'!M45+Dunkin!M45+Chipotle!M45+Sergios!M45+'Moes PG5'!M45+'Papa Johns'!M45+Salad!M45+'Half Moon &amp; Tropical Smoothie'!M45+'Athletic Concessions - Kitchen'!M45+'Starbucks BBC'!M45+'Moes BBC'!M45+'Grille Works BBC'!M45+'Subway BBC'!M45+'Market Pavillion'!M45+'Chic Fil A BBC'!M45+Panera!M45+'Heritage Market'!M45</f>
        <v>554916.77500927553</v>
      </c>
      <c r="N45" s="80">
        <f t="shared" si="15"/>
        <v>2.7438477652956376E-2</v>
      </c>
      <c r="O45" s="81">
        <f>'POD Breezeway'!O45+'Express GL'!O45+'Starbucks GL-SBX Truck'!O45+'Miro''s'!O45+'Faculty Club'!O45+'Almazar  &amp; Brand X'!O45+'Burger King'!O45+Bustelo!O45+Chilis!O45+Einstein!O45+Jamba!O45+'Pollo Tropical'!O45+'Subway GC'!O45+'Sushi Maki'!O45+Panda!O45+'Starbucks Mango'!O45+'Taco Bell'!O45+'Chick-fil-A'!O45+Dunkin!O45+Chipotle!O45+Sergios!O45+'Moes PG5'!O45+'Papa Johns'!O45+Salad!O45+'Half Moon &amp; Tropical Smoothie'!O45+'Athletic Concessions - Kitchen'!O45+'Starbucks BBC'!O45+'Moes BBC'!O45+'Grille Works BBC'!O45+'Subway BBC'!O45+'Market Pavillion'!O45+'Chic Fil A BBC'!O45+Panera!O45+'Heritage Market'!O45</f>
        <v>568689.397568368</v>
      </c>
      <c r="P45" s="80">
        <f t="shared" si="16"/>
        <v>2.761954345254063E-2</v>
      </c>
      <c r="Q45" s="81">
        <f>'POD Breezeway'!Q45+'Express GL'!Q45+'Starbucks GL-SBX Truck'!Q45+'Miro''s'!Q45+'Faculty Club'!Q45+'Almazar  &amp; Brand X'!Q45+'Burger King'!Q45+Bustelo!Q45+Chilis!Q45+Einstein!Q45+Jamba!Q45+'Pollo Tropical'!Q45+'Subway GC'!Q45+'Sushi Maki'!Q45+Panda!Q45+'Starbucks Mango'!Q45+'Taco Bell'!Q45+'Chick-fil-A'!Q45+Dunkin!Q45+Chipotle!Q45+Sergios!Q45+'Moes PG5'!Q45+'Papa Johns'!Q45+Salad!Q45+'Half Moon &amp; Tropical Smoothie'!Q45+'Athletic Concessions - Kitchen'!Q45+'Starbucks BBC'!Q45+'Moes BBC'!Q45+'Grille Works BBC'!Q45+'Subway BBC'!Q45+'Market Pavillion'!Q45+'Chic Fil A BBC'!Q45+Panera!Q45+'Heritage Market'!Q45</f>
        <v>582805.28675511514</v>
      </c>
      <c r="R45" s="80">
        <f t="shared" si="17"/>
        <v>2.7801460164219808E-2</v>
      </c>
      <c r="S45" s="81">
        <f>'POD Breezeway'!S45+'Express GL'!S45+'Starbucks GL-SBX Truck'!S45+'Miro''s'!S45+'Faculty Club'!S45+'Almazar  &amp; Brand X'!S45+'Burger King'!S45+Bustelo!S45+Chilis!S45+Einstein!S45+Jamba!S45+'Pollo Tropical'!S45+'Subway GC'!S45+'Sushi Maki'!S45+Panda!S45+'Starbucks Mango'!S45+'Taco Bell'!S45+'Chick-fil-A'!S45+Dunkin!S45+Chipotle!S45+Sergios!S45+'Moes PG5'!S45+'Papa Johns'!S45+Salad!S45+'Half Moon &amp; Tropical Smoothie'!S45+'Athletic Concessions - Kitchen'!S45+'Starbucks BBC'!S45+'Moes BBC'!S45+'Grille Works BBC'!S45+'Subway BBC'!S45+'Market Pavillion'!S45+'Chic Fil A BBC'!S45+Panera!S45+'Heritage Market'!S45</f>
        <v>597273.00325648137</v>
      </c>
      <c r="T45" s="80">
        <f t="shared" si="18"/>
        <v>2.7984229998834802E-2</v>
      </c>
      <c r="U45" s="81">
        <f>'POD Breezeway'!U45+'Express GL'!U45+'Starbucks GL-SBX Truck'!U45+'Miro''s'!U45+'Faculty Club'!U45+'Almazar  &amp; Brand X'!U45+'Burger King'!U45+Bustelo!U45+Chilis!U45+Einstein!U45+Jamba!U45+'Pollo Tropical'!U45+'Subway GC'!U45+'Sushi Maki'!U45+Panda!U45+'Starbucks Mango'!U45+'Taco Bell'!U45+'Chick-fil-A'!U45+Dunkin!U45+Chipotle!U45+Sergios!U45+'Moes PG5'!U45+'Papa Johns'!U45+Salad!U45+'Half Moon &amp; Tropical Smoothie'!U45+'Athletic Concessions - Kitchen'!U45+'Starbucks BBC'!U45+'Moes BBC'!U45+'Grille Works BBC'!U45+'Subway BBC'!U45+'Market Pavillion'!U45+'Chic Fil A BBC'!U45+Panera!U45+'Heritage Market'!U45</f>
        <v>612101.32135703193</v>
      </c>
      <c r="V45" s="80">
        <f t="shared" si="19"/>
        <v>2.721156196779468E-2</v>
      </c>
    </row>
    <row r="46" spans="1:22" ht="12.75" customHeight="1">
      <c r="A46" s="1" t="s">
        <v>381</v>
      </c>
      <c r="B46" s="53"/>
      <c r="C46" s="82">
        <f>SUM(C36:C45)</f>
        <v>5153997.8279999997</v>
      </c>
      <c r="D46" s="83">
        <f t="shared" si="10"/>
        <v>0.32425686570697698</v>
      </c>
      <c r="E46" s="82">
        <f>SUM(E36:E45)</f>
        <v>5739816.1759512564</v>
      </c>
      <c r="F46" s="83">
        <f t="shared" si="11"/>
        <v>0.33126925064676083</v>
      </c>
      <c r="G46" s="82">
        <f>SUM(G36:G45)</f>
        <v>6460258.3413422666</v>
      </c>
      <c r="H46" s="83">
        <f t="shared" si="12"/>
        <v>0.33786760768528046</v>
      </c>
      <c r="I46" s="82">
        <f>SUM(I36:I45)</f>
        <v>6623245.1880509583</v>
      </c>
      <c r="J46" s="83">
        <f t="shared" si="13"/>
        <v>0.33944161381721322</v>
      </c>
      <c r="K46" s="82">
        <f>SUM(K36:K45)</f>
        <v>6788125.2797183953</v>
      </c>
      <c r="L46" s="83">
        <f t="shared" si="14"/>
        <v>0.34171678858006138</v>
      </c>
      <c r="M46" s="82">
        <f>SUM(M36:M45)</f>
        <v>6957114.3099168437</v>
      </c>
      <c r="N46" s="83">
        <f t="shared" si="15"/>
        <v>0.3440022614535766</v>
      </c>
      <c r="O46" s="82">
        <f>SUM(O36:O45)</f>
        <v>7130314.7408343647</v>
      </c>
      <c r="P46" s="83">
        <f t="shared" si="16"/>
        <v>0.34629806473768487</v>
      </c>
      <c r="Q46" s="82">
        <f>SUM(Q36:Q45)</f>
        <v>7307831.5909882132</v>
      </c>
      <c r="R46" s="83">
        <f t="shared" si="17"/>
        <v>0.34860423108868221</v>
      </c>
      <c r="S46" s="82">
        <f>SUM(S36:S45)</f>
        <v>7489772.4990285682</v>
      </c>
      <c r="T46" s="83">
        <f t="shared" si="18"/>
        <v>0.35092079352154898</v>
      </c>
      <c r="U46" s="82">
        <f>SUM(U36:U45)</f>
        <v>7676247.7891352465</v>
      </c>
      <c r="V46" s="83">
        <f t="shared" si="19"/>
        <v>0.34125509144647265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2" ht="12.75" customHeight="1">
      <c r="A49" s="1"/>
      <c r="B49" s="118"/>
    </row>
    <row r="50" spans="1:22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2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2" ht="12.75" customHeight="1">
      <c r="A52" s="2" t="s">
        <v>383</v>
      </c>
      <c r="B52" s="35"/>
      <c r="C52" s="134">
        <f>'POD Breezeway'!C52+'Express GL'!C52+'Starbucks GL-SBX Truck'!C52+'Miro''s'!C52+'Faculty Club'!C52+'Almazar  &amp; Brand X'!C52+'Burger King'!C52+Bustelo!C52+Chilis!C52+Einstein!C52+Jamba!C52+'Pollo Tropical'!C52+'Subway GC'!C52+'Sushi Maki'!C52+Panda!C52+'Starbucks Mango'!C52+'Taco Bell'!C52+'Chick-fil-A'!C52+Dunkin!C52+Chipotle!C52+Sergios!C52+'Moes PG5'!C52+'Papa Johns'!C52+Salad!C52+'Half Moon &amp; Tropical Smoothie'!C52+'Athletic Concessions - Kitchen'!C52+'Starbucks BBC'!C52+'Moes BBC'!C52+'Grille Works BBC'!C52+'Subway BBC'!C52+'Market Pavillion'!C52+'Chic Fil A BBC'!C52+Panera!C52+'Heritage Market'!C52</f>
        <v>0</v>
      </c>
      <c r="D52" s="80">
        <f t="shared" ref="D52:D83" si="20">IFERROR(C52/C$28,0)</f>
        <v>0</v>
      </c>
      <c r="E52" s="134">
        <f>'POD Breezeway'!E52+'Express GL'!E52+'Starbucks GL-SBX Truck'!E52+'Miro''s'!E52+'Faculty Club'!E52+'Almazar  &amp; Brand X'!E52+'Burger King'!E52+Bustelo!E52+Chilis!E52+Einstein!E52+Jamba!E52+'Pollo Tropical'!E52+'Subway GC'!E52+'Sushi Maki'!E52+Panda!E52+'Starbucks Mango'!E52+'Taco Bell'!E52+'Chick-fil-A'!E52+Dunkin!E52+Chipotle!E52+Sergios!E52+'Moes PG5'!E52+'Papa Johns'!E52+Salad!E52+'Half Moon &amp; Tropical Smoothie'!E52+'Athletic Concessions - Kitchen'!E52+'Starbucks BBC'!E52+'Moes BBC'!E52+'Grille Works BBC'!E52+'Subway BBC'!E52+'Market Pavillion'!E52+'Chic Fil A BBC'!E52+Panera!E52+'Heritage Market'!E52</f>
        <v>0</v>
      </c>
      <c r="F52" s="80">
        <f t="shared" ref="F52:F83" si="21">IFERROR(E52/E$28,0)</f>
        <v>0</v>
      </c>
      <c r="G52" s="134">
        <f>'POD Breezeway'!G52+'Express GL'!G52+'Starbucks GL-SBX Truck'!G52+'Miro''s'!G52+'Faculty Club'!G52+'Almazar  &amp; Brand X'!G52+'Burger King'!G52+Bustelo!G52+Chilis!G52+Einstein!G52+Jamba!G52+'Pollo Tropical'!G52+'Subway GC'!G52+'Sushi Maki'!G52+Panda!G52+'Starbucks Mango'!G52+'Taco Bell'!G52+'Chick-fil-A'!G52+Dunkin!G52+Chipotle!G52+Sergios!G52+'Moes PG5'!G52+'Papa Johns'!G52+Salad!G52+'Half Moon &amp; Tropical Smoothie'!G52+'Athletic Concessions - Kitchen'!G52+'Starbucks BBC'!G52+'Moes BBC'!G52+'Grille Works BBC'!G52+'Subway BBC'!G52+'Market Pavillion'!G52+'Chic Fil A BBC'!G52+Panera!G52+'Heritage Market'!G52</f>
        <v>0</v>
      </c>
      <c r="H52" s="80">
        <f t="shared" ref="H52:H83" si="22">IFERROR(G52/G$28,0)</f>
        <v>0</v>
      </c>
      <c r="I52" s="134">
        <f>'POD Breezeway'!I52+'Express GL'!I52+'Starbucks GL-SBX Truck'!I52+'Miro''s'!I52+'Faculty Club'!I52+'Almazar  &amp; Brand X'!I52+'Burger King'!I52+Bustelo!I52+Chilis!I52+Einstein!I52+Jamba!I52+'Pollo Tropical'!I52+'Subway GC'!I52+'Sushi Maki'!I52+Panda!I52+'Starbucks Mango'!I52+'Taco Bell'!I52+'Chick-fil-A'!I52+Dunkin!I52+Chipotle!I52+Sergios!I52+'Moes PG5'!I52+'Papa Johns'!I52+Salad!I52+'Half Moon &amp; Tropical Smoothie'!I52+'Athletic Concessions - Kitchen'!I52+'Starbucks BBC'!I52+'Moes BBC'!I52+'Grille Works BBC'!I52+'Subway BBC'!I52+'Market Pavillion'!I52+'Chic Fil A BBC'!I52+Panera!I52+'Heritage Market'!I52</f>
        <v>0</v>
      </c>
      <c r="J52" s="80">
        <f t="shared" ref="J52:J83" si="23">IFERROR(I52/I$28,0)</f>
        <v>0</v>
      </c>
      <c r="K52" s="134">
        <f>'POD Breezeway'!K52+'Express GL'!K52+'Starbucks GL-SBX Truck'!K52+'Miro''s'!K52+'Faculty Club'!K52+'Almazar  &amp; Brand X'!K52+'Burger King'!K52+Bustelo!K52+Chilis!K52+Einstein!K52+Jamba!K52+'Pollo Tropical'!K52+'Subway GC'!K52+'Sushi Maki'!K52+Panda!K52+'Starbucks Mango'!K52+'Taco Bell'!K52+'Chick-fil-A'!K52+Dunkin!K52+Chipotle!K52+Sergios!K52+'Moes PG5'!K52+'Papa Johns'!K52+Salad!K52+'Half Moon &amp; Tropical Smoothie'!K52+'Athletic Concessions - Kitchen'!K52+'Starbucks BBC'!K52+'Moes BBC'!K52+'Grille Works BBC'!K52+'Subway BBC'!K52+'Market Pavillion'!K52+'Chic Fil A BBC'!K52+Panera!K52+'Heritage Market'!K52</f>
        <v>0</v>
      </c>
      <c r="L52" s="80">
        <f t="shared" ref="L52:L83" si="24">IFERROR(K52/K$28,0)</f>
        <v>0</v>
      </c>
      <c r="M52" s="134">
        <f>'POD Breezeway'!M52+'Express GL'!M52+'Starbucks GL-SBX Truck'!M52+'Miro''s'!M52+'Faculty Club'!M52+'Almazar  &amp; Brand X'!M52+'Burger King'!M52+Bustelo!M52+Chilis!M52+Einstein!M52+Jamba!M52+'Pollo Tropical'!M52+'Subway GC'!M52+'Sushi Maki'!M52+Panda!M52+'Starbucks Mango'!M52+'Taco Bell'!M52+'Chick-fil-A'!M52+Dunkin!M52+Chipotle!M52+Sergios!M52+'Moes PG5'!M52+'Papa Johns'!M52+Salad!M52+'Half Moon &amp; Tropical Smoothie'!M52+'Athletic Concessions - Kitchen'!M52+'Starbucks BBC'!M52+'Moes BBC'!M52+'Grille Works BBC'!M52+'Subway BBC'!M52+'Market Pavillion'!M52+'Chic Fil A BBC'!M52+Panera!M52+'Heritage Market'!M52</f>
        <v>0</v>
      </c>
      <c r="N52" s="80">
        <f t="shared" ref="N52:N83" si="25">IFERROR(M52/M$28,0)</f>
        <v>0</v>
      </c>
      <c r="O52" s="134">
        <f>'POD Breezeway'!O52+'Express GL'!O52+'Starbucks GL-SBX Truck'!O52+'Miro''s'!O52+'Faculty Club'!O52+'Almazar  &amp; Brand X'!O52+'Burger King'!O52+Bustelo!O52+Chilis!O52+Einstein!O52+Jamba!O52+'Pollo Tropical'!O52+'Subway GC'!O52+'Sushi Maki'!O52+Panda!O52+'Starbucks Mango'!O52+'Taco Bell'!O52+'Chick-fil-A'!O52+Dunkin!O52+Chipotle!O52+Sergios!O52+'Moes PG5'!O52+'Papa Johns'!O52+Salad!O52+'Half Moon &amp; Tropical Smoothie'!O52+'Athletic Concessions - Kitchen'!O52+'Starbucks BBC'!O52+'Moes BBC'!O52+'Grille Works BBC'!O52+'Subway BBC'!O52+'Market Pavillion'!O52+'Chic Fil A BBC'!O52+Panera!O52+'Heritage Market'!O52</f>
        <v>0</v>
      </c>
      <c r="P52" s="80">
        <f t="shared" ref="P52:P83" si="26">IFERROR(O52/O$28,0)</f>
        <v>0</v>
      </c>
      <c r="Q52" s="134">
        <f>'POD Breezeway'!Q52+'Express GL'!Q52+'Starbucks GL-SBX Truck'!Q52+'Miro''s'!Q52+'Faculty Club'!Q52+'Almazar  &amp; Brand X'!Q52+'Burger King'!Q52+Bustelo!Q52+Chilis!Q52+Einstein!Q52+Jamba!Q52+'Pollo Tropical'!Q52+'Subway GC'!Q52+'Sushi Maki'!Q52+Panda!Q52+'Starbucks Mango'!Q52+'Taco Bell'!Q52+'Chick-fil-A'!Q52+Dunkin!Q52+Chipotle!Q52+Sergios!Q52+'Moes PG5'!Q52+'Papa Johns'!Q52+Salad!Q52+'Half Moon &amp; Tropical Smoothie'!Q52+'Athletic Concessions - Kitchen'!Q52+'Starbucks BBC'!Q52+'Moes BBC'!Q52+'Grille Works BBC'!Q52+'Subway BBC'!Q52+'Market Pavillion'!Q52+'Chic Fil A BBC'!Q52+Panera!Q52+'Heritage Market'!Q52</f>
        <v>0</v>
      </c>
      <c r="R52" s="80">
        <f t="shared" ref="R52:R83" si="27">IFERROR(Q52/Q$28,0)</f>
        <v>0</v>
      </c>
      <c r="S52" s="134">
        <f>'POD Breezeway'!S52+'Express GL'!S52+'Starbucks GL-SBX Truck'!S52+'Miro''s'!S52+'Faculty Club'!S52+'Almazar  &amp; Brand X'!S52+'Burger King'!S52+Bustelo!S52+Chilis!S52+Einstein!S52+Jamba!S52+'Pollo Tropical'!S52+'Subway GC'!S52+'Sushi Maki'!S52+Panda!S52+'Starbucks Mango'!S52+'Taco Bell'!S52+'Chick-fil-A'!S52+Dunkin!S52+Chipotle!S52+Sergios!S52+'Moes PG5'!S52+'Papa Johns'!S52+Salad!S52+'Half Moon &amp; Tropical Smoothie'!S52+'Athletic Concessions - Kitchen'!S52+'Starbucks BBC'!S52+'Moes BBC'!S52+'Grille Works BBC'!S52+'Subway BBC'!S52+'Market Pavillion'!S52+'Chic Fil A BBC'!S52+Panera!S52+'Heritage Market'!S52</f>
        <v>0</v>
      </c>
      <c r="T52" s="80">
        <f t="shared" ref="T52:T83" si="28">IFERROR(S52/S$28,0)</f>
        <v>0</v>
      </c>
      <c r="U52" s="134">
        <f>'POD Breezeway'!U52+'Express GL'!U52+'Starbucks GL-SBX Truck'!U52+'Miro''s'!U52+'Faculty Club'!U52+'Almazar  &amp; Brand X'!U52+'Burger King'!U52+Bustelo!U52+Chilis!U52+Einstein!U52+Jamba!U52+'Pollo Tropical'!U52+'Subway GC'!U52+'Sushi Maki'!U52+Panda!U52+'Starbucks Mango'!U52+'Taco Bell'!U52+'Chick-fil-A'!U52+Dunkin!U52+Chipotle!U52+Sergios!U52+'Moes PG5'!U52+'Papa Johns'!U52+Salad!U52+'Half Moon &amp; Tropical Smoothie'!U52+'Athletic Concessions - Kitchen'!U52+'Starbucks BBC'!U52+'Moes BBC'!U52+'Grille Works BBC'!U52+'Subway BBC'!U52+'Market Pavillion'!U52+'Chic Fil A BBC'!U52+Panera!U52+'Heritage Market'!U52</f>
        <v>0</v>
      </c>
      <c r="V52" s="80">
        <f t="shared" ref="V52:V105" si="29">IFERROR(U52/U$28,0)</f>
        <v>0</v>
      </c>
    </row>
    <row r="53" spans="1:22" ht="12.75" customHeight="1">
      <c r="A53" s="2" t="s">
        <v>384</v>
      </c>
      <c r="B53" s="35"/>
      <c r="C53" s="134">
        <f>'POD Breezeway'!C53+'Express GL'!C53+'Starbucks GL-SBX Truck'!C53+'Miro''s'!C53+'Faculty Club'!C53+'Almazar  &amp; Brand X'!C53+'Burger King'!C53+Bustelo!C53+Chilis!C53+Einstein!C53+Jamba!C53+'Pollo Tropical'!C53+'Subway GC'!C53+'Sushi Maki'!C53+Panda!C53+'Starbucks Mango'!C53+'Taco Bell'!C53+'Chick-fil-A'!C53+Dunkin!C53+Chipotle!C53+Sergios!C53+'Moes PG5'!C53+'Papa Johns'!C53+Salad!C53+'Half Moon &amp; Tropical Smoothie'!C53+'Athletic Concessions - Kitchen'!C53+'Starbucks BBC'!C53+'Moes BBC'!C53+'Grille Works BBC'!C53+'Subway BBC'!C53+'Market Pavillion'!C53+'Chic Fil A BBC'!C53+Panera!C53+'Heritage Market'!C53</f>
        <v>0</v>
      </c>
      <c r="D53" s="80">
        <f t="shared" si="20"/>
        <v>0</v>
      </c>
      <c r="E53" s="134">
        <f>'POD Breezeway'!E53+'Express GL'!E53+'Starbucks GL-SBX Truck'!E53+'Miro''s'!E53+'Faculty Club'!E53+'Almazar  &amp; Brand X'!E53+'Burger King'!E53+Bustelo!E53+Chilis!E53+Einstein!E53+Jamba!E53+'Pollo Tropical'!E53+'Subway GC'!E53+'Sushi Maki'!E53+Panda!E53+'Starbucks Mango'!E53+'Taco Bell'!E53+'Chick-fil-A'!E53+Dunkin!E53+Chipotle!E53+Sergios!E53+'Moes PG5'!E53+'Papa Johns'!E53+Salad!E53+'Half Moon &amp; Tropical Smoothie'!E53+'Athletic Concessions - Kitchen'!E53+'Starbucks BBC'!E53+'Moes BBC'!E53+'Grille Works BBC'!E53+'Subway BBC'!E53+'Market Pavillion'!E53+'Chic Fil A BBC'!E53+Panera!E53+'Heritage Market'!E53</f>
        <v>0</v>
      </c>
      <c r="F53" s="80">
        <f t="shared" si="21"/>
        <v>0</v>
      </c>
      <c r="G53" s="134">
        <f>'POD Breezeway'!G53+'Express GL'!G53+'Starbucks GL-SBX Truck'!G53+'Miro''s'!G53+'Faculty Club'!G53+'Almazar  &amp; Brand X'!G53+'Burger King'!G53+Bustelo!G53+Chilis!G53+Einstein!G53+Jamba!G53+'Pollo Tropical'!G53+'Subway GC'!G53+'Sushi Maki'!G53+Panda!G53+'Starbucks Mango'!G53+'Taco Bell'!G53+'Chick-fil-A'!G53+Dunkin!G53+Chipotle!G53+Sergios!G53+'Moes PG5'!G53+'Papa Johns'!G53+Salad!G53+'Half Moon &amp; Tropical Smoothie'!G53+'Athletic Concessions - Kitchen'!G53+'Starbucks BBC'!G53+'Moes BBC'!G53+'Grille Works BBC'!G53+'Subway BBC'!G53+'Market Pavillion'!G53+'Chic Fil A BBC'!G53+Panera!G53+'Heritage Market'!G53</f>
        <v>0</v>
      </c>
      <c r="H53" s="80">
        <f t="shared" si="22"/>
        <v>0</v>
      </c>
      <c r="I53" s="134">
        <f>'POD Breezeway'!I53+'Express GL'!I53+'Starbucks GL-SBX Truck'!I53+'Miro''s'!I53+'Faculty Club'!I53+'Almazar  &amp; Brand X'!I53+'Burger King'!I53+Bustelo!I53+Chilis!I53+Einstein!I53+Jamba!I53+'Pollo Tropical'!I53+'Subway GC'!I53+'Sushi Maki'!I53+Panda!I53+'Starbucks Mango'!I53+'Taco Bell'!I53+'Chick-fil-A'!I53+Dunkin!I53+Chipotle!I53+Sergios!I53+'Moes PG5'!I53+'Papa Johns'!I53+Salad!I53+'Half Moon &amp; Tropical Smoothie'!I53+'Athletic Concessions - Kitchen'!I53+'Starbucks BBC'!I53+'Moes BBC'!I53+'Grille Works BBC'!I53+'Subway BBC'!I53+'Market Pavillion'!I53+'Chic Fil A BBC'!I53+Panera!I53+'Heritage Market'!I53</f>
        <v>0</v>
      </c>
      <c r="J53" s="80">
        <f t="shared" si="23"/>
        <v>0</v>
      </c>
      <c r="K53" s="134">
        <f>'POD Breezeway'!K53+'Express GL'!K53+'Starbucks GL-SBX Truck'!K53+'Miro''s'!K53+'Faculty Club'!K53+'Almazar  &amp; Brand X'!K53+'Burger King'!K53+Bustelo!K53+Chilis!K53+Einstein!K53+Jamba!K53+'Pollo Tropical'!K53+'Subway GC'!K53+'Sushi Maki'!K53+Panda!K53+'Starbucks Mango'!K53+'Taco Bell'!K53+'Chick-fil-A'!K53+Dunkin!K53+Chipotle!K53+Sergios!K53+'Moes PG5'!K53+'Papa Johns'!K53+Salad!K53+'Half Moon &amp; Tropical Smoothie'!K53+'Athletic Concessions - Kitchen'!K53+'Starbucks BBC'!K53+'Moes BBC'!K53+'Grille Works BBC'!K53+'Subway BBC'!K53+'Market Pavillion'!K53+'Chic Fil A BBC'!K53+Panera!K53+'Heritage Market'!K53</f>
        <v>0</v>
      </c>
      <c r="L53" s="80">
        <f t="shared" si="24"/>
        <v>0</v>
      </c>
      <c r="M53" s="134">
        <f>'POD Breezeway'!M53+'Express GL'!M53+'Starbucks GL-SBX Truck'!M53+'Miro''s'!M53+'Faculty Club'!M53+'Almazar  &amp; Brand X'!M53+'Burger King'!M53+Bustelo!M53+Chilis!M53+Einstein!M53+Jamba!M53+'Pollo Tropical'!M53+'Subway GC'!M53+'Sushi Maki'!M53+Panda!M53+'Starbucks Mango'!M53+'Taco Bell'!M53+'Chick-fil-A'!M53+Dunkin!M53+Chipotle!M53+Sergios!M53+'Moes PG5'!M53+'Papa Johns'!M53+Salad!M53+'Half Moon &amp; Tropical Smoothie'!M53+'Athletic Concessions - Kitchen'!M53+'Starbucks BBC'!M53+'Moes BBC'!M53+'Grille Works BBC'!M53+'Subway BBC'!M53+'Market Pavillion'!M53+'Chic Fil A BBC'!M53+Panera!M53+'Heritage Market'!M53</f>
        <v>0</v>
      </c>
      <c r="N53" s="80">
        <f t="shared" si="25"/>
        <v>0</v>
      </c>
      <c r="O53" s="134">
        <f>'POD Breezeway'!O53+'Express GL'!O53+'Starbucks GL-SBX Truck'!O53+'Miro''s'!O53+'Faculty Club'!O53+'Almazar  &amp; Brand X'!O53+'Burger King'!O53+Bustelo!O53+Chilis!O53+Einstein!O53+Jamba!O53+'Pollo Tropical'!O53+'Subway GC'!O53+'Sushi Maki'!O53+Panda!O53+'Starbucks Mango'!O53+'Taco Bell'!O53+'Chick-fil-A'!O53+Dunkin!O53+Chipotle!O53+Sergios!O53+'Moes PG5'!O53+'Papa Johns'!O53+Salad!O53+'Half Moon &amp; Tropical Smoothie'!O53+'Athletic Concessions - Kitchen'!O53+'Starbucks BBC'!O53+'Moes BBC'!O53+'Grille Works BBC'!O53+'Subway BBC'!O53+'Market Pavillion'!O53+'Chic Fil A BBC'!O53+Panera!O53+'Heritage Market'!O53</f>
        <v>0</v>
      </c>
      <c r="P53" s="80">
        <f t="shared" si="26"/>
        <v>0</v>
      </c>
      <c r="Q53" s="134">
        <f>'POD Breezeway'!Q53+'Express GL'!Q53+'Starbucks GL-SBX Truck'!Q53+'Miro''s'!Q53+'Faculty Club'!Q53+'Almazar  &amp; Brand X'!Q53+'Burger King'!Q53+Bustelo!Q53+Chilis!Q53+Einstein!Q53+Jamba!Q53+'Pollo Tropical'!Q53+'Subway GC'!Q53+'Sushi Maki'!Q53+Panda!Q53+'Starbucks Mango'!Q53+'Taco Bell'!Q53+'Chick-fil-A'!Q53+Dunkin!Q53+Chipotle!Q53+Sergios!Q53+'Moes PG5'!Q53+'Papa Johns'!Q53+Salad!Q53+'Half Moon &amp; Tropical Smoothie'!Q53+'Athletic Concessions - Kitchen'!Q53+'Starbucks BBC'!Q53+'Moes BBC'!Q53+'Grille Works BBC'!Q53+'Subway BBC'!Q53+'Market Pavillion'!Q53+'Chic Fil A BBC'!Q53+Panera!Q53+'Heritage Market'!Q53</f>
        <v>0</v>
      </c>
      <c r="R53" s="80">
        <f t="shared" si="27"/>
        <v>0</v>
      </c>
      <c r="S53" s="134">
        <f>'POD Breezeway'!S53+'Express GL'!S53+'Starbucks GL-SBX Truck'!S53+'Miro''s'!S53+'Faculty Club'!S53+'Almazar  &amp; Brand X'!S53+'Burger King'!S53+Bustelo!S53+Chilis!S53+Einstein!S53+Jamba!S53+'Pollo Tropical'!S53+'Subway GC'!S53+'Sushi Maki'!S53+Panda!S53+'Starbucks Mango'!S53+'Taco Bell'!S53+'Chick-fil-A'!S53+Dunkin!S53+Chipotle!S53+Sergios!S53+'Moes PG5'!S53+'Papa Johns'!S53+Salad!S53+'Half Moon &amp; Tropical Smoothie'!S53+'Athletic Concessions - Kitchen'!S53+'Starbucks BBC'!S53+'Moes BBC'!S53+'Grille Works BBC'!S53+'Subway BBC'!S53+'Market Pavillion'!S53+'Chic Fil A BBC'!S53+Panera!S53+'Heritage Market'!S53</f>
        <v>0</v>
      </c>
      <c r="T53" s="80">
        <f t="shared" si="28"/>
        <v>0</v>
      </c>
      <c r="U53" s="134">
        <f>'POD Breezeway'!U53+'Express GL'!U53+'Starbucks GL-SBX Truck'!U53+'Miro''s'!U53+'Faculty Club'!U53+'Almazar  &amp; Brand X'!U53+'Burger King'!U53+Bustelo!U53+Chilis!U53+Einstein!U53+Jamba!U53+'Pollo Tropical'!U53+'Subway GC'!U53+'Sushi Maki'!U53+Panda!U53+'Starbucks Mango'!U53+'Taco Bell'!U53+'Chick-fil-A'!U53+Dunkin!U53+Chipotle!U53+Sergios!U53+'Moes PG5'!U53+'Papa Johns'!U53+Salad!U53+'Half Moon &amp; Tropical Smoothie'!U53+'Athletic Concessions - Kitchen'!U53+'Starbucks BBC'!U53+'Moes BBC'!U53+'Grille Works BBC'!U53+'Subway BBC'!U53+'Market Pavillion'!U53+'Chic Fil A BBC'!U53+Panera!U53+'Heritage Market'!U53</f>
        <v>0</v>
      </c>
      <c r="V53" s="80">
        <f t="shared" si="29"/>
        <v>0</v>
      </c>
    </row>
    <row r="54" spans="1:22" ht="12.75" customHeight="1">
      <c r="A54" s="221" t="s">
        <v>385</v>
      </c>
      <c r="B54" s="222"/>
      <c r="C54" s="134">
        <f>'POD Breezeway'!C54+'Express GL'!C54+'Starbucks GL-SBX Truck'!C54+'Miro''s'!C54+'Faculty Club'!C54+'Almazar  &amp; Brand X'!C54+'Burger King'!C54+Bustelo!C54+Chilis!C54+Einstein!C54+Jamba!C54+'Pollo Tropical'!C54+'Subway GC'!C54+'Sushi Maki'!C54+Panda!C54+'Starbucks Mango'!C54+'Taco Bell'!C54+'Chick-fil-A'!C54+Dunkin!C54+Chipotle!C54+Sergios!C54+'Moes PG5'!C54+'Papa Johns'!C54+Salad!C54+'Half Moon &amp; Tropical Smoothie'!C54+'Athletic Concessions - Kitchen'!C54+'Starbucks BBC'!C54+'Moes BBC'!C54+'Grille Works BBC'!C54+'Subway BBC'!C54+'Market Pavillion'!C54+'Chic Fil A BBC'!C54+Panera!C54+'Heritage Market'!C54</f>
        <v>10902.709566000003</v>
      </c>
      <c r="D54" s="80">
        <f t="shared" si="20"/>
        <v>6.8592935999674156E-4</v>
      </c>
      <c r="E54" s="134">
        <f>'POD Breezeway'!E54+'Express GL'!E54+'Starbucks GL-SBX Truck'!E54+'Miro''s'!E54+'Faculty Club'!E54+'Almazar  &amp; Brand X'!E54+'Burger King'!E54+Bustelo!E54+Chilis!E54+Einstein!E54+Jamba!E54+'Pollo Tropical'!E54+'Subway GC'!E54+'Sushi Maki'!E54+Panda!E54+'Starbucks Mango'!E54+'Taco Bell'!E54+'Chick-fil-A'!E54+Dunkin!E54+Chipotle!E54+Sergios!E54+'Moes PG5'!E54+'Papa Johns'!E54+Salad!E54+'Half Moon &amp; Tropical Smoothie'!E54+'Athletic Concessions - Kitchen'!E54+'Starbucks BBC'!E54+'Moes BBC'!E54+'Grille Works BBC'!E54+'Subway BBC'!E54+'Market Pavillion'!E54+'Chic Fil A BBC'!E54+Panera!E54+'Heritage Market'!E54</f>
        <v>11897.374999999998</v>
      </c>
      <c r="F54" s="80">
        <f t="shared" si="21"/>
        <v>6.866482096458998E-4</v>
      </c>
      <c r="G54" s="134">
        <f>'POD Breezeway'!G54+'Express GL'!G54+'Starbucks GL-SBX Truck'!G54+'Miro''s'!G54+'Faculty Club'!G54+'Almazar  &amp; Brand X'!G54+'Burger King'!G54+Bustelo!G54+Chilis!G54+Einstein!G54+Jamba!G54+'Pollo Tropical'!G54+'Subway GC'!G54+'Sushi Maki'!G54+Panda!G54+'Starbucks Mango'!G54+'Taco Bell'!G54+'Chick-fil-A'!G54+Dunkin!G54+Chipotle!G54+Sergios!G54+'Moes PG5'!G54+'Papa Johns'!G54+Salad!G54+'Half Moon &amp; Tropical Smoothie'!G54+'Athletic Concessions - Kitchen'!G54+'Starbucks BBC'!G54+'Moes BBC'!G54+'Grille Works BBC'!G54+'Subway BBC'!G54+'Market Pavillion'!G54+'Chic Fil A BBC'!G54+Panera!G54+'Heritage Market'!G54</f>
        <v>13148.505999999999</v>
      </c>
      <c r="H54" s="80">
        <f t="shared" si="22"/>
        <v>6.8765891890517402E-4</v>
      </c>
      <c r="I54" s="134">
        <f>'POD Breezeway'!I54+'Express GL'!I54+'Starbucks GL-SBX Truck'!I54+'Miro''s'!I54+'Faculty Club'!I54+'Almazar  &amp; Brand X'!I54+'Burger King'!I54+Bustelo!I54+Chilis!I54+Einstein!I54+Jamba!I54+'Pollo Tropical'!I54+'Subway GC'!I54+'Sushi Maki'!I54+Panda!I54+'Starbucks Mango'!I54+'Taco Bell'!I54+'Chick-fil-A'!I54+Dunkin!I54+Chipotle!I54+Sergios!I54+'Moes PG5'!I54+'Papa Johns'!I54+Salad!I54+'Half Moon &amp; Tropical Smoothie'!I54+'Athletic Concessions - Kitchen'!I54+'Starbucks BBC'!I54+'Moes BBC'!I54+'Grille Works BBC'!I54+'Subway BBC'!I54+'Market Pavillion'!I54+'Chic Fil A BBC'!I54+Panera!I54+'Heritage Market'!I54</f>
        <v>13417.835340000001</v>
      </c>
      <c r="J54" s="80">
        <f t="shared" si="23"/>
        <v>6.8766466474171452E-4</v>
      </c>
      <c r="K54" s="134">
        <f>'POD Breezeway'!K54+'Express GL'!K54+'Starbucks GL-SBX Truck'!K54+'Miro''s'!K54+'Faculty Club'!K54+'Almazar  &amp; Brand X'!K54+'Burger King'!K54+Bustelo!K54+Chilis!K54+Einstein!K54+Jamba!K54+'Pollo Tropical'!K54+'Subway GC'!K54+'Sushi Maki'!K54+Panda!K54+'Starbucks Mango'!K54+'Taco Bell'!K54+'Chick-fil-A'!K54+Dunkin!K54+Chipotle!K54+Sergios!K54+'Moes PG5'!K54+'Papa Johns'!K54+Salad!K54+'Half Moon &amp; Tropical Smoothie'!K54+'Athletic Concessions - Kitchen'!K54+'Starbucks BBC'!K54+'Moes BBC'!K54+'Grille Works BBC'!K54+'Subway BBC'!K54+'Market Pavillion'!K54+'Chic Fil A BBC'!K54+Panera!K54+'Heritage Market'!K54</f>
        <v>13659.835690200001</v>
      </c>
      <c r="L54" s="80">
        <f t="shared" si="24"/>
        <v>6.8764128418974813E-4</v>
      </c>
      <c r="M54" s="134">
        <f>'POD Breezeway'!M54+'Express GL'!M54+'Starbucks GL-SBX Truck'!M54+'Miro''s'!M54+'Faculty Club'!M54+'Almazar  &amp; Brand X'!M54+'Burger King'!M54+Bustelo!M54+Chilis!M54+Einstein!M54+Jamba!M54+'Pollo Tropical'!M54+'Subway GC'!M54+'Sushi Maki'!M54+Panda!M54+'Starbucks Mango'!M54+'Taco Bell'!M54+'Chick-fil-A'!M54+Dunkin!M54+Chipotle!M54+Sergios!M54+'Moes PG5'!M54+'Papa Johns'!M54+Salad!M54+'Half Moon &amp; Tropical Smoothie'!M54+'Athletic Concessions - Kitchen'!M54+'Starbucks BBC'!M54+'Moes BBC'!M54+'Grille Works BBC'!M54+'Subway BBC'!M54+'Market Pavillion'!M54+'Chic Fil A BBC'!M54+Panera!M54+'Heritage Market'!M54</f>
        <v>13906.412483838001</v>
      </c>
      <c r="N54" s="80">
        <f t="shared" si="25"/>
        <v>6.8761804536221591E-4</v>
      </c>
      <c r="O54" s="134">
        <f>'POD Breezeway'!O54+'Express GL'!O54+'Starbucks GL-SBX Truck'!O54+'Miro''s'!O54+'Faculty Club'!O54+'Almazar  &amp; Brand X'!O54+'Burger King'!O54+Bustelo!O54+Chilis!O54+Einstein!O54+Jamba!O54+'Pollo Tropical'!O54+'Subway GC'!O54+'Sushi Maki'!O54+Panda!O54+'Starbucks Mango'!O54+'Taco Bell'!O54+'Chick-fil-A'!O54+Dunkin!O54+Chipotle!O54+Sergios!O54+'Moes PG5'!O54+'Papa Johns'!O54+Salad!O54+'Half Moon &amp; Tropical Smoothie'!O54+'Athletic Concessions - Kitchen'!O54+'Starbucks BBC'!O54+'Moes BBC'!O54+'Grille Works BBC'!O54+'Subway BBC'!O54+'Market Pavillion'!O54+'Chic Fil A BBC'!O54+Panera!O54+'Heritage Market'!O54</f>
        <v>14157.654614147097</v>
      </c>
      <c r="P54" s="80">
        <f t="shared" si="26"/>
        <v>6.8759494809200945E-4</v>
      </c>
      <c r="Q54" s="134">
        <f>'POD Breezeway'!Q54+'Express GL'!Q54+'Starbucks GL-SBX Truck'!Q54+'Miro''s'!Q54+'Faculty Club'!Q54+'Almazar  &amp; Brand X'!Q54+'Burger King'!Q54+Bustelo!Q54+Chilis!Q54+Einstein!Q54+Jamba!Q54+'Pollo Tropical'!Q54+'Subway GC'!Q54+'Sushi Maki'!Q54+Panda!Q54+'Starbucks Mango'!Q54+'Taco Bell'!Q54+'Chick-fil-A'!Q54+Dunkin!Q54+Chipotle!Q54+Sergios!Q54+'Moes PG5'!Q54+'Papa Johns'!Q54+Salad!Q54+'Half Moon &amp; Tropical Smoothie'!Q54+'Athletic Concessions - Kitchen'!Q54+'Starbucks BBC'!Q54+'Moes BBC'!Q54+'Grille Works BBC'!Q54+'Subway BBC'!Q54+'Market Pavillion'!Q54+'Chic Fil A BBC'!Q54+Panera!Q54+'Heritage Market'!Q54</f>
        <v>14413.652725868707</v>
      </c>
      <c r="R54" s="80">
        <f t="shared" si="27"/>
        <v>6.8757199220039519E-4</v>
      </c>
      <c r="S54" s="134">
        <f>'POD Breezeway'!S54+'Express GL'!S54+'Starbucks GL-SBX Truck'!S54+'Miro''s'!S54+'Faculty Club'!S54+'Almazar  &amp; Brand X'!S54+'Burger King'!S54+Bustelo!S54+Chilis!S54+Einstein!S54+Jamba!S54+'Pollo Tropical'!S54+'Subway GC'!S54+'Sushi Maki'!S54+Panda!S54+'Starbucks Mango'!S54+'Taco Bell'!S54+'Chick-fil-A'!S54+Dunkin!S54+Chipotle!S54+Sergios!S54+'Moes PG5'!S54+'Papa Johns'!S54+Salad!S54+'Half Moon &amp; Tropical Smoothie'!S54+'Athletic Concessions - Kitchen'!S54+'Starbucks BBC'!S54+'Moes BBC'!S54+'Grille Works BBC'!S54+'Subway BBC'!S54+'Market Pavillion'!S54+'Chic Fil A BBC'!S54+Panera!S54+'Heritage Market'!S54</f>
        <v>14674.499250019129</v>
      </c>
      <c r="T54" s="80">
        <f t="shared" si="28"/>
        <v>6.875491774971798E-4</v>
      </c>
      <c r="U54" s="134">
        <f>'POD Breezeway'!U54+'Express GL'!U54+'Starbucks GL-SBX Truck'!U54+'Miro''s'!U54+'Faculty Club'!U54+'Almazar  &amp; Brand X'!U54+'Burger King'!U54+Bustelo!U54+Chilis!U54+Einstein!U54+Jamba!U54+'Pollo Tropical'!U54+'Subway GC'!U54+'Sushi Maki'!U54+Panda!U54+'Starbucks Mango'!U54+'Taco Bell'!U54+'Chick-fil-A'!U54+Dunkin!U54+Chipotle!U54+Sergios!U54+'Moes PG5'!U54+'Papa Johns'!U54+Salad!U54+'Half Moon &amp; Tropical Smoothie'!U54+'Athletic Concessions - Kitchen'!U54+'Starbucks BBC'!U54+'Moes BBC'!U54+'Grille Works BBC'!U54+'Subway BBC'!U54+'Market Pavillion'!U54+'Chic Fil A BBC'!U54+Panera!U54+'Heritage Market'!U54</f>
        <v>15474.859185987627</v>
      </c>
      <c r="V54" s="80">
        <f t="shared" si="29"/>
        <v>6.8794997656405801E-4</v>
      </c>
    </row>
    <row r="55" spans="1:22" ht="12.75" customHeight="1">
      <c r="A55" s="221" t="s">
        <v>386</v>
      </c>
      <c r="B55" s="222"/>
      <c r="C55" s="134">
        <f>'POD Breezeway'!C55+'Express GL'!C55+'Starbucks GL-SBX Truck'!C55+'Miro''s'!C55+'Faculty Club'!C55+'Almazar  &amp; Brand X'!C55+'Burger King'!C55+Bustelo!C55+Chilis!C55+Einstein!C55+Jamba!C55+'Pollo Tropical'!C55+'Subway GC'!C55+'Sushi Maki'!C55+Panda!C55+'Starbucks Mango'!C55+'Taco Bell'!C55+'Chick-fil-A'!C55+Dunkin!C55+Chipotle!C55+Sergios!C55+'Moes PG5'!C55+'Papa Johns'!C55+Salad!C55+'Half Moon &amp; Tropical Smoothie'!C55+'Athletic Concessions - Kitchen'!C55+'Starbucks BBC'!C55+'Moes BBC'!C55+'Grille Works BBC'!C55+'Subway BBC'!C55+'Market Pavillion'!C55+'Chic Fil A BBC'!C55+Panera!C55+'Heritage Market'!C55</f>
        <v>1008969.2695999999</v>
      </c>
      <c r="D55" s="80">
        <f t="shared" si="20"/>
        <v>6.3477949326592883E-2</v>
      </c>
      <c r="E55" s="134">
        <f>'POD Breezeway'!E55+'Express GL'!E55+'Starbucks GL-SBX Truck'!E55+'Miro''s'!E55+'Faculty Club'!E55+'Almazar  &amp; Brand X'!E55+'Burger King'!E55+Bustelo!E55+Chilis!E55+Einstein!E55+Jamba!E55+'Pollo Tropical'!E55+'Subway GC'!E55+'Sushi Maki'!E55+Panda!E55+'Starbucks Mango'!E55+'Taco Bell'!E55+'Chick-fil-A'!E55+Dunkin!E55+Chipotle!E55+Sergios!E55+'Moes PG5'!E55+'Papa Johns'!E55+Salad!E55+'Half Moon &amp; Tropical Smoothie'!E55+'Athletic Concessions - Kitchen'!E55+'Starbucks BBC'!E55+'Moes BBC'!E55+'Grille Works BBC'!E55+'Subway BBC'!E55+'Market Pavillion'!E55+'Chic Fil A BBC'!E55+Panera!E55+'Heritage Market'!E55</f>
        <v>965930</v>
      </c>
      <c r="F55" s="80">
        <f t="shared" si="21"/>
        <v>5.5747936426586882E-2</v>
      </c>
      <c r="G55" s="134">
        <f>'POD Breezeway'!G55+'Express GL'!G55+'Starbucks GL-SBX Truck'!G55+'Miro''s'!G55+'Faculty Club'!G55+'Almazar  &amp; Brand X'!G55+'Burger King'!G55+Bustelo!G55+Chilis!G55+Einstein!G55+Jamba!G55+'Pollo Tropical'!G55+'Subway GC'!G55+'Sushi Maki'!G55+Panda!G55+'Starbucks Mango'!G55+'Taco Bell'!G55+'Chick-fil-A'!G55+Dunkin!G55+Chipotle!G55+Sergios!G55+'Moes PG5'!G55+'Papa Johns'!G55+Salad!G55+'Half Moon &amp; Tropical Smoothie'!G55+'Athletic Concessions - Kitchen'!G55+'Starbucks BBC'!G55+'Moes BBC'!G55+'Grille Works BBC'!G55+'Subway BBC'!G55+'Market Pavillion'!G55+'Chic Fil A BBC'!G55+Panera!G55+'Heritage Market'!G55</f>
        <v>1023477.6</v>
      </c>
      <c r="H55" s="80">
        <f t="shared" si="22"/>
        <v>5.3527260050659914E-2</v>
      </c>
      <c r="I55" s="134">
        <f>'POD Breezeway'!I55+'Express GL'!I55+'Starbucks GL-SBX Truck'!I55+'Miro''s'!I55+'Faculty Club'!I55+'Almazar  &amp; Brand X'!I55+'Burger King'!I55+Bustelo!I55+Chilis!I55+Einstein!I55+Jamba!I55+'Pollo Tropical'!I55+'Subway GC'!I55+'Sushi Maki'!I55+Panda!I55+'Starbucks Mango'!I55+'Taco Bell'!I55+'Chick-fil-A'!I55+Dunkin!I55+Chipotle!I55+Sergios!I55+'Moes PG5'!I55+'Papa Johns'!I55+Salad!I55+'Half Moon &amp; Tropical Smoothie'!I55+'Athletic Concessions - Kitchen'!I55+'Starbucks BBC'!I55+'Moes BBC'!I55+'Grille Works BBC'!I55+'Subway BBC'!I55+'Market Pavillion'!I55+'Chic Fil A BBC'!I55+Panera!I55+'Heritage Market'!I55</f>
        <v>1043947.152</v>
      </c>
      <c r="J55" s="80">
        <f t="shared" si="23"/>
        <v>5.3502338499270004E-2</v>
      </c>
      <c r="K55" s="134">
        <f>'POD Breezeway'!K55+'Express GL'!K55+'Starbucks GL-SBX Truck'!K55+'Miro''s'!K55+'Faculty Club'!K55+'Almazar  &amp; Brand X'!K55+'Burger King'!K55+Bustelo!K55+Chilis!K55+Einstein!K55+Jamba!K55+'Pollo Tropical'!K55+'Subway GC'!K55+'Sushi Maki'!K55+Panda!K55+'Starbucks Mango'!K55+'Taco Bell'!K55+'Chick-fil-A'!K55+Dunkin!K55+Chipotle!K55+Sergios!K55+'Moes PG5'!K55+'Papa Johns'!K55+Salad!K55+'Half Moon &amp; Tropical Smoothie'!K55+'Athletic Concessions - Kitchen'!K55+'Starbucks BBC'!K55+'Moes BBC'!K55+'Grille Works BBC'!K55+'Subway BBC'!K55+'Market Pavillion'!K55+'Chic Fil A BBC'!K55+Panera!K55+'Heritage Market'!K55</f>
        <v>1064383.9250400001</v>
      </c>
      <c r="L55" s="80">
        <f t="shared" si="24"/>
        <v>5.3581488510182358E-2</v>
      </c>
      <c r="M55" s="134">
        <f>'POD Breezeway'!M55+'Express GL'!M55+'Starbucks GL-SBX Truck'!M55+'Miro''s'!M55+'Faculty Club'!M55+'Almazar  &amp; Brand X'!M55+'Burger King'!M55+Bustelo!M55+Chilis!M55+Einstein!M55+Jamba!M55+'Pollo Tropical'!M55+'Subway GC'!M55+'Sushi Maki'!M55+Panda!M55+'Starbucks Mango'!M55+'Taco Bell'!M55+'Chick-fil-A'!M55+Dunkin!M55+Chipotle!M55+Sergios!M55+'Moes PG5'!M55+'Papa Johns'!M55+Salad!M55+'Half Moon &amp; Tropical Smoothie'!M55+'Athletic Concessions - Kitchen'!M55+'Starbucks BBC'!M55+'Moes BBC'!M55+'Grille Works BBC'!M55+'Subway BBC'!M55+'Market Pavillion'!M55+'Chic Fil A BBC'!M55+Panera!M55+'Heritage Market'!M55</f>
        <v>1085225.0118408001</v>
      </c>
      <c r="N55" s="80">
        <f t="shared" si="25"/>
        <v>5.3660158742408509E-2</v>
      </c>
      <c r="O55" s="134">
        <f>'POD Breezeway'!O55+'Express GL'!O55+'Starbucks GL-SBX Truck'!O55+'Miro''s'!O55+'Faculty Club'!O55+'Almazar  &amp; Brand X'!O55+'Burger King'!O55+Bustelo!O55+Chilis!O55+Einstein!O55+Jamba!O55+'Pollo Tropical'!O55+'Subway GC'!O55+'Sushi Maki'!O55+Panda!O55+'Starbucks Mango'!O55+'Taco Bell'!O55+'Chick-fil-A'!O55+Dunkin!O55+Chipotle!O55+Sergios!O55+'Moes PG5'!O55+'Papa Johns'!O55+Salad!O55+'Half Moon &amp; Tropical Smoothie'!O55+'Athletic Concessions - Kitchen'!O55+'Starbucks BBC'!O55+'Moes BBC'!O55+'Grille Works BBC'!O55+'Subway BBC'!O55+'Market Pavillion'!O55+'Chic Fil A BBC'!O55+Panera!O55+'Heritage Market'!O55</f>
        <v>1106478.454460616</v>
      </c>
      <c r="P55" s="80">
        <f t="shared" si="26"/>
        <v>5.373834976165702E-2</v>
      </c>
      <c r="Q55" s="134">
        <f>'POD Breezeway'!Q55+'Express GL'!Q55+'Starbucks GL-SBX Truck'!Q55+'Miro''s'!Q55+'Faculty Club'!Q55+'Almazar  &amp; Brand X'!Q55+'Burger King'!Q55+Bustelo!Q55+Chilis!Q55+Einstein!Q55+Jamba!Q55+'Pollo Tropical'!Q55+'Subway GC'!Q55+'Sushi Maki'!Q55+Panda!Q55+'Starbucks Mango'!Q55+'Taco Bell'!Q55+'Chick-fil-A'!Q55+Dunkin!Q55+Chipotle!Q55+Sergios!Q55+'Moes PG5'!Q55+'Papa Johns'!Q55+Salad!Q55+'Half Moon &amp; Tropical Smoothie'!Q55+'Athletic Concessions - Kitchen'!Q55+'Starbucks BBC'!Q55+'Moes BBC'!Q55+'Grille Works BBC'!Q55+'Subway BBC'!Q55+'Market Pavillion'!Q55+'Chic Fil A BBC'!Q55+Panera!Q55+'Heritage Market'!Q55</f>
        <v>1128152.4553566584</v>
      </c>
      <c r="R55" s="80">
        <f t="shared" si="27"/>
        <v>5.3816062172997489E-2</v>
      </c>
      <c r="S55" s="134">
        <f>'POD Breezeway'!S55+'Express GL'!S55+'Starbucks GL-SBX Truck'!S55+'Miro''s'!S55+'Faculty Club'!S55+'Almazar  &amp; Brand X'!S55+'Burger King'!S55+Bustelo!S55+Chilis!S55+Einstein!S55+Jamba!S55+'Pollo Tropical'!S55+'Subway GC'!S55+'Sushi Maki'!S55+Panda!S55+'Starbucks Mango'!S55+'Taco Bell'!S55+'Chick-fil-A'!S55+Dunkin!S55+Chipotle!S55+Sergios!S55+'Moes PG5'!S55+'Papa Johns'!S55+Salad!S55+'Half Moon &amp; Tropical Smoothie'!S55+'Athletic Concessions - Kitchen'!S55+'Starbucks BBC'!S55+'Moes BBC'!S55+'Grille Works BBC'!S55+'Subway BBC'!S55+'Market Pavillion'!S55+'Chic Fil A BBC'!S55+Panera!S55+'Heritage Market'!S55</f>
        <v>1150255.3805886901</v>
      </c>
      <c r="T55" s="80">
        <f t="shared" si="28"/>
        <v>5.3893296620286947E-2</v>
      </c>
      <c r="U55" s="134">
        <f>'POD Breezeway'!U55+'Express GL'!U55+'Starbucks GL-SBX Truck'!U55+'Miro''s'!U55+'Faculty Club'!U55+'Almazar  &amp; Brand X'!U55+'Burger King'!U55+Bustelo!U55+Chilis!U55+Einstein!U55+Jamba!U55+'Pollo Tropical'!U55+'Subway GC'!U55+'Sushi Maki'!U55+Panda!U55+'Starbucks Mango'!U55+'Taco Bell'!U55+'Chick-fil-A'!U55+Dunkin!U55+Chipotle!U55+Sergios!U55+'Moes PG5'!U55+'Papa Johns'!U55+Salad!U55+'Half Moon &amp; Tropical Smoothie'!U55+'Athletic Concessions - Kitchen'!U55+'Starbucks BBC'!U55+'Moes BBC'!U55+'Grille Works BBC'!U55+'Subway BBC'!U55+'Market Pavillion'!U55+'Chic Fil A BBC'!U55+Panera!U55+'Heritage Market'!U55</f>
        <v>1171674.3215599663</v>
      </c>
      <c r="V55" s="80">
        <f t="shared" si="29"/>
        <v>5.2087926123926404E-2</v>
      </c>
    </row>
    <row r="56" spans="1:22" ht="12.75" customHeight="1">
      <c r="A56" s="221" t="s">
        <v>387</v>
      </c>
      <c r="B56" s="222"/>
      <c r="C56" s="134">
        <f>'POD Breezeway'!C56+'Express GL'!C56+'Starbucks GL-SBX Truck'!C56+'Miro''s'!C56+'Faculty Club'!C56+'Almazar  &amp; Brand X'!C56+'Burger King'!C56+Bustelo!C56+Chilis!C56+Einstein!C56+Jamba!C56+'Pollo Tropical'!C56+'Subway GC'!C56+'Sushi Maki'!C56+Panda!C56+'Starbucks Mango'!C56+'Taco Bell'!C56+'Chick-fil-A'!C56+Dunkin!C56+Chipotle!C56+Sergios!C56+'Moes PG5'!C56+'Papa Johns'!C56+Salad!C56+'Half Moon &amp; Tropical Smoothie'!C56+'Athletic Concessions - Kitchen'!C56+'Starbucks BBC'!C56+'Moes BBC'!C56+'Grille Works BBC'!C56+'Subway BBC'!C56+'Market Pavillion'!C56+'Chic Fil A BBC'!C56+Panera!C56+'Heritage Market'!C56</f>
        <v>7943.4026838</v>
      </c>
      <c r="D56" s="80">
        <f t="shared" si="20"/>
        <v>4.9974853371191163E-4</v>
      </c>
      <c r="E56" s="134">
        <f>'POD Breezeway'!E56+'Express GL'!E56+'Starbucks GL-SBX Truck'!E56+'Miro''s'!E56+'Faculty Club'!E56+'Almazar  &amp; Brand X'!E56+'Burger King'!E56+Bustelo!E56+Chilis!E56+Einstein!E56+Jamba!E56+'Pollo Tropical'!E56+'Subway GC'!E56+'Sushi Maki'!E56+Panda!E56+'Starbucks Mango'!E56+'Taco Bell'!E56+'Chick-fil-A'!E56+Dunkin!E56+Chipotle!E56+Sergios!E56+'Moes PG5'!E56+'Papa Johns'!E56+Salad!E56+'Half Moon &amp; Tropical Smoothie'!E56+'Athletic Concessions - Kitchen'!E56+'Starbucks BBC'!E56+'Moes BBC'!E56+'Grille Works BBC'!E56+'Subway BBC'!E56+'Market Pavillion'!E56+'Chic Fil A BBC'!E56+Panera!E56+'Heritage Market'!E56</f>
        <v>8668.0875000000015</v>
      </c>
      <c r="F56" s="80">
        <f t="shared" si="21"/>
        <v>5.0027226702772714E-4</v>
      </c>
      <c r="G56" s="134">
        <f>'POD Breezeway'!G56+'Express GL'!G56+'Starbucks GL-SBX Truck'!G56+'Miro''s'!G56+'Faculty Club'!G56+'Almazar  &amp; Brand X'!G56+'Burger King'!G56+Bustelo!G56+Chilis!G56+Einstein!G56+Jamba!G56+'Pollo Tropical'!G56+'Subway GC'!G56+'Sushi Maki'!G56+Panda!G56+'Starbucks Mango'!G56+'Taco Bell'!G56+'Chick-fil-A'!G56+Dunkin!G56+Chipotle!G56+Sergios!G56+'Moes PG5'!G56+'Papa Johns'!G56+Salad!G56+'Half Moon &amp; Tropical Smoothie'!G56+'Athletic Concessions - Kitchen'!G56+'Starbucks BBC'!G56+'Moes BBC'!G56+'Grille Works BBC'!G56+'Subway BBC'!G56+'Market Pavillion'!G56+'Chic Fil A BBC'!G56+Panera!G56+'Heritage Market'!G56</f>
        <v>9579.6257999999998</v>
      </c>
      <c r="H56" s="80">
        <f t="shared" si="22"/>
        <v>5.0100864091662679E-4</v>
      </c>
      <c r="I56" s="134">
        <f>'POD Breezeway'!I56+'Express GL'!I56+'Starbucks GL-SBX Truck'!I56+'Miro''s'!I56+'Faculty Club'!I56+'Almazar  &amp; Brand X'!I56+'Burger King'!I56+Bustelo!I56+Chilis!I56+Einstein!I56+Jamba!I56+'Pollo Tropical'!I56+'Subway GC'!I56+'Sushi Maki'!I56+Panda!I56+'Starbucks Mango'!I56+'Taco Bell'!I56+'Chick-fil-A'!I56+Dunkin!I56+Chipotle!I56+Sergios!I56+'Moes PG5'!I56+'Papa Johns'!I56+Salad!I56+'Half Moon &amp; Tropical Smoothie'!I56+'Athletic Concessions - Kitchen'!I56+'Starbucks BBC'!I56+'Moes BBC'!I56+'Grille Works BBC'!I56+'Subway BBC'!I56+'Market Pavillion'!I56+'Chic Fil A BBC'!I56+Panera!I56+'Heritage Market'!I56</f>
        <v>9775.8514620000005</v>
      </c>
      <c r="J56" s="80">
        <f t="shared" si="23"/>
        <v>5.0101282716896343E-4</v>
      </c>
      <c r="K56" s="134">
        <f>'POD Breezeway'!K56+'Express GL'!K56+'Starbucks GL-SBX Truck'!K56+'Miro''s'!K56+'Faculty Club'!K56+'Almazar  &amp; Brand X'!K56+'Burger King'!K56+Bustelo!K56+Chilis!K56+Einstein!K56+Jamba!K56+'Pollo Tropical'!K56+'Subway GC'!K56+'Sushi Maki'!K56+Panda!K56+'Starbucks Mango'!K56+'Taco Bell'!K56+'Chick-fil-A'!K56+Dunkin!K56+Chipotle!K56+Sergios!K56+'Moes PG5'!K56+'Papa Johns'!K56+Salad!K56+'Half Moon &amp; Tropical Smoothie'!K56+'Athletic Concessions - Kitchen'!K56+'Starbucks BBC'!K56+'Moes BBC'!K56+'Grille Works BBC'!K56+'Subway BBC'!K56+'Market Pavillion'!K56+'Chic Fil A BBC'!K56+Panera!K56+'Heritage Market'!K56</f>
        <v>9952.1660028600018</v>
      </c>
      <c r="L56" s="80">
        <f t="shared" si="24"/>
        <v>5.0099579276681656E-4</v>
      </c>
      <c r="M56" s="134">
        <f>'POD Breezeway'!M56+'Express GL'!M56+'Starbucks GL-SBX Truck'!M56+'Miro''s'!M56+'Faculty Club'!M56+'Almazar  &amp; Brand X'!M56+'Burger King'!M56+Bustelo!M56+Chilis!M56+Einstein!M56+Jamba!M56+'Pollo Tropical'!M56+'Subway GC'!M56+'Sushi Maki'!M56+Panda!M56+'Starbucks Mango'!M56+'Taco Bell'!M56+'Chick-fil-A'!M56+Dunkin!M56+Chipotle!M56+Sergios!M56+'Moes PG5'!M56+'Papa Johns'!M56+Salad!M56+'Half Moon &amp; Tropical Smoothie'!M56+'Athletic Concessions - Kitchen'!M56+'Starbucks BBC'!M56+'Moes BBC'!M56+'Grille Works BBC'!M56+'Subway BBC'!M56+'Market Pavillion'!M56+'Chic Fil A BBC'!M56+Panera!M56+'Heritage Market'!M56</f>
        <v>10131.814809653399</v>
      </c>
      <c r="N56" s="80">
        <f t="shared" si="25"/>
        <v>5.0097886162104286E-4</v>
      </c>
      <c r="O56" s="134">
        <f>'POD Breezeway'!O56+'Express GL'!O56+'Starbucks GL-SBX Truck'!O56+'Miro''s'!O56+'Faculty Club'!O56+'Almazar  &amp; Brand X'!O56+'Burger King'!O56+Bustelo!O56+Chilis!O56+Einstein!O56+Jamba!O56+'Pollo Tropical'!O56+'Subway GC'!O56+'Sushi Maki'!O56+Panda!O56+'Starbucks Mango'!O56+'Taco Bell'!O56+'Chick-fil-A'!O56+Dunkin!O56+Chipotle!O56+Sergios!O56+'Moes PG5'!O56+'Papa Johns'!O56+Salad!O56+'Half Moon &amp; Tropical Smoothie'!O56+'Athletic Concessions - Kitchen'!O56+'Starbucks BBC'!O56+'Moes BBC'!O56+'Grille Works BBC'!O56+'Subway BBC'!O56+'Market Pavillion'!O56+'Chic Fil A BBC'!O56+Panera!O56+'Heritage Market'!O56</f>
        <v>10314.862647450032</v>
      </c>
      <c r="P56" s="80">
        <f t="shared" si="26"/>
        <v>5.0096203360989284E-4</v>
      </c>
      <c r="Q56" s="134">
        <f>'POD Breezeway'!Q56+'Express GL'!Q56+'Starbucks GL-SBX Truck'!Q56+'Miro''s'!Q56+'Faculty Club'!Q56+'Almazar  &amp; Brand X'!Q56+'Burger King'!Q56+Bustelo!Q56+Chilis!Q56+Einstein!Q56+Jamba!Q56+'Pollo Tropical'!Q56+'Subway GC'!Q56+'Sushi Maki'!Q56+Panda!Q56+'Starbucks Mango'!Q56+'Taco Bell'!Q56+'Chick-fil-A'!Q56+Dunkin!Q56+Chipotle!Q56+Sergios!Q56+'Moes PG5'!Q56+'Papa Johns'!Q56+Salad!Q56+'Half Moon &amp; Tropical Smoothie'!Q56+'Athletic Concessions - Kitchen'!Q56+'Starbucks BBC'!Q56+'Moes BBC'!Q56+'Grille Works BBC'!Q56+'Subway BBC'!Q56+'Market Pavillion'!Q56+'Chic Fil A BBC'!Q56+Panera!Q56+'Heritage Market'!Q56</f>
        <v>10501.375557418633</v>
      </c>
      <c r="R56" s="80">
        <f t="shared" si="27"/>
        <v>5.0094530860314524E-4</v>
      </c>
      <c r="S56" s="134">
        <f>'POD Breezeway'!S56+'Express GL'!S56+'Starbucks GL-SBX Truck'!S56+'Miro''s'!S56+'Faculty Club'!S56+'Almazar  &amp; Brand X'!S56+'Burger King'!S56+Bustelo!S56+Chilis!S56+Einstein!S56+Jamba!S56+'Pollo Tropical'!S56+'Subway GC'!S56+'Sushi Maki'!S56+Panda!S56+'Starbucks Mango'!S56+'Taco Bell'!S56+'Chick-fil-A'!S56+Dunkin!S56+Chipotle!S56+Sergios!S56+'Moes PG5'!S56+'Papa Johns'!S56+Salad!S56+'Half Moon &amp; Tropical Smoothie'!S56+'Athletic Concessions - Kitchen'!S56+'Starbucks BBC'!S56+'Moes BBC'!S56+'Grille Works BBC'!S56+'Subway BBC'!S56+'Market Pavillion'!S56+'Chic Fil A BBC'!S56+Panera!S56+'Heritage Market'!S56</f>
        <v>10691.420882156797</v>
      </c>
      <c r="T56" s="80">
        <f t="shared" si="28"/>
        <v>5.0092868646223112E-4</v>
      </c>
      <c r="U56" s="134">
        <f>'POD Breezeway'!U56+'Express GL'!U56+'Starbucks GL-SBX Truck'!U56+'Miro''s'!U56+'Faculty Club'!U56+'Almazar  &amp; Brand X'!U56+'Burger King'!U56+Bustelo!U56+Chilis!U56+Einstein!U56+Jamba!U56+'Pollo Tropical'!U56+'Subway GC'!U56+'Sushi Maki'!U56+Panda!U56+'Starbucks Mango'!U56+'Taco Bell'!U56+'Chick-fil-A'!U56+Dunkin!U56+Chipotle!U56+Sergios!U56+'Moes PG5'!U56+'Papa Johns'!U56+Salad!U56+'Half Moon &amp; Tropical Smoothie'!U56+'Athletic Concessions - Kitchen'!U56+'Starbucks BBC'!U56+'Moes BBC'!U56+'Grille Works BBC'!U56+'Subway BBC'!U56+'Market Pavillion'!U56+'Chic Fil A BBC'!U56+Panera!U56+'Heritage Market'!U56</f>
        <v>11274.540264076699</v>
      </c>
      <c r="V56" s="80">
        <f t="shared" si="29"/>
        <v>5.0122069721095653E-4</v>
      </c>
    </row>
    <row r="57" spans="1:22" ht="12.75" customHeight="1">
      <c r="A57" s="2" t="s">
        <v>388</v>
      </c>
      <c r="B57" s="35"/>
      <c r="C57" s="134">
        <f>'POD Breezeway'!C57+'Express GL'!C57+'Starbucks GL-SBX Truck'!C57+'Miro''s'!C57+'Faculty Club'!C57+'Almazar  &amp; Brand X'!C57+'Burger King'!C57+Bustelo!C57+Chilis!C57+Einstein!C57+Jamba!C57+'Pollo Tropical'!C57+'Subway GC'!C57+'Sushi Maki'!C57+Panda!C57+'Starbucks Mango'!C57+'Taco Bell'!C57+'Chick-fil-A'!C57+Dunkin!C57+Chipotle!C57+Sergios!C57+'Moes PG5'!C57+'Papa Johns'!C57+Salad!C57+'Half Moon &amp; Tropical Smoothie'!C57+'Athletic Concessions - Kitchen'!C57+'Starbucks BBC'!C57+'Moes BBC'!C57+'Grille Works BBC'!C57+'Subway BBC'!C57+'Market Pavillion'!C57+'Chic Fil A BBC'!C57+Panera!C57+'Heritage Market'!C57</f>
        <v>0</v>
      </c>
      <c r="D57" s="80">
        <f t="shared" si="20"/>
        <v>0</v>
      </c>
      <c r="E57" s="134">
        <f>'POD Breezeway'!E57+'Express GL'!E57+'Starbucks GL-SBX Truck'!E57+'Miro''s'!E57+'Faculty Club'!E57+'Almazar  &amp; Brand X'!E57+'Burger King'!E57+Bustelo!E57+Chilis!E57+Einstein!E57+Jamba!E57+'Pollo Tropical'!E57+'Subway GC'!E57+'Sushi Maki'!E57+Panda!E57+'Starbucks Mango'!E57+'Taco Bell'!E57+'Chick-fil-A'!E57+Dunkin!E57+Chipotle!E57+Sergios!E57+'Moes PG5'!E57+'Papa Johns'!E57+Salad!E57+'Half Moon &amp; Tropical Smoothie'!E57+'Athletic Concessions - Kitchen'!E57+'Starbucks BBC'!E57+'Moes BBC'!E57+'Grille Works BBC'!E57+'Subway BBC'!E57+'Market Pavillion'!E57+'Chic Fil A BBC'!E57+Panera!E57+'Heritage Market'!E57</f>
        <v>0</v>
      </c>
      <c r="F57" s="80">
        <f t="shared" si="21"/>
        <v>0</v>
      </c>
      <c r="G57" s="134">
        <f>'POD Breezeway'!G57+'Express GL'!G57+'Starbucks GL-SBX Truck'!G57+'Miro''s'!G57+'Faculty Club'!G57+'Almazar  &amp; Brand X'!G57+'Burger King'!G57+Bustelo!G57+Chilis!G57+Einstein!G57+Jamba!G57+'Pollo Tropical'!G57+'Subway GC'!G57+'Sushi Maki'!G57+Panda!G57+'Starbucks Mango'!G57+'Taco Bell'!G57+'Chick-fil-A'!G57+Dunkin!G57+Chipotle!G57+Sergios!G57+'Moes PG5'!G57+'Papa Johns'!G57+Salad!G57+'Half Moon &amp; Tropical Smoothie'!G57+'Athletic Concessions - Kitchen'!G57+'Starbucks BBC'!G57+'Moes BBC'!G57+'Grille Works BBC'!G57+'Subway BBC'!G57+'Market Pavillion'!G57+'Chic Fil A BBC'!G57+Panera!G57+'Heritage Market'!G57</f>
        <v>0</v>
      </c>
      <c r="H57" s="80">
        <f t="shared" si="22"/>
        <v>0</v>
      </c>
      <c r="I57" s="134">
        <f>'POD Breezeway'!I57+'Express GL'!I57+'Starbucks GL-SBX Truck'!I57+'Miro''s'!I57+'Faculty Club'!I57+'Almazar  &amp; Brand X'!I57+'Burger King'!I57+Bustelo!I57+Chilis!I57+Einstein!I57+Jamba!I57+'Pollo Tropical'!I57+'Subway GC'!I57+'Sushi Maki'!I57+Panda!I57+'Starbucks Mango'!I57+'Taco Bell'!I57+'Chick-fil-A'!I57+Dunkin!I57+Chipotle!I57+Sergios!I57+'Moes PG5'!I57+'Papa Johns'!I57+Salad!I57+'Half Moon &amp; Tropical Smoothie'!I57+'Athletic Concessions - Kitchen'!I57+'Starbucks BBC'!I57+'Moes BBC'!I57+'Grille Works BBC'!I57+'Subway BBC'!I57+'Market Pavillion'!I57+'Chic Fil A BBC'!I57+Panera!I57+'Heritage Market'!I57</f>
        <v>0</v>
      </c>
      <c r="J57" s="80">
        <f t="shared" si="23"/>
        <v>0</v>
      </c>
      <c r="K57" s="134">
        <f>'POD Breezeway'!K57+'Express GL'!K57+'Starbucks GL-SBX Truck'!K57+'Miro''s'!K57+'Faculty Club'!K57+'Almazar  &amp; Brand X'!K57+'Burger King'!K57+Bustelo!K57+Chilis!K57+Einstein!K57+Jamba!K57+'Pollo Tropical'!K57+'Subway GC'!K57+'Sushi Maki'!K57+Panda!K57+'Starbucks Mango'!K57+'Taco Bell'!K57+'Chick-fil-A'!K57+Dunkin!K57+Chipotle!K57+Sergios!K57+'Moes PG5'!K57+'Papa Johns'!K57+Salad!K57+'Half Moon &amp; Tropical Smoothie'!K57+'Athletic Concessions - Kitchen'!K57+'Starbucks BBC'!K57+'Moes BBC'!K57+'Grille Works BBC'!K57+'Subway BBC'!K57+'Market Pavillion'!K57+'Chic Fil A BBC'!K57+Panera!K57+'Heritage Market'!K57</f>
        <v>0</v>
      </c>
      <c r="L57" s="80">
        <f t="shared" si="24"/>
        <v>0</v>
      </c>
      <c r="M57" s="134">
        <f>'POD Breezeway'!M57+'Express GL'!M57+'Starbucks GL-SBX Truck'!M57+'Miro''s'!M57+'Faculty Club'!M57+'Almazar  &amp; Brand X'!M57+'Burger King'!M57+Bustelo!M57+Chilis!M57+Einstein!M57+Jamba!M57+'Pollo Tropical'!M57+'Subway GC'!M57+'Sushi Maki'!M57+Panda!M57+'Starbucks Mango'!M57+'Taco Bell'!M57+'Chick-fil-A'!M57+Dunkin!M57+Chipotle!M57+Sergios!M57+'Moes PG5'!M57+'Papa Johns'!M57+Salad!M57+'Half Moon &amp; Tropical Smoothie'!M57+'Athletic Concessions - Kitchen'!M57+'Starbucks BBC'!M57+'Moes BBC'!M57+'Grille Works BBC'!M57+'Subway BBC'!M57+'Market Pavillion'!M57+'Chic Fil A BBC'!M57+Panera!M57+'Heritage Market'!M57</f>
        <v>0</v>
      </c>
      <c r="N57" s="80">
        <f t="shared" si="25"/>
        <v>0</v>
      </c>
      <c r="O57" s="134">
        <f>'POD Breezeway'!O57+'Express GL'!O57+'Starbucks GL-SBX Truck'!O57+'Miro''s'!O57+'Faculty Club'!O57+'Almazar  &amp; Brand X'!O57+'Burger King'!O57+Bustelo!O57+Chilis!O57+Einstein!O57+Jamba!O57+'Pollo Tropical'!O57+'Subway GC'!O57+'Sushi Maki'!O57+Panda!O57+'Starbucks Mango'!O57+'Taco Bell'!O57+'Chick-fil-A'!O57+Dunkin!O57+Chipotle!O57+Sergios!O57+'Moes PG5'!O57+'Papa Johns'!O57+Salad!O57+'Half Moon &amp; Tropical Smoothie'!O57+'Athletic Concessions - Kitchen'!O57+'Starbucks BBC'!O57+'Moes BBC'!O57+'Grille Works BBC'!O57+'Subway BBC'!O57+'Market Pavillion'!O57+'Chic Fil A BBC'!O57+Panera!O57+'Heritage Market'!O57</f>
        <v>0</v>
      </c>
      <c r="P57" s="80">
        <f t="shared" si="26"/>
        <v>0</v>
      </c>
      <c r="Q57" s="134">
        <f>'POD Breezeway'!Q57+'Express GL'!Q57+'Starbucks GL-SBX Truck'!Q57+'Miro''s'!Q57+'Faculty Club'!Q57+'Almazar  &amp; Brand X'!Q57+'Burger King'!Q57+Bustelo!Q57+Chilis!Q57+Einstein!Q57+Jamba!Q57+'Pollo Tropical'!Q57+'Subway GC'!Q57+'Sushi Maki'!Q57+Panda!Q57+'Starbucks Mango'!Q57+'Taco Bell'!Q57+'Chick-fil-A'!Q57+Dunkin!Q57+Chipotle!Q57+Sergios!Q57+'Moes PG5'!Q57+'Papa Johns'!Q57+Salad!Q57+'Half Moon &amp; Tropical Smoothie'!Q57+'Athletic Concessions - Kitchen'!Q57+'Starbucks BBC'!Q57+'Moes BBC'!Q57+'Grille Works BBC'!Q57+'Subway BBC'!Q57+'Market Pavillion'!Q57+'Chic Fil A BBC'!Q57+Panera!Q57+'Heritage Market'!Q57</f>
        <v>0</v>
      </c>
      <c r="R57" s="80">
        <f t="shared" si="27"/>
        <v>0</v>
      </c>
      <c r="S57" s="134">
        <f>'POD Breezeway'!S57+'Express GL'!S57+'Starbucks GL-SBX Truck'!S57+'Miro''s'!S57+'Faculty Club'!S57+'Almazar  &amp; Brand X'!S57+'Burger King'!S57+Bustelo!S57+Chilis!S57+Einstein!S57+Jamba!S57+'Pollo Tropical'!S57+'Subway GC'!S57+'Sushi Maki'!S57+Panda!S57+'Starbucks Mango'!S57+'Taco Bell'!S57+'Chick-fil-A'!S57+Dunkin!S57+Chipotle!S57+Sergios!S57+'Moes PG5'!S57+'Papa Johns'!S57+Salad!S57+'Half Moon &amp; Tropical Smoothie'!S57+'Athletic Concessions - Kitchen'!S57+'Starbucks BBC'!S57+'Moes BBC'!S57+'Grille Works BBC'!S57+'Subway BBC'!S57+'Market Pavillion'!S57+'Chic Fil A BBC'!S57+Panera!S57+'Heritage Market'!S57</f>
        <v>0</v>
      </c>
      <c r="T57" s="80">
        <f t="shared" si="28"/>
        <v>0</v>
      </c>
      <c r="U57" s="134">
        <f>'POD Breezeway'!U57+'Express GL'!U57+'Starbucks GL-SBX Truck'!U57+'Miro''s'!U57+'Faculty Club'!U57+'Almazar  &amp; Brand X'!U57+'Burger King'!U57+Bustelo!U57+Chilis!U57+Einstein!U57+Jamba!U57+'Pollo Tropical'!U57+'Subway GC'!U57+'Sushi Maki'!U57+Panda!U57+'Starbucks Mango'!U57+'Taco Bell'!U57+'Chick-fil-A'!U57+Dunkin!U57+Chipotle!U57+Sergios!U57+'Moes PG5'!U57+'Papa Johns'!U57+Salad!U57+'Half Moon &amp; Tropical Smoothie'!U57+'Athletic Concessions - Kitchen'!U57+'Starbucks BBC'!U57+'Moes BBC'!U57+'Grille Works BBC'!U57+'Subway BBC'!U57+'Market Pavillion'!U57+'Chic Fil A BBC'!U57+Panera!U57+'Heritage Market'!U57</f>
        <v>0</v>
      </c>
      <c r="V57" s="80">
        <f t="shared" si="29"/>
        <v>0</v>
      </c>
    </row>
    <row r="58" spans="1:22" ht="12.75" customHeight="1">
      <c r="A58" s="2" t="s">
        <v>389</v>
      </c>
      <c r="B58" s="35"/>
      <c r="C58" s="134">
        <f>'POD Breezeway'!C58+'Express GL'!C58+'Starbucks GL-SBX Truck'!C58+'Miro''s'!C58+'Faculty Club'!C58+'Almazar  &amp; Brand X'!C58+'Burger King'!C58+Bustelo!C58+Chilis!C58+Einstein!C58+Jamba!C58+'Pollo Tropical'!C58+'Subway GC'!C58+'Sushi Maki'!C58+Panda!C58+'Starbucks Mango'!C58+'Taco Bell'!C58+'Chick-fil-A'!C58+Dunkin!C58+Chipotle!C58+Sergios!C58+'Moes PG5'!C58+'Papa Johns'!C58+Salad!C58+'Half Moon &amp; Tropical Smoothie'!C58+'Athletic Concessions - Kitchen'!C58+'Starbucks BBC'!C58+'Moes BBC'!C58+'Grille Works BBC'!C58+'Subway BBC'!C58+'Market Pavillion'!C58+'Chic Fil A BBC'!C58+Panera!C58+'Heritage Market'!C58</f>
        <v>0</v>
      </c>
      <c r="D58" s="80">
        <f t="shared" si="20"/>
        <v>0</v>
      </c>
      <c r="E58" s="134">
        <f>'POD Breezeway'!E58+'Express GL'!E58+'Starbucks GL-SBX Truck'!E58+'Miro''s'!E58+'Faculty Club'!E58+'Almazar  &amp; Brand X'!E58+'Burger King'!E58+Bustelo!E58+Chilis!E58+Einstein!E58+Jamba!E58+'Pollo Tropical'!E58+'Subway GC'!E58+'Sushi Maki'!E58+Panda!E58+'Starbucks Mango'!E58+'Taco Bell'!E58+'Chick-fil-A'!E58+Dunkin!E58+Chipotle!E58+Sergios!E58+'Moes PG5'!E58+'Papa Johns'!E58+Salad!E58+'Half Moon &amp; Tropical Smoothie'!E58+'Athletic Concessions - Kitchen'!E58+'Starbucks BBC'!E58+'Moes BBC'!E58+'Grille Works BBC'!E58+'Subway BBC'!E58+'Market Pavillion'!E58+'Chic Fil A BBC'!E58+Panera!E58+'Heritage Market'!E58</f>
        <v>0</v>
      </c>
      <c r="F58" s="80">
        <f t="shared" si="21"/>
        <v>0</v>
      </c>
      <c r="G58" s="134">
        <f>'POD Breezeway'!G58+'Express GL'!G58+'Starbucks GL-SBX Truck'!G58+'Miro''s'!G58+'Faculty Club'!G58+'Almazar  &amp; Brand X'!G58+'Burger King'!G58+Bustelo!G58+Chilis!G58+Einstein!G58+Jamba!G58+'Pollo Tropical'!G58+'Subway GC'!G58+'Sushi Maki'!G58+Panda!G58+'Starbucks Mango'!G58+'Taco Bell'!G58+'Chick-fil-A'!G58+Dunkin!G58+Chipotle!G58+Sergios!G58+'Moes PG5'!G58+'Papa Johns'!G58+Salad!G58+'Half Moon &amp; Tropical Smoothie'!G58+'Athletic Concessions - Kitchen'!G58+'Starbucks BBC'!G58+'Moes BBC'!G58+'Grille Works BBC'!G58+'Subway BBC'!G58+'Market Pavillion'!G58+'Chic Fil A BBC'!G58+Panera!G58+'Heritage Market'!G58</f>
        <v>0</v>
      </c>
      <c r="H58" s="80">
        <f t="shared" si="22"/>
        <v>0</v>
      </c>
      <c r="I58" s="134">
        <f>'POD Breezeway'!I58+'Express GL'!I58+'Starbucks GL-SBX Truck'!I58+'Miro''s'!I58+'Faculty Club'!I58+'Almazar  &amp; Brand X'!I58+'Burger King'!I58+Bustelo!I58+Chilis!I58+Einstein!I58+Jamba!I58+'Pollo Tropical'!I58+'Subway GC'!I58+'Sushi Maki'!I58+Panda!I58+'Starbucks Mango'!I58+'Taco Bell'!I58+'Chick-fil-A'!I58+Dunkin!I58+Chipotle!I58+Sergios!I58+'Moes PG5'!I58+'Papa Johns'!I58+Salad!I58+'Half Moon &amp; Tropical Smoothie'!I58+'Athletic Concessions - Kitchen'!I58+'Starbucks BBC'!I58+'Moes BBC'!I58+'Grille Works BBC'!I58+'Subway BBC'!I58+'Market Pavillion'!I58+'Chic Fil A BBC'!I58+Panera!I58+'Heritage Market'!I58</f>
        <v>0</v>
      </c>
      <c r="J58" s="80">
        <f t="shared" si="23"/>
        <v>0</v>
      </c>
      <c r="K58" s="134">
        <f>'POD Breezeway'!K58+'Express GL'!K58+'Starbucks GL-SBX Truck'!K58+'Miro''s'!K58+'Faculty Club'!K58+'Almazar  &amp; Brand X'!K58+'Burger King'!K58+Bustelo!K58+Chilis!K58+Einstein!K58+Jamba!K58+'Pollo Tropical'!K58+'Subway GC'!K58+'Sushi Maki'!K58+Panda!K58+'Starbucks Mango'!K58+'Taco Bell'!K58+'Chick-fil-A'!K58+Dunkin!K58+Chipotle!K58+Sergios!K58+'Moes PG5'!K58+'Papa Johns'!K58+Salad!K58+'Half Moon &amp; Tropical Smoothie'!K58+'Athletic Concessions - Kitchen'!K58+'Starbucks BBC'!K58+'Moes BBC'!K58+'Grille Works BBC'!K58+'Subway BBC'!K58+'Market Pavillion'!K58+'Chic Fil A BBC'!K58+Panera!K58+'Heritage Market'!K58</f>
        <v>0</v>
      </c>
      <c r="L58" s="80">
        <f t="shared" si="24"/>
        <v>0</v>
      </c>
      <c r="M58" s="134">
        <f>'POD Breezeway'!M58+'Express GL'!M58+'Starbucks GL-SBX Truck'!M58+'Miro''s'!M58+'Faculty Club'!M58+'Almazar  &amp; Brand X'!M58+'Burger King'!M58+Bustelo!M58+Chilis!M58+Einstein!M58+Jamba!M58+'Pollo Tropical'!M58+'Subway GC'!M58+'Sushi Maki'!M58+Panda!M58+'Starbucks Mango'!M58+'Taco Bell'!M58+'Chick-fil-A'!M58+Dunkin!M58+Chipotle!M58+Sergios!M58+'Moes PG5'!M58+'Papa Johns'!M58+Salad!M58+'Half Moon &amp; Tropical Smoothie'!M58+'Athletic Concessions - Kitchen'!M58+'Starbucks BBC'!M58+'Moes BBC'!M58+'Grille Works BBC'!M58+'Subway BBC'!M58+'Market Pavillion'!M58+'Chic Fil A BBC'!M58+Panera!M58+'Heritage Market'!M58</f>
        <v>0</v>
      </c>
      <c r="N58" s="80">
        <f t="shared" si="25"/>
        <v>0</v>
      </c>
      <c r="O58" s="134">
        <f>'POD Breezeway'!O58+'Express GL'!O58+'Starbucks GL-SBX Truck'!O58+'Miro''s'!O58+'Faculty Club'!O58+'Almazar  &amp; Brand X'!O58+'Burger King'!O58+Bustelo!O58+Chilis!O58+Einstein!O58+Jamba!O58+'Pollo Tropical'!O58+'Subway GC'!O58+'Sushi Maki'!O58+Panda!O58+'Starbucks Mango'!O58+'Taco Bell'!O58+'Chick-fil-A'!O58+Dunkin!O58+Chipotle!O58+Sergios!O58+'Moes PG5'!O58+'Papa Johns'!O58+Salad!O58+'Half Moon &amp; Tropical Smoothie'!O58+'Athletic Concessions - Kitchen'!O58+'Starbucks BBC'!O58+'Moes BBC'!O58+'Grille Works BBC'!O58+'Subway BBC'!O58+'Market Pavillion'!O58+'Chic Fil A BBC'!O58+Panera!O58+'Heritage Market'!O58</f>
        <v>0</v>
      </c>
      <c r="P58" s="80">
        <f t="shared" si="26"/>
        <v>0</v>
      </c>
      <c r="Q58" s="134">
        <f>'POD Breezeway'!Q58+'Express GL'!Q58+'Starbucks GL-SBX Truck'!Q58+'Miro''s'!Q58+'Faculty Club'!Q58+'Almazar  &amp; Brand X'!Q58+'Burger King'!Q58+Bustelo!Q58+Chilis!Q58+Einstein!Q58+Jamba!Q58+'Pollo Tropical'!Q58+'Subway GC'!Q58+'Sushi Maki'!Q58+Panda!Q58+'Starbucks Mango'!Q58+'Taco Bell'!Q58+'Chick-fil-A'!Q58+Dunkin!Q58+Chipotle!Q58+Sergios!Q58+'Moes PG5'!Q58+'Papa Johns'!Q58+Salad!Q58+'Half Moon &amp; Tropical Smoothie'!Q58+'Athletic Concessions - Kitchen'!Q58+'Starbucks BBC'!Q58+'Moes BBC'!Q58+'Grille Works BBC'!Q58+'Subway BBC'!Q58+'Market Pavillion'!Q58+'Chic Fil A BBC'!Q58+Panera!Q58+'Heritage Market'!Q58</f>
        <v>0</v>
      </c>
      <c r="R58" s="80">
        <f t="shared" si="27"/>
        <v>0</v>
      </c>
      <c r="S58" s="134">
        <f>'POD Breezeway'!S58+'Express GL'!S58+'Starbucks GL-SBX Truck'!S58+'Miro''s'!S58+'Faculty Club'!S58+'Almazar  &amp; Brand X'!S58+'Burger King'!S58+Bustelo!S58+Chilis!S58+Einstein!S58+Jamba!S58+'Pollo Tropical'!S58+'Subway GC'!S58+'Sushi Maki'!S58+Panda!S58+'Starbucks Mango'!S58+'Taco Bell'!S58+'Chick-fil-A'!S58+Dunkin!S58+Chipotle!S58+Sergios!S58+'Moes PG5'!S58+'Papa Johns'!S58+Salad!S58+'Half Moon &amp; Tropical Smoothie'!S58+'Athletic Concessions - Kitchen'!S58+'Starbucks BBC'!S58+'Moes BBC'!S58+'Grille Works BBC'!S58+'Subway BBC'!S58+'Market Pavillion'!S58+'Chic Fil A BBC'!S58+Panera!S58+'Heritage Market'!S58</f>
        <v>0</v>
      </c>
      <c r="T58" s="80">
        <f t="shared" si="28"/>
        <v>0</v>
      </c>
      <c r="U58" s="134">
        <f>'POD Breezeway'!U58+'Express GL'!U58+'Starbucks GL-SBX Truck'!U58+'Miro''s'!U58+'Faculty Club'!U58+'Almazar  &amp; Brand X'!U58+'Burger King'!U58+Bustelo!U58+Chilis!U58+Einstein!U58+Jamba!U58+'Pollo Tropical'!U58+'Subway GC'!U58+'Sushi Maki'!U58+Panda!U58+'Starbucks Mango'!U58+'Taco Bell'!U58+'Chick-fil-A'!U58+Dunkin!U58+Chipotle!U58+Sergios!U58+'Moes PG5'!U58+'Papa Johns'!U58+Salad!U58+'Half Moon &amp; Tropical Smoothie'!U58+'Athletic Concessions - Kitchen'!U58+'Starbucks BBC'!U58+'Moes BBC'!U58+'Grille Works BBC'!U58+'Subway BBC'!U58+'Market Pavillion'!U58+'Chic Fil A BBC'!U58+Panera!U58+'Heritage Market'!U58</f>
        <v>0</v>
      </c>
      <c r="V58" s="80">
        <f t="shared" si="29"/>
        <v>0</v>
      </c>
    </row>
    <row r="59" spans="1:22" ht="12.75" customHeight="1">
      <c r="A59" s="2" t="s">
        <v>390</v>
      </c>
      <c r="B59" s="35"/>
      <c r="C59" s="134">
        <f>'POD Breezeway'!C59+'Express GL'!C59+'Starbucks GL-SBX Truck'!C59+'Miro''s'!C59+'Faculty Club'!C59+'Almazar  &amp; Brand X'!C59+'Burger King'!C59+Bustelo!C59+Chilis!C59+Einstein!C59+Jamba!C59+'Pollo Tropical'!C59+'Subway GC'!C59+'Sushi Maki'!C59+Panda!C59+'Starbucks Mango'!C59+'Taco Bell'!C59+'Chick-fil-A'!C59+Dunkin!C59+Chipotle!C59+Sergios!C59+'Moes PG5'!C59+'Papa Johns'!C59+Salad!C59+'Half Moon &amp; Tropical Smoothie'!C59+'Athletic Concessions - Kitchen'!C59+'Starbucks BBC'!C59+'Moes BBC'!C59+'Grille Works BBC'!C59+'Subway BBC'!C59+'Market Pavillion'!C59+'Chic Fil A BBC'!C59+Panera!C59+'Heritage Market'!C59</f>
        <v>0</v>
      </c>
      <c r="D59" s="80">
        <f t="shared" si="20"/>
        <v>0</v>
      </c>
      <c r="E59" s="134">
        <f>'POD Breezeway'!E59+'Express GL'!E59+'Starbucks GL-SBX Truck'!E59+'Miro''s'!E59+'Faculty Club'!E59+'Almazar  &amp; Brand X'!E59+'Burger King'!E59+Bustelo!E59+Chilis!E59+Einstein!E59+Jamba!E59+'Pollo Tropical'!E59+'Subway GC'!E59+'Sushi Maki'!E59+Panda!E59+'Starbucks Mango'!E59+'Taco Bell'!E59+'Chick-fil-A'!E59+Dunkin!E59+Chipotle!E59+Sergios!E59+'Moes PG5'!E59+'Papa Johns'!E59+Salad!E59+'Half Moon &amp; Tropical Smoothie'!E59+'Athletic Concessions - Kitchen'!E59+'Starbucks BBC'!E59+'Moes BBC'!E59+'Grille Works BBC'!E59+'Subway BBC'!E59+'Market Pavillion'!E59+'Chic Fil A BBC'!E59+Panera!E59+'Heritage Market'!E59</f>
        <v>0</v>
      </c>
      <c r="F59" s="80">
        <f t="shared" si="21"/>
        <v>0</v>
      </c>
      <c r="G59" s="134">
        <f>'POD Breezeway'!G59+'Express GL'!G59+'Starbucks GL-SBX Truck'!G59+'Miro''s'!G59+'Faculty Club'!G59+'Almazar  &amp; Brand X'!G59+'Burger King'!G59+Bustelo!G59+Chilis!G59+Einstein!G59+Jamba!G59+'Pollo Tropical'!G59+'Subway GC'!G59+'Sushi Maki'!G59+Panda!G59+'Starbucks Mango'!G59+'Taco Bell'!G59+'Chick-fil-A'!G59+Dunkin!G59+Chipotle!G59+Sergios!G59+'Moes PG5'!G59+'Papa Johns'!G59+Salad!G59+'Half Moon &amp; Tropical Smoothie'!G59+'Athletic Concessions - Kitchen'!G59+'Starbucks BBC'!G59+'Moes BBC'!G59+'Grille Works BBC'!G59+'Subway BBC'!G59+'Market Pavillion'!G59+'Chic Fil A BBC'!G59+Panera!G59+'Heritage Market'!G59</f>
        <v>0</v>
      </c>
      <c r="H59" s="80">
        <f t="shared" si="22"/>
        <v>0</v>
      </c>
      <c r="I59" s="134">
        <f>'POD Breezeway'!I59+'Express GL'!I59+'Starbucks GL-SBX Truck'!I59+'Miro''s'!I59+'Faculty Club'!I59+'Almazar  &amp; Brand X'!I59+'Burger King'!I59+Bustelo!I59+Chilis!I59+Einstein!I59+Jamba!I59+'Pollo Tropical'!I59+'Subway GC'!I59+'Sushi Maki'!I59+Panda!I59+'Starbucks Mango'!I59+'Taco Bell'!I59+'Chick-fil-A'!I59+Dunkin!I59+Chipotle!I59+Sergios!I59+'Moes PG5'!I59+'Papa Johns'!I59+Salad!I59+'Half Moon &amp; Tropical Smoothie'!I59+'Athletic Concessions - Kitchen'!I59+'Starbucks BBC'!I59+'Moes BBC'!I59+'Grille Works BBC'!I59+'Subway BBC'!I59+'Market Pavillion'!I59+'Chic Fil A BBC'!I59+Panera!I59+'Heritage Market'!I59</f>
        <v>0</v>
      </c>
      <c r="J59" s="80">
        <f t="shared" si="23"/>
        <v>0</v>
      </c>
      <c r="K59" s="134">
        <f>'POD Breezeway'!K59+'Express GL'!K59+'Starbucks GL-SBX Truck'!K59+'Miro''s'!K59+'Faculty Club'!K59+'Almazar  &amp; Brand X'!K59+'Burger King'!K59+Bustelo!K59+Chilis!K59+Einstein!K59+Jamba!K59+'Pollo Tropical'!K59+'Subway GC'!K59+'Sushi Maki'!K59+Panda!K59+'Starbucks Mango'!K59+'Taco Bell'!K59+'Chick-fil-A'!K59+Dunkin!K59+Chipotle!K59+Sergios!K59+'Moes PG5'!K59+'Papa Johns'!K59+Salad!K59+'Half Moon &amp; Tropical Smoothie'!K59+'Athletic Concessions - Kitchen'!K59+'Starbucks BBC'!K59+'Moes BBC'!K59+'Grille Works BBC'!K59+'Subway BBC'!K59+'Market Pavillion'!K59+'Chic Fil A BBC'!K59+Panera!K59+'Heritage Market'!K59</f>
        <v>0</v>
      </c>
      <c r="L59" s="80">
        <f t="shared" si="24"/>
        <v>0</v>
      </c>
      <c r="M59" s="134">
        <f>'POD Breezeway'!M59+'Express GL'!M59+'Starbucks GL-SBX Truck'!M59+'Miro''s'!M59+'Faculty Club'!M59+'Almazar  &amp; Brand X'!M59+'Burger King'!M59+Bustelo!M59+Chilis!M59+Einstein!M59+Jamba!M59+'Pollo Tropical'!M59+'Subway GC'!M59+'Sushi Maki'!M59+Panda!M59+'Starbucks Mango'!M59+'Taco Bell'!M59+'Chick-fil-A'!M59+Dunkin!M59+Chipotle!M59+Sergios!M59+'Moes PG5'!M59+'Papa Johns'!M59+Salad!M59+'Half Moon &amp; Tropical Smoothie'!M59+'Athletic Concessions - Kitchen'!M59+'Starbucks BBC'!M59+'Moes BBC'!M59+'Grille Works BBC'!M59+'Subway BBC'!M59+'Market Pavillion'!M59+'Chic Fil A BBC'!M59+Panera!M59+'Heritage Market'!M59</f>
        <v>0</v>
      </c>
      <c r="N59" s="80">
        <f t="shared" si="25"/>
        <v>0</v>
      </c>
      <c r="O59" s="134">
        <f>'POD Breezeway'!O59+'Express GL'!O59+'Starbucks GL-SBX Truck'!O59+'Miro''s'!O59+'Faculty Club'!O59+'Almazar  &amp; Brand X'!O59+'Burger King'!O59+Bustelo!O59+Chilis!O59+Einstein!O59+Jamba!O59+'Pollo Tropical'!O59+'Subway GC'!O59+'Sushi Maki'!O59+Panda!O59+'Starbucks Mango'!O59+'Taco Bell'!O59+'Chick-fil-A'!O59+Dunkin!O59+Chipotle!O59+Sergios!O59+'Moes PG5'!O59+'Papa Johns'!O59+Salad!O59+'Half Moon &amp; Tropical Smoothie'!O59+'Athletic Concessions - Kitchen'!O59+'Starbucks BBC'!O59+'Moes BBC'!O59+'Grille Works BBC'!O59+'Subway BBC'!O59+'Market Pavillion'!O59+'Chic Fil A BBC'!O59+Panera!O59+'Heritage Market'!O59</f>
        <v>0</v>
      </c>
      <c r="P59" s="80">
        <f t="shared" si="26"/>
        <v>0</v>
      </c>
      <c r="Q59" s="134">
        <f>'POD Breezeway'!Q59+'Express GL'!Q59+'Starbucks GL-SBX Truck'!Q59+'Miro''s'!Q59+'Faculty Club'!Q59+'Almazar  &amp; Brand X'!Q59+'Burger King'!Q59+Bustelo!Q59+Chilis!Q59+Einstein!Q59+Jamba!Q59+'Pollo Tropical'!Q59+'Subway GC'!Q59+'Sushi Maki'!Q59+Panda!Q59+'Starbucks Mango'!Q59+'Taco Bell'!Q59+'Chick-fil-A'!Q59+Dunkin!Q59+Chipotle!Q59+Sergios!Q59+'Moes PG5'!Q59+'Papa Johns'!Q59+Salad!Q59+'Half Moon &amp; Tropical Smoothie'!Q59+'Athletic Concessions - Kitchen'!Q59+'Starbucks BBC'!Q59+'Moes BBC'!Q59+'Grille Works BBC'!Q59+'Subway BBC'!Q59+'Market Pavillion'!Q59+'Chic Fil A BBC'!Q59+Panera!Q59+'Heritage Market'!Q59</f>
        <v>0</v>
      </c>
      <c r="R59" s="80">
        <f t="shared" si="27"/>
        <v>0</v>
      </c>
      <c r="S59" s="134">
        <f>'POD Breezeway'!S59+'Express GL'!S59+'Starbucks GL-SBX Truck'!S59+'Miro''s'!S59+'Faculty Club'!S59+'Almazar  &amp; Brand X'!S59+'Burger King'!S59+Bustelo!S59+Chilis!S59+Einstein!S59+Jamba!S59+'Pollo Tropical'!S59+'Subway GC'!S59+'Sushi Maki'!S59+Panda!S59+'Starbucks Mango'!S59+'Taco Bell'!S59+'Chick-fil-A'!S59+Dunkin!S59+Chipotle!S59+Sergios!S59+'Moes PG5'!S59+'Papa Johns'!S59+Salad!S59+'Half Moon &amp; Tropical Smoothie'!S59+'Athletic Concessions - Kitchen'!S59+'Starbucks BBC'!S59+'Moes BBC'!S59+'Grille Works BBC'!S59+'Subway BBC'!S59+'Market Pavillion'!S59+'Chic Fil A BBC'!S59+Panera!S59+'Heritage Market'!S59</f>
        <v>0</v>
      </c>
      <c r="T59" s="80">
        <f t="shared" si="28"/>
        <v>0</v>
      </c>
      <c r="U59" s="134">
        <f>'POD Breezeway'!U59+'Express GL'!U59+'Starbucks GL-SBX Truck'!U59+'Miro''s'!U59+'Faculty Club'!U59+'Almazar  &amp; Brand X'!U59+'Burger King'!U59+Bustelo!U59+Chilis!U59+Einstein!U59+Jamba!U59+'Pollo Tropical'!U59+'Subway GC'!U59+'Sushi Maki'!U59+Panda!U59+'Starbucks Mango'!U59+'Taco Bell'!U59+'Chick-fil-A'!U59+Dunkin!U59+Chipotle!U59+Sergios!U59+'Moes PG5'!U59+'Papa Johns'!U59+Salad!U59+'Half Moon &amp; Tropical Smoothie'!U59+'Athletic Concessions - Kitchen'!U59+'Starbucks BBC'!U59+'Moes BBC'!U59+'Grille Works BBC'!U59+'Subway BBC'!U59+'Market Pavillion'!U59+'Chic Fil A BBC'!U59+Panera!U59+'Heritage Market'!U59</f>
        <v>0</v>
      </c>
      <c r="V59" s="80">
        <f t="shared" si="29"/>
        <v>0</v>
      </c>
    </row>
    <row r="60" spans="1:22" ht="12.75" customHeight="1">
      <c r="A60" s="2" t="s">
        <v>391</v>
      </c>
      <c r="B60" s="35"/>
      <c r="C60" s="134">
        <f>'POD Breezeway'!C60+'Express GL'!C60+'Starbucks GL-SBX Truck'!C60+'Miro''s'!C60+'Faculty Club'!C60+'Almazar  &amp; Brand X'!C60+'Burger King'!C60+Bustelo!C60+Chilis!C60+Einstein!C60+Jamba!C60+'Pollo Tropical'!C60+'Subway GC'!C60+'Sushi Maki'!C60+Panda!C60+'Starbucks Mango'!C60+'Taco Bell'!C60+'Chick-fil-A'!C60+Dunkin!C60+Chipotle!C60+Sergios!C60+'Moes PG5'!C60+'Papa Johns'!C60+Salad!C60+'Half Moon &amp; Tropical Smoothie'!C60+'Athletic Concessions - Kitchen'!C60+'Starbucks BBC'!C60+'Moes BBC'!C60+'Grille Works BBC'!C60+'Subway BBC'!C60+'Market Pavillion'!C60+'Chic Fil A BBC'!C60+Panera!C60+'Heritage Market'!C60</f>
        <v>0</v>
      </c>
      <c r="D60" s="80">
        <f t="shared" si="20"/>
        <v>0</v>
      </c>
      <c r="E60" s="134">
        <f>'POD Breezeway'!E60+'Express GL'!E60+'Starbucks GL-SBX Truck'!E60+'Miro''s'!E60+'Faculty Club'!E60+'Almazar  &amp; Brand X'!E60+'Burger King'!E60+Bustelo!E60+Chilis!E60+Einstein!E60+Jamba!E60+'Pollo Tropical'!E60+'Subway GC'!E60+'Sushi Maki'!E60+Panda!E60+'Starbucks Mango'!E60+'Taco Bell'!E60+'Chick-fil-A'!E60+Dunkin!E60+Chipotle!E60+Sergios!E60+'Moes PG5'!E60+'Papa Johns'!E60+Salad!E60+'Half Moon &amp; Tropical Smoothie'!E60+'Athletic Concessions - Kitchen'!E60+'Starbucks BBC'!E60+'Moes BBC'!E60+'Grille Works BBC'!E60+'Subway BBC'!E60+'Market Pavillion'!E60+'Chic Fil A BBC'!E60+Panera!E60+'Heritage Market'!E60</f>
        <v>0</v>
      </c>
      <c r="F60" s="80">
        <f t="shared" si="21"/>
        <v>0</v>
      </c>
      <c r="G60" s="134">
        <f>'POD Breezeway'!G60+'Express GL'!G60+'Starbucks GL-SBX Truck'!G60+'Miro''s'!G60+'Faculty Club'!G60+'Almazar  &amp; Brand X'!G60+'Burger King'!G60+Bustelo!G60+Chilis!G60+Einstein!G60+Jamba!G60+'Pollo Tropical'!G60+'Subway GC'!G60+'Sushi Maki'!G60+Panda!G60+'Starbucks Mango'!G60+'Taco Bell'!G60+'Chick-fil-A'!G60+Dunkin!G60+Chipotle!G60+Sergios!G60+'Moes PG5'!G60+'Papa Johns'!G60+Salad!G60+'Half Moon &amp; Tropical Smoothie'!G60+'Athletic Concessions - Kitchen'!G60+'Starbucks BBC'!G60+'Moes BBC'!G60+'Grille Works BBC'!G60+'Subway BBC'!G60+'Market Pavillion'!G60+'Chic Fil A BBC'!G60+Panera!G60+'Heritage Market'!G60</f>
        <v>0</v>
      </c>
      <c r="H60" s="80">
        <f t="shared" si="22"/>
        <v>0</v>
      </c>
      <c r="I60" s="134">
        <f>'POD Breezeway'!I60+'Express GL'!I60+'Starbucks GL-SBX Truck'!I60+'Miro''s'!I60+'Faculty Club'!I60+'Almazar  &amp; Brand X'!I60+'Burger King'!I60+Bustelo!I60+Chilis!I60+Einstein!I60+Jamba!I60+'Pollo Tropical'!I60+'Subway GC'!I60+'Sushi Maki'!I60+Panda!I60+'Starbucks Mango'!I60+'Taco Bell'!I60+'Chick-fil-A'!I60+Dunkin!I60+Chipotle!I60+Sergios!I60+'Moes PG5'!I60+'Papa Johns'!I60+Salad!I60+'Half Moon &amp; Tropical Smoothie'!I60+'Athletic Concessions - Kitchen'!I60+'Starbucks BBC'!I60+'Moes BBC'!I60+'Grille Works BBC'!I60+'Subway BBC'!I60+'Market Pavillion'!I60+'Chic Fil A BBC'!I60+Panera!I60+'Heritage Market'!I60</f>
        <v>0</v>
      </c>
      <c r="J60" s="80">
        <f t="shared" si="23"/>
        <v>0</v>
      </c>
      <c r="K60" s="134">
        <f>'POD Breezeway'!K60+'Express GL'!K60+'Starbucks GL-SBX Truck'!K60+'Miro''s'!K60+'Faculty Club'!K60+'Almazar  &amp; Brand X'!K60+'Burger King'!K60+Bustelo!K60+Chilis!K60+Einstein!K60+Jamba!K60+'Pollo Tropical'!K60+'Subway GC'!K60+'Sushi Maki'!K60+Panda!K60+'Starbucks Mango'!K60+'Taco Bell'!K60+'Chick-fil-A'!K60+Dunkin!K60+Chipotle!K60+Sergios!K60+'Moes PG5'!K60+'Papa Johns'!K60+Salad!K60+'Half Moon &amp; Tropical Smoothie'!K60+'Athletic Concessions - Kitchen'!K60+'Starbucks BBC'!K60+'Moes BBC'!K60+'Grille Works BBC'!K60+'Subway BBC'!K60+'Market Pavillion'!K60+'Chic Fil A BBC'!K60+Panera!K60+'Heritage Market'!K60</f>
        <v>0</v>
      </c>
      <c r="L60" s="80">
        <f t="shared" si="24"/>
        <v>0</v>
      </c>
      <c r="M60" s="134">
        <f>'POD Breezeway'!M60+'Express GL'!M60+'Starbucks GL-SBX Truck'!M60+'Miro''s'!M60+'Faculty Club'!M60+'Almazar  &amp; Brand X'!M60+'Burger King'!M60+Bustelo!M60+Chilis!M60+Einstein!M60+Jamba!M60+'Pollo Tropical'!M60+'Subway GC'!M60+'Sushi Maki'!M60+Panda!M60+'Starbucks Mango'!M60+'Taco Bell'!M60+'Chick-fil-A'!M60+Dunkin!M60+Chipotle!M60+Sergios!M60+'Moes PG5'!M60+'Papa Johns'!M60+Salad!M60+'Half Moon &amp; Tropical Smoothie'!M60+'Athletic Concessions - Kitchen'!M60+'Starbucks BBC'!M60+'Moes BBC'!M60+'Grille Works BBC'!M60+'Subway BBC'!M60+'Market Pavillion'!M60+'Chic Fil A BBC'!M60+Panera!M60+'Heritage Market'!M60</f>
        <v>0</v>
      </c>
      <c r="N60" s="80">
        <f t="shared" si="25"/>
        <v>0</v>
      </c>
      <c r="O60" s="134">
        <f>'POD Breezeway'!O60+'Express GL'!O60+'Starbucks GL-SBX Truck'!O60+'Miro''s'!O60+'Faculty Club'!O60+'Almazar  &amp; Brand X'!O60+'Burger King'!O60+Bustelo!O60+Chilis!O60+Einstein!O60+Jamba!O60+'Pollo Tropical'!O60+'Subway GC'!O60+'Sushi Maki'!O60+Panda!O60+'Starbucks Mango'!O60+'Taco Bell'!O60+'Chick-fil-A'!O60+Dunkin!O60+Chipotle!O60+Sergios!O60+'Moes PG5'!O60+'Papa Johns'!O60+Salad!O60+'Half Moon &amp; Tropical Smoothie'!O60+'Athletic Concessions - Kitchen'!O60+'Starbucks BBC'!O60+'Moes BBC'!O60+'Grille Works BBC'!O60+'Subway BBC'!O60+'Market Pavillion'!O60+'Chic Fil A BBC'!O60+Panera!O60+'Heritage Market'!O60</f>
        <v>0</v>
      </c>
      <c r="P60" s="80">
        <f t="shared" si="26"/>
        <v>0</v>
      </c>
      <c r="Q60" s="134">
        <f>'POD Breezeway'!Q60+'Express GL'!Q60+'Starbucks GL-SBX Truck'!Q60+'Miro''s'!Q60+'Faculty Club'!Q60+'Almazar  &amp; Brand X'!Q60+'Burger King'!Q60+Bustelo!Q60+Chilis!Q60+Einstein!Q60+Jamba!Q60+'Pollo Tropical'!Q60+'Subway GC'!Q60+'Sushi Maki'!Q60+Panda!Q60+'Starbucks Mango'!Q60+'Taco Bell'!Q60+'Chick-fil-A'!Q60+Dunkin!Q60+Chipotle!Q60+Sergios!Q60+'Moes PG5'!Q60+'Papa Johns'!Q60+Salad!Q60+'Half Moon &amp; Tropical Smoothie'!Q60+'Athletic Concessions - Kitchen'!Q60+'Starbucks BBC'!Q60+'Moes BBC'!Q60+'Grille Works BBC'!Q60+'Subway BBC'!Q60+'Market Pavillion'!Q60+'Chic Fil A BBC'!Q60+Panera!Q60+'Heritage Market'!Q60</f>
        <v>0</v>
      </c>
      <c r="R60" s="80">
        <f t="shared" si="27"/>
        <v>0</v>
      </c>
      <c r="S60" s="134">
        <f>'POD Breezeway'!S60+'Express GL'!S60+'Starbucks GL-SBX Truck'!S60+'Miro''s'!S60+'Faculty Club'!S60+'Almazar  &amp; Brand X'!S60+'Burger King'!S60+Bustelo!S60+Chilis!S60+Einstein!S60+Jamba!S60+'Pollo Tropical'!S60+'Subway GC'!S60+'Sushi Maki'!S60+Panda!S60+'Starbucks Mango'!S60+'Taco Bell'!S60+'Chick-fil-A'!S60+Dunkin!S60+Chipotle!S60+Sergios!S60+'Moes PG5'!S60+'Papa Johns'!S60+Salad!S60+'Half Moon &amp; Tropical Smoothie'!S60+'Athletic Concessions - Kitchen'!S60+'Starbucks BBC'!S60+'Moes BBC'!S60+'Grille Works BBC'!S60+'Subway BBC'!S60+'Market Pavillion'!S60+'Chic Fil A BBC'!S60+Panera!S60+'Heritage Market'!S60</f>
        <v>0</v>
      </c>
      <c r="T60" s="80">
        <f t="shared" si="28"/>
        <v>0</v>
      </c>
      <c r="U60" s="134">
        <f>'POD Breezeway'!U60+'Express GL'!U60+'Starbucks GL-SBX Truck'!U60+'Miro''s'!U60+'Faculty Club'!U60+'Almazar  &amp; Brand X'!U60+'Burger King'!U60+Bustelo!U60+Chilis!U60+Einstein!U60+Jamba!U60+'Pollo Tropical'!U60+'Subway GC'!U60+'Sushi Maki'!U60+Panda!U60+'Starbucks Mango'!U60+'Taco Bell'!U60+'Chick-fil-A'!U60+Dunkin!U60+Chipotle!U60+Sergios!U60+'Moes PG5'!U60+'Papa Johns'!U60+Salad!U60+'Half Moon &amp; Tropical Smoothie'!U60+'Athletic Concessions - Kitchen'!U60+'Starbucks BBC'!U60+'Moes BBC'!U60+'Grille Works BBC'!U60+'Subway BBC'!U60+'Market Pavillion'!U60+'Chic Fil A BBC'!U60+Panera!U60+'Heritage Market'!U60</f>
        <v>0</v>
      </c>
      <c r="V60" s="80">
        <f t="shared" si="29"/>
        <v>0</v>
      </c>
    </row>
    <row r="61" spans="1:22" ht="12.75" customHeight="1">
      <c r="A61" s="2" t="s">
        <v>392</v>
      </c>
      <c r="B61" s="35"/>
      <c r="C61" s="134">
        <f>'POD Breezeway'!C61+'Express GL'!C61+'Starbucks GL-SBX Truck'!C61+'Miro''s'!C61+'Faculty Club'!C61+'Almazar  &amp; Brand X'!C61+'Burger King'!C61+Bustelo!C61+Chilis!C61+Einstein!C61+Jamba!C61+'Pollo Tropical'!C61+'Subway GC'!C61+'Sushi Maki'!C61+Panda!C61+'Starbucks Mango'!C61+'Taco Bell'!C61+'Chick-fil-A'!C61+Dunkin!C61+Chipotle!C61+Sergios!C61+'Moes PG5'!C61+'Papa Johns'!C61+Salad!C61+'Half Moon &amp; Tropical Smoothie'!C61+'Athletic Concessions - Kitchen'!C61+'Starbucks BBC'!C61+'Moes BBC'!C61+'Grille Works BBC'!C61+'Subway BBC'!C61+'Market Pavillion'!C61+'Chic Fil A BBC'!C61+Panera!C61+'Heritage Market'!C61</f>
        <v>0</v>
      </c>
      <c r="D61" s="80">
        <f t="shared" si="20"/>
        <v>0</v>
      </c>
      <c r="E61" s="134">
        <f>'POD Breezeway'!E61+'Express GL'!E61+'Starbucks GL-SBX Truck'!E61+'Miro''s'!E61+'Faculty Club'!E61+'Almazar  &amp; Brand X'!E61+'Burger King'!E61+Bustelo!E61+Chilis!E61+Einstein!E61+Jamba!E61+'Pollo Tropical'!E61+'Subway GC'!E61+'Sushi Maki'!E61+Panda!E61+'Starbucks Mango'!E61+'Taco Bell'!E61+'Chick-fil-A'!E61+Dunkin!E61+Chipotle!E61+Sergios!E61+'Moes PG5'!E61+'Papa Johns'!E61+Salad!E61+'Half Moon &amp; Tropical Smoothie'!E61+'Athletic Concessions - Kitchen'!E61+'Starbucks BBC'!E61+'Moes BBC'!E61+'Grille Works BBC'!E61+'Subway BBC'!E61+'Market Pavillion'!E61+'Chic Fil A BBC'!E61+Panera!E61+'Heritage Market'!E61</f>
        <v>0</v>
      </c>
      <c r="F61" s="80">
        <f t="shared" si="21"/>
        <v>0</v>
      </c>
      <c r="G61" s="134">
        <f>'POD Breezeway'!G61+'Express GL'!G61+'Starbucks GL-SBX Truck'!G61+'Miro''s'!G61+'Faculty Club'!G61+'Almazar  &amp; Brand X'!G61+'Burger King'!G61+Bustelo!G61+Chilis!G61+Einstein!G61+Jamba!G61+'Pollo Tropical'!G61+'Subway GC'!G61+'Sushi Maki'!G61+Panda!G61+'Starbucks Mango'!G61+'Taco Bell'!G61+'Chick-fil-A'!G61+Dunkin!G61+Chipotle!G61+Sergios!G61+'Moes PG5'!G61+'Papa Johns'!G61+Salad!G61+'Half Moon &amp; Tropical Smoothie'!G61+'Athletic Concessions - Kitchen'!G61+'Starbucks BBC'!G61+'Moes BBC'!G61+'Grille Works BBC'!G61+'Subway BBC'!G61+'Market Pavillion'!G61+'Chic Fil A BBC'!G61+Panera!G61+'Heritage Market'!G61</f>
        <v>0</v>
      </c>
      <c r="H61" s="80">
        <f t="shared" si="22"/>
        <v>0</v>
      </c>
      <c r="I61" s="134">
        <f>'POD Breezeway'!I61+'Express GL'!I61+'Starbucks GL-SBX Truck'!I61+'Miro''s'!I61+'Faculty Club'!I61+'Almazar  &amp; Brand X'!I61+'Burger King'!I61+Bustelo!I61+Chilis!I61+Einstein!I61+Jamba!I61+'Pollo Tropical'!I61+'Subway GC'!I61+'Sushi Maki'!I61+Panda!I61+'Starbucks Mango'!I61+'Taco Bell'!I61+'Chick-fil-A'!I61+Dunkin!I61+Chipotle!I61+Sergios!I61+'Moes PG5'!I61+'Papa Johns'!I61+Salad!I61+'Half Moon &amp; Tropical Smoothie'!I61+'Athletic Concessions - Kitchen'!I61+'Starbucks BBC'!I61+'Moes BBC'!I61+'Grille Works BBC'!I61+'Subway BBC'!I61+'Market Pavillion'!I61+'Chic Fil A BBC'!I61+Panera!I61+'Heritage Market'!I61</f>
        <v>0</v>
      </c>
      <c r="J61" s="80">
        <f t="shared" si="23"/>
        <v>0</v>
      </c>
      <c r="K61" s="134">
        <f>'POD Breezeway'!K61+'Express GL'!K61+'Starbucks GL-SBX Truck'!K61+'Miro''s'!K61+'Faculty Club'!K61+'Almazar  &amp; Brand X'!K61+'Burger King'!K61+Bustelo!K61+Chilis!K61+Einstein!K61+Jamba!K61+'Pollo Tropical'!K61+'Subway GC'!K61+'Sushi Maki'!K61+Panda!K61+'Starbucks Mango'!K61+'Taco Bell'!K61+'Chick-fil-A'!K61+Dunkin!K61+Chipotle!K61+Sergios!K61+'Moes PG5'!K61+'Papa Johns'!K61+Salad!K61+'Half Moon &amp; Tropical Smoothie'!K61+'Athletic Concessions - Kitchen'!K61+'Starbucks BBC'!K61+'Moes BBC'!K61+'Grille Works BBC'!K61+'Subway BBC'!K61+'Market Pavillion'!K61+'Chic Fil A BBC'!K61+Panera!K61+'Heritage Market'!K61</f>
        <v>0</v>
      </c>
      <c r="L61" s="80">
        <f t="shared" si="24"/>
        <v>0</v>
      </c>
      <c r="M61" s="134">
        <f>'POD Breezeway'!M61+'Express GL'!M61+'Starbucks GL-SBX Truck'!M61+'Miro''s'!M61+'Faculty Club'!M61+'Almazar  &amp; Brand X'!M61+'Burger King'!M61+Bustelo!M61+Chilis!M61+Einstein!M61+Jamba!M61+'Pollo Tropical'!M61+'Subway GC'!M61+'Sushi Maki'!M61+Panda!M61+'Starbucks Mango'!M61+'Taco Bell'!M61+'Chick-fil-A'!M61+Dunkin!M61+Chipotle!M61+Sergios!M61+'Moes PG5'!M61+'Papa Johns'!M61+Salad!M61+'Half Moon &amp; Tropical Smoothie'!M61+'Athletic Concessions - Kitchen'!M61+'Starbucks BBC'!M61+'Moes BBC'!M61+'Grille Works BBC'!M61+'Subway BBC'!M61+'Market Pavillion'!M61+'Chic Fil A BBC'!M61+Panera!M61+'Heritage Market'!M61</f>
        <v>0</v>
      </c>
      <c r="N61" s="80">
        <f t="shared" si="25"/>
        <v>0</v>
      </c>
      <c r="O61" s="134">
        <f>'POD Breezeway'!O61+'Express GL'!O61+'Starbucks GL-SBX Truck'!O61+'Miro''s'!O61+'Faculty Club'!O61+'Almazar  &amp; Brand X'!O61+'Burger King'!O61+Bustelo!O61+Chilis!O61+Einstein!O61+Jamba!O61+'Pollo Tropical'!O61+'Subway GC'!O61+'Sushi Maki'!O61+Panda!O61+'Starbucks Mango'!O61+'Taco Bell'!O61+'Chick-fil-A'!O61+Dunkin!O61+Chipotle!O61+Sergios!O61+'Moes PG5'!O61+'Papa Johns'!O61+Salad!O61+'Half Moon &amp; Tropical Smoothie'!O61+'Athletic Concessions - Kitchen'!O61+'Starbucks BBC'!O61+'Moes BBC'!O61+'Grille Works BBC'!O61+'Subway BBC'!O61+'Market Pavillion'!O61+'Chic Fil A BBC'!O61+Panera!O61+'Heritage Market'!O61</f>
        <v>0</v>
      </c>
      <c r="P61" s="80">
        <f t="shared" si="26"/>
        <v>0</v>
      </c>
      <c r="Q61" s="134">
        <f>'POD Breezeway'!Q61+'Express GL'!Q61+'Starbucks GL-SBX Truck'!Q61+'Miro''s'!Q61+'Faculty Club'!Q61+'Almazar  &amp; Brand X'!Q61+'Burger King'!Q61+Bustelo!Q61+Chilis!Q61+Einstein!Q61+Jamba!Q61+'Pollo Tropical'!Q61+'Subway GC'!Q61+'Sushi Maki'!Q61+Panda!Q61+'Starbucks Mango'!Q61+'Taco Bell'!Q61+'Chick-fil-A'!Q61+Dunkin!Q61+Chipotle!Q61+Sergios!Q61+'Moes PG5'!Q61+'Papa Johns'!Q61+Salad!Q61+'Half Moon &amp; Tropical Smoothie'!Q61+'Athletic Concessions - Kitchen'!Q61+'Starbucks BBC'!Q61+'Moes BBC'!Q61+'Grille Works BBC'!Q61+'Subway BBC'!Q61+'Market Pavillion'!Q61+'Chic Fil A BBC'!Q61+Panera!Q61+'Heritage Market'!Q61</f>
        <v>0</v>
      </c>
      <c r="R61" s="80">
        <f t="shared" si="27"/>
        <v>0</v>
      </c>
      <c r="S61" s="134">
        <f>'POD Breezeway'!S61+'Express GL'!S61+'Starbucks GL-SBX Truck'!S61+'Miro''s'!S61+'Faculty Club'!S61+'Almazar  &amp; Brand X'!S61+'Burger King'!S61+Bustelo!S61+Chilis!S61+Einstein!S61+Jamba!S61+'Pollo Tropical'!S61+'Subway GC'!S61+'Sushi Maki'!S61+Panda!S61+'Starbucks Mango'!S61+'Taco Bell'!S61+'Chick-fil-A'!S61+Dunkin!S61+Chipotle!S61+Sergios!S61+'Moes PG5'!S61+'Papa Johns'!S61+Salad!S61+'Half Moon &amp; Tropical Smoothie'!S61+'Athletic Concessions - Kitchen'!S61+'Starbucks BBC'!S61+'Moes BBC'!S61+'Grille Works BBC'!S61+'Subway BBC'!S61+'Market Pavillion'!S61+'Chic Fil A BBC'!S61+Panera!S61+'Heritage Market'!S61</f>
        <v>0</v>
      </c>
      <c r="T61" s="80">
        <f t="shared" si="28"/>
        <v>0</v>
      </c>
      <c r="U61" s="134">
        <f>'POD Breezeway'!U61+'Express GL'!U61+'Starbucks GL-SBX Truck'!U61+'Miro''s'!U61+'Faculty Club'!U61+'Almazar  &amp; Brand X'!U61+'Burger King'!U61+Bustelo!U61+Chilis!U61+Einstein!U61+Jamba!U61+'Pollo Tropical'!U61+'Subway GC'!U61+'Sushi Maki'!U61+Panda!U61+'Starbucks Mango'!U61+'Taco Bell'!U61+'Chick-fil-A'!U61+Dunkin!U61+Chipotle!U61+Sergios!U61+'Moes PG5'!U61+'Papa Johns'!U61+Salad!U61+'Half Moon &amp; Tropical Smoothie'!U61+'Athletic Concessions - Kitchen'!U61+'Starbucks BBC'!U61+'Moes BBC'!U61+'Grille Works BBC'!U61+'Subway BBC'!U61+'Market Pavillion'!U61+'Chic Fil A BBC'!U61+Panera!U61+'Heritage Market'!U61</f>
        <v>0</v>
      </c>
      <c r="V61" s="80">
        <f t="shared" si="29"/>
        <v>0</v>
      </c>
    </row>
    <row r="62" spans="1:22" ht="12.75" customHeight="1">
      <c r="A62" s="2" t="s">
        <v>393</v>
      </c>
      <c r="B62" s="35"/>
      <c r="C62" s="134">
        <f>'POD Breezeway'!C62+'Express GL'!C62+'Starbucks GL-SBX Truck'!C62+'Miro''s'!C62+'Faculty Club'!C62+'Almazar  &amp; Brand X'!C62+'Burger King'!C62+Bustelo!C62+Chilis!C62+Einstein!C62+Jamba!C62+'Pollo Tropical'!C62+'Subway GC'!C62+'Sushi Maki'!C62+Panda!C62+'Starbucks Mango'!C62+'Taco Bell'!C62+'Chick-fil-A'!C62+Dunkin!C62+Chipotle!C62+Sergios!C62+'Moes PG5'!C62+'Papa Johns'!C62+Salad!C62+'Half Moon &amp; Tropical Smoothie'!C62+'Athletic Concessions - Kitchen'!C62+'Starbucks BBC'!C62+'Moes BBC'!C62+'Grille Works BBC'!C62+'Subway BBC'!C62+'Market Pavillion'!C62+'Chic Fil A BBC'!C62+Panera!C62+'Heritage Market'!C62</f>
        <v>0</v>
      </c>
      <c r="D62" s="80">
        <f t="shared" si="20"/>
        <v>0</v>
      </c>
      <c r="E62" s="134">
        <f>'POD Breezeway'!E62+'Express GL'!E62+'Starbucks GL-SBX Truck'!E62+'Miro''s'!E62+'Faculty Club'!E62+'Almazar  &amp; Brand X'!E62+'Burger King'!E62+Bustelo!E62+Chilis!E62+Einstein!E62+Jamba!E62+'Pollo Tropical'!E62+'Subway GC'!E62+'Sushi Maki'!E62+Panda!E62+'Starbucks Mango'!E62+'Taco Bell'!E62+'Chick-fil-A'!E62+Dunkin!E62+Chipotle!E62+Sergios!E62+'Moes PG5'!E62+'Papa Johns'!E62+Salad!E62+'Half Moon &amp; Tropical Smoothie'!E62+'Athletic Concessions - Kitchen'!E62+'Starbucks BBC'!E62+'Moes BBC'!E62+'Grille Works BBC'!E62+'Subway BBC'!E62+'Market Pavillion'!E62+'Chic Fil A BBC'!E62+Panera!E62+'Heritage Market'!E62</f>
        <v>0</v>
      </c>
      <c r="F62" s="80">
        <f t="shared" si="21"/>
        <v>0</v>
      </c>
      <c r="G62" s="134">
        <f>'POD Breezeway'!G62+'Express GL'!G62+'Starbucks GL-SBX Truck'!G62+'Miro''s'!G62+'Faculty Club'!G62+'Almazar  &amp; Brand X'!G62+'Burger King'!G62+Bustelo!G62+Chilis!G62+Einstein!G62+Jamba!G62+'Pollo Tropical'!G62+'Subway GC'!G62+'Sushi Maki'!G62+Panda!G62+'Starbucks Mango'!G62+'Taco Bell'!G62+'Chick-fil-A'!G62+Dunkin!G62+Chipotle!G62+Sergios!G62+'Moes PG5'!G62+'Papa Johns'!G62+Salad!G62+'Half Moon &amp; Tropical Smoothie'!G62+'Athletic Concessions - Kitchen'!G62+'Starbucks BBC'!G62+'Moes BBC'!G62+'Grille Works BBC'!G62+'Subway BBC'!G62+'Market Pavillion'!G62+'Chic Fil A BBC'!G62+Panera!G62+'Heritage Market'!G62</f>
        <v>0</v>
      </c>
      <c r="H62" s="80">
        <f t="shared" si="22"/>
        <v>0</v>
      </c>
      <c r="I62" s="134">
        <f>'POD Breezeway'!I62+'Express GL'!I62+'Starbucks GL-SBX Truck'!I62+'Miro''s'!I62+'Faculty Club'!I62+'Almazar  &amp; Brand X'!I62+'Burger King'!I62+Bustelo!I62+Chilis!I62+Einstein!I62+Jamba!I62+'Pollo Tropical'!I62+'Subway GC'!I62+'Sushi Maki'!I62+Panda!I62+'Starbucks Mango'!I62+'Taco Bell'!I62+'Chick-fil-A'!I62+Dunkin!I62+Chipotle!I62+Sergios!I62+'Moes PG5'!I62+'Papa Johns'!I62+Salad!I62+'Half Moon &amp; Tropical Smoothie'!I62+'Athletic Concessions - Kitchen'!I62+'Starbucks BBC'!I62+'Moes BBC'!I62+'Grille Works BBC'!I62+'Subway BBC'!I62+'Market Pavillion'!I62+'Chic Fil A BBC'!I62+Panera!I62+'Heritage Market'!I62</f>
        <v>0</v>
      </c>
      <c r="J62" s="80">
        <f t="shared" si="23"/>
        <v>0</v>
      </c>
      <c r="K62" s="134">
        <f>'POD Breezeway'!K62+'Express GL'!K62+'Starbucks GL-SBX Truck'!K62+'Miro''s'!K62+'Faculty Club'!K62+'Almazar  &amp; Brand X'!K62+'Burger King'!K62+Bustelo!K62+Chilis!K62+Einstein!K62+Jamba!K62+'Pollo Tropical'!K62+'Subway GC'!K62+'Sushi Maki'!K62+Panda!K62+'Starbucks Mango'!K62+'Taco Bell'!K62+'Chick-fil-A'!K62+Dunkin!K62+Chipotle!K62+Sergios!K62+'Moes PG5'!K62+'Papa Johns'!K62+Salad!K62+'Half Moon &amp; Tropical Smoothie'!K62+'Athletic Concessions - Kitchen'!K62+'Starbucks BBC'!K62+'Moes BBC'!K62+'Grille Works BBC'!K62+'Subway BBC'!K62+'Market Pavillion'!K62+'Chic Fil A BBC'!K62+Panera!K62+'Heritage Market'!K62</f>
        <v>0</v>
      </c>
      <c r="L62" s="80">
        <f t="shared" si="24"/>
        <v>0</v>
      </c>
      <c r="M62" s="134">
        <f>'POD Breezeway'!M62+'Express GL'!M62+'Starbucks GL-SBX Truck'!M62+'Miro''s'!M62+'Faculty Club'!M62+'Almazar  &amp; Brand X'!M62+'Burger King'!M62+Bustelo!M62+Chilis!M62+Einstein!M62+Jamba!M62+'Pollo Tropical'!M62+'Subway GC'!M62+'Sushi Maki'!M62+Panda!M62+'Starbucks Mango'!M62+'Taco Bell'!M62+'Chick-fil-A'!M62+Dunkin!M62+Chipotle!M62+Sergios!M62+'Moes PG5'!M62+'Papa Johns'!M62+Salad!M62+'Half Moon &amp; Tropical Smoothie'!M62+'Athletic Concessions - Kitchen'!M62+'Starbucks BBC'!M62+'Moes BBC'!M62+'Grille Works BBC'!M62+'Subway BBC'!M62+'Market Pavillion'!M62+'Chic Fil A BBC'!M62+Panera!M62+'Heritage Market'!M62</f>
        <v>0</v>
      </c>
      <c r="N62" s="80">
        <f t="shared" si="25"/>
        <v>0</v>
      </c>
      <c r="O62" s="134">
        <f>'POD Breezeway'!O62+'Express GL'!O62+'Starbucks GL-SBX Truck'!O62+'Miro''s'!O62+'Faculty Club'!O62+'Almazar  &amp; Brand X'!O62+'Burger King'!O62+Bustelo!O62+Chilis!O62+Einstein!O62+Jamba!O62+'Pollo Tropical'!O62+'Subway GC'!O62+'Sushi Maki'!O62+Panda!O62+'Starbucks Mango'!O62+'Taco Bell'!O62+'Chick-fil-A'!O62+Dunkin!O62+Chipotle!O62+Sergios!O62+'Moes PG5'!O62+'Papa Johns'!O62+Salad!O62+'Half Moon &amp; Tropical Smoothie'!O62+'Athletic Concessions - Kitchen'!O62+'Starbucks BBC'!O62+'Moes BBC'!O62+'Grille Works BBC'!O62+'Subway BBC'!O62+'Market Pavillion'!O62+'Chic Fil A BBC'!O62+Panera!O62+'Heritage Market'!O62</f>
        <v>0</v>
      </c>
      <c r="P62" s="80">
        <f t="shared" si="26"/>
        <v>0</v>
      </c>
      <c r="Q62" s="134">
        <f>'POD Breezeway'!Q62+'Express GL'!Q62+'Starbucks GL-SBX Truck'!Q62+'Miro''s'!Q62+'Faculty Club'!Q62+'Almazar  &amp; Brand X'!Q62+'Burger King'!Q62+Bustelo!Q62+Chilis!Q62+Einstein!Q62+Jamba!Q62+'Pollo Tropical'!Q62+'Subway GC'!Q62+'Sushi Maki'!Q62+Panda!Q62+'Starbucks Mango'!Q62+'Taco Bell'!Q62+'Chick-fil-A'!Q62+Dunkin!Q62+Chipotle!Q62+Sergios!Q62+'Moes PG5'!Q62+'Papa Johns'!Q62+Salad!Q62+'Half Moon &amp; Tropical Smoothie'!Q62+'Athletic Concessions - Kitchen'!Q62+'Starbucks BBC'!Q62+'Moes BBC'!Q62+'Grille Works BBC'!Q62+'Subway BBC'!Q62+'Market Pavillion'!Q62+'Chic Fil A BBC'!Q62+Panera!Q62+'Heritage Market'!Q62</f>
        <v>0</v>
      </c>
      <c r="R62" s="80">
        <f t="shared" si="27"/>
        <v>0</v>
      </c>
      <c r="S62" s="134">
        <f>'POD Breezeway'!S62+'Express GL'!S62+'Starbucks GL-SBX Truck'!S62+'Miro''s'!S62+'Faculty Club'!S62+'Almazar  &amp; Brand X'!S62+'Burger King'!S62+Bustelo!S62+Chilis!S62+Einstein!S62+Jamba!S62+'Pollo Tropical'!S62+'Subway GC'!S62+'Sushi Maki'!S62+Panda!S62+'Starbucks Mango'!S62+'Taco Bell'!S62+'Chick-fil-A'!S62+Dunkin!S62+Chipotle!S62+Sergios!S62+'Moes PG5'!S62+'Papa Johns'!S62+Salad!S62+'Half Moon &amp; Tropical Smoothie'!S62+'Athletic Concessions - Kitchen'!S62+'Starbucks BBC'!S62+'Moes BBC'!S62+'Grille Works BBC'!S62+'Subway BBC'!S62+'Market Pavillion'!S62+'Chic Fil A BBC'!S62+Panera!S62+'Heritage Market'!S62</f>
        <v>0</v>
      </c>
      <c r="T62" s="80">
        <f t="shared" si="28"/>
        <v>0</v>
      </c>
      <c r="U62" s="134">
        <f>'POD Breezeway'!U62+'Express GL'!U62+'Starbucks GL-SBX Truck'!U62+'Miro''s'!U62+'Faculty Club'!U62+'Almazar  &amp; Brand X'!U62+'Burger King'!U62+Bustelo!U62+Chilis!U62+Einstein!U62+Jamba!U62+'Pollo Tropical'!U62+'Subway GC'!U62+'Sushi Maki'!U62+Panda!U62+'Starbucks Mango'!U62+'Taco Bell'!U62+'Chick-fil-A'!U62+Dunkin!U62+Chipotle!U62+Sergios!U62+'Moes PG5'!U62+'Papa Johns'!U62+Salad!U62+'Half Moon &amp; Tropical Smoothie'!U62+'Athletic Concessions - Kitchen'!U62+'Starbucks BBC'!U62+'Moes BBC'!U62+'Grille Works BBC'!U62+'Subway BBC'!U62+'Market Pavillion'!U62+'Chic Fil A BBC'!U62+Panera!U62+'Heritage Market'!U62</f>
        <v>0</v>
      </c>
      <c r="V62" s="80">
        <f t="shared" si="29"/>
        <v>0</v>
      </c>
    </row>
    <row r="63" spans="1:22" ht="12.75" customHeight="1">
      <c r="A63" s="221" t="s">
        <v>394</v>
      </c>
      <c r="B63" s="222"/>
      <c r="C63" s="134">
        <f>'POD Breezeway'!C63+'Express GL'!C63+'Starbucks GL-SBX Truck'!C63+'Miro''s'!C63+'Faculty Club'!C63+'Almazar  &amp; Brand X'!C63+'Burger King'!C63+Bustelo!C63+Chilis!C63+Einstein!C63+Jamba!C63+'Pollo Tropical'!C63+'Subway GC'!C63+'Sushi Maki'!C63+Panda!C63+'Starbucks Mango'!C63+'Taco Bell'!C63+'Chick-fil-A'!C63+Dunkin!C63+Chipotle!C63+Sergios!C63+'Moes PG5'!C63+'Papa Johns'!C63+Salad!C63+'Half Moon &amp; Tropical Smoothie'!C63+'Athletic Concessions - Kitchen'!C63+'Starbucks BBC'!C63+'Moes BBC'!C63+'Grille Works BBC'!C63+'Subway BBC'!C63+'Market Pavillion'!C63+'Chic Fil A BBC'!C63+Panera!C63+'Heritage Market'!C63</f>
        <v>213731.04190109539</v>
      </c>
      <c r="D63" s="80">
        <f t="shared" si="20"/>
        <v>1.3446602048342143E-2</v>
      </c>
      <c r="E63" s="134">
        <f>'POD Breezeway'!E63+'Express GL'!E63+'Starbucks GL-SBX Truck'!E63+'Miro''s'!E63+'Faculty Club'!E63+'Almazar  &amp; Brand X'!E63+'Burger King'!E63+Bustelo!E63+Chilis!E63+Einstein!E63+Jamba!E63+'Pollo Tropical'!E63+'Subway GC'!E63+'Sushi Maki'!E63+Panda!E63+'Starbucks Mango'!E63+'Taco Bell'!E63+'Chick-fil-A'!E63+Dunkin!E63+Chipotle!E63+Sergios!E63+'Moes PG5'!E63+'Papa Johns'!E63+Salad!E63+'Half Moon &amp; Tropical Smoothie'!E63+'Athletic Concessions - Kitchen'!E63+'Starbucks BBC'!E63+'Moes BBC'!E63+'Grille Works BBC'!E63+'Subway BBC'!E63+'Market Pavillion'!E63+'Chic Fil A BBC'!E63+Panera!E63+'Heritage Market'!E63</f>
        <v>131845.35776338491</v>
      </c>
      <c r="F63" s="80">
        <f t="shared" si="21"/>
        <v>7.609357430387073E-3</v>
      </c>
      <c r="G63" s="134">
        <f>'POD Breezeway'!G63+'Express GL'!G63+'Starbucks GL-SBX Truck'!G63+'Miro''s'!G63+'Faculty Club'!G63+'Almazar  &amp; Brand X'!G63+'Burger King'!G63+Bustelo!G63+Chilis!G63+Einstein!G63+Jamba!G63+'Pollo Tropical'!G63+'Subway GC'!G63+'Sushi Maki'!G63+Panda!G63+'Starbucks Mango'!G63+'Taco Bell'!G63+'Chick-fil-A'!G63+Dunkin!G63+Chipotle!G63+Sergios!G63+'Moes PG5'!G63+'Papa Johns'!G63+Salad!G63+'Half Moon &amp; Tropical Smoothie'!G63+'Athletic Concessions - Kitchen'!G63+'Starbucks BBC'!G63+'Moes BBC'!G63+'Grille Works BBC'!G63+'Subway BBC'!G63+'Market Pavillion'!G63+'Chic Fil A BBC'!G63+Panera!G63+'Heritage Market'!G63</f>
        <v>167221.67411375273</v>
      </c>
      <c r="H63" s="80">
        <f t="shared" si="22"/>
        <v>8.7455925135963373E-3</v>
      </c>
      <c r="I63" s="134">
        <f>'POD Breezeway'!I63+'Express GL'!I63+'Starbucks GL-SBX Truck'!I63+'Miro''s'!I63+'Faculty Club'!I63+'Almazar  &amp; Brand X'!I63+'Burger King'!I63+Bustelo!I63+Chilis!I63+Einstein!I63+Jamba!I63+'Pollo Tropical'!I63+'Subway GC'!I63+'Sushi Maki'!I63+Panda!I63+'Starbucks Mango'!I63+'Taco Bell'!I63+'Chick-fil-A'!I63+Dunkin!I63+Chipotle!I63+Sergios!I63+'Moes PG5'!I63+'Papa Johns'!I63+Salad!I63+'Half Moon &amp; Tropical Smoothie'!I63+'Athletic Concessions - Kitchen'!I63+'Starbucks BBC'!I63+'Moes BBC'!I63+'Grille Works BBC'!I63+'Subway BBC'!I63+'Market Pavillion'!I63+'Chic Fil A BBC'!I63+Panera!I63+'Heritage Market'!I63</f>
        <v>169154.05260701149</v>
      </c>
      <c r="J63" s="80">
        <f t="shared" si="23"/>
        <v>8.6691528050681001E-3</v>
      </c>
      <c r="K63" s="134">
        <f>'POD Breezeway'!K63+'Express GL'!K63+'Starbucks GL-SBX Truck'!K63+'Miro''s'!K63+'Faculty Club'!K63+'Almazar  &amp; Brand X'!K63+'Burger King'!K63+Bustelo!K63+Chilis!K63+Einstein!K63+Jamba!K63+'Pollo Tropical'!K63+'Subway GC'!K63+'Sushi Maki'!K63+Panda!K63+'Starbucks Mango'!K63+'Taco Bell'!K63+'Chick-fil-A'!K63+Dunkin!K63+Chipotle!K63+Sergios!K63+'Moes PG5'!K63+'Papa Johns'!K63+Salad!K63+'Half Moon &amp; Tropical Smoothie'!K63+'Athletic Concessions - Kitchen'!K63+'Starbucks BBC'!K63+'Moes BBC'!K63+'Grille Works BBC'!K63+'Subway BBC'!K63+'Market Pavillion'!K63+'Chic Fil A BBC'!K63+Panera!K63+'Heritage Market'!K63</f>
        <v>170221.70430785726</v>
      </c>
      <c r="L63" s="80">
        <f t="shared" si="24"/>
        <v>8.5690248405549257E-3</v>
      </c>
      <c r="M63" s="134">
        <f>'POD Breezeway'!M63+'Express GL'!M63+'Starbucks GL-SBX Truck'!M63+'Miro''s'!M63+'Faculty Club'!M63+'Almazar  &amp; Brand X'!M63+'Burger King'!M63+Bustelo!M63+Chilis!M63+Einstein!M63+Jamba!M63+'Pollo Tropical'!M63+'Subway GC'!M63+'Sushi Maki'!M63+Panda!M63+'Starbucks Mango'!M63+'Taco Bell'!M63+'Chick-fil-A'!M63+Dunkin!M63+Chipotle!M63+Sergios!M63+'Moes PG5'!M63+'Papa Johns'!M63+Salad!M63+'Half Moon &amp; Tropical Smoothie'!M63+'Athletic Concessions - Kitchen'!M63+'Starbucks BBC'!M63+'Moes BBC'!M63+'Grille Works BBC'!M63+'Subway BBC'!M63+'Market Pavillion'!M63+'Chic Fil A BBC'!M63+Panera!M63+'Heritage Market'!M63</f>
        <v>172930.15021338858</v>
      </c>
      <c r="N63" s="80">
        <f t="shared" si="25"/>
        <v>8.5507237766837014E-3</v>
      </c>
      <c r="O63" s="134">
        <f>'POD Breezeway'!O63+'Express GL'!O63+'Starbucks GL-SBX Truck'!O63+'Miro''s'!O63+'Faculty Club'!O63+'Almazar  &amp; Brand X'!O63+'Burger King'!O63+Bustelo!O63+Chilis!O63+Einstein!O63+Jamba!O63+'Pollo Tropical'!O63+'Subway GC'!O63+'Sushi Maki'!O63+Panda!O63+'Starbucks Mango'!O63+'Taco Bell'!O63+'Chick-fil-A'!O63+Dunkin!O63+Chipotle!O63+Sergios!O63+'Moes PG5'!O63+'Papa Johns'!O63+Salad!O63+'Half Moon &amp; Tropical Smoothie'!O63+'Athletic Concessions - Kitchen'!O63+'Starbucks BBC'!O63+'Moes BBC'!O63+'Grille Works BBC'!O63+'Subway BBC'!O63+'Market Pavillion'!O63+'Chic Fil A BBC'!O63+Panera!O63+'Heritage Market'!O63</f>
        <v>175694.06017824926</v>
      </c>
      <c r="P63" s="80">
        <f t="shared" si="26"/>
        <v>8.5329351139574652E-3</v>
      </c>
      <c r="Q63" s="134">
        <f>'POD Breezeway'!Q63+'Express GL'!Q63+'Starbucks GL-SBX Truck'!Q63+'Miro''s'!Q63+'Faculty Club'!Q63+'Almazar  &amp; Brand X'!Q63+'Burger King'!Q63+Bustelo!Q63+Chilis!Q63+Einstein!Q63+Jamba!Q63+'Pollo Tropical'!Q63+'Subway GC'!Q63+'Sushi Maki'!Q63+Panda!Q63+'Starbucks Mango'!Q63+'Taco Bell'!Q63+'Chick-fil-A'!Q63+Dunkin!Q63+Chipotle!Q63+Sergios!Q63+'Moes PG5'!Q63+'Papa Johns'!Q63+Salad!Q63+'Half Moon &amp; Tropical Smoothie'!Q63+'Athletic Concessions - Kitchen'!Q63+'Starbucks BBC'!Q63+'Moes BBC'!Q63+'Grille Works BBC'!Q63+'Subway BBC'!Q63+'Market Pavillion'!Q63+'Chic Fil A BBC'!Q63+Panera!Q63+'Heritage Market'!Q63</f>
        <v>178508.39659228126</v>
      </c>
      <c r="R63" s="80">
        <f t="shared" si="27"/>
        <v>8.515355281813599E-3</v>
      </c>
      <c r="S63" s="134">
        <f>'POD Breezeway'!S63+'Express GL'!S63+'Starbucks GL-SBX Truck'!S63+'Miro''s'!S63+'Faculty Club'!S63+'Almazar  &amp; Brand X'!S63+'Burger King'!S63+Bustelo!S63+Chilis!S63+Einstein!S63+Jamba!S63+'Pollo Tropical'!S63+'Subway GC'!S63+'Sushi Maki'!S63+Panda!S63+'Starbucks Mango'!S63+'Taco Bell'!S63+'Chick-fil-A'!S63+Dunkin!S63+Chipotle!S63+Sergios!S63+'Moes PG5'!S63+'Papa Johns'!S63+Salad!S63+'Half Moon &amp; Tropical Smoothie'!S63+'Athletic Concessions - Kitchen'!S63+'Starbucks BBC'!S63+'Moes BBC'!S63+'Grille Works BBC'!S63+'Subway BBC'!S63+'Market Pavillion'!S63+'Chic Fil A BBC'!S63+Panera!S63+'Heritage Market'!S63</f>
        <v>181368.20584649907</v>
      </c>
      <c r="T63" s="80">
        <f t="shared" si="28"/>
        <v>8.4977046663951457E-3</v>
      </c>
      <c r="U63" s="134">
        <f>'POD Breezeway'!U63+'Express GL'!U63+'Starbucks GL-SBX Truck'!U63+'Miro''s'!U63+'Faculty Club'!U63+'Almazar  &amp; Brand X'!U63+'Burger King'!U63+Bustelo!U63+Chilis!U63+Einstein!U63+Jamba!U63+'Pollo Tropical'!U63+'Subway GC'!U63+'Sushi Maki'!U63+Panda!U63+'Starbucks Mango'!U63+'Taco Bell'!U63+'Chick-fil-A'!U63+Dunkin!U63+Chipotle!U63+Sergios!U63+'Moes PG5'!U63+'Papa Johns'!U63+Salad!U63+'Half Moon &amp; Tropical Smoothie'!U63+'Athletic Concessions - Kitchen'!U63+'Starbucks BBC'!U63+'Moes BBC'!U63+'Grille Works BBC'!U63+'Subway BBC'!U63+'Market Pavillion'!U63+'Chic Fil A BBC'!U63+Panera!U63+'Heritage Market'!U63</f>
        <v>198170.02371560657</v>
      </c>
      <c r="V63" s="80">
        <f t="shared" si="29"/>
        <v>8.8098419205195188E-3</v>
      </c>
    </row>
    <row r="64" spans="1:22" ht="12.75" customHeight="1">
      <c r="A64" s="221" t="s">
        <v>395</v>
      </c>
      <c r="B64" s="222"/>
      <c r="C64" s="134">
        <f>'POD Breezeway'!C64+'Express GL'!C64+'Starbucks GL-SBX Truck'!C64+'Miro''s'!C64+'Faculty Club'!C64+'Almazar  &amp; Brand X'!C64+'Burger King'!C64+Bustelo!C64+Chilis!C64+Einstein!C64+Jamba!C64+'Pollo Tropical'!C64+'Subway GC'!C64+'Sushi Maki'!C64+Panda!C64+'Starbucks Mango'!C64+'Taco Bell'!C64+'Chick-fil-A'!C64+Dunkin!C64+Chipotle!C64+Sergios!C64+'Moes PG5'!C64+'Papa Johns'!C64+Salad!C64+'Half Moon &amp; Tropical Smoothie'!C64+'Athletic Concessions - Kitchen'!C64+'Starbucks BBC'!C64+'Moes BBC'!C64+'Grille Works BBC'!C64+'Subway BBC'!C64+'Market Pavillion'!C64+'Chic Fil A BBC'!C64+Panera!C64+'Heritage Market'!C64</f>
        <v>74761.437023999984</v>
      </c>
      <c r="D64" s="80">
        <f t="shared" si="20"/>
        <v>4.7035156114062261E-3</v>
      </c>
      <c r="E64" s="134">
        <f>'POD Breezeway'!E64+'Express GL'!E64+'Starbucks GL-SBX Truck'!E64+'Miro''s'!E64+'Faculty Club'!E64+'Almazar  &amp; Brand X'!E64+'Burger King'!E64+Bustelo!E64+Chilis!E64+Einstein!E64+Jamba!E64+'Pollo Tropical'!E64+'Subway GC'!E64+'Sushi Maki'!E64+Panda!E64+'Starbucks Mango'!E64+'Taco Bell'!E64+'Chick-fil-A'!E64+Dunkin!E64+Chipotle!E64+Sergios!E64+'Moes PG5'!E64+'Papa Johns'!E64+Salad!E64+'Half Moon &amp; Tropical Smoothie'!E64+'Athletic Concessions - Kitchen'!E64+'Starbucks BBC'!E64+'Moes BBC'!E64+'Grille Works BBC'!E64+'Subway BBC'!E64+'Market Pavillion'!E64+'Chic Fil A BBC'!E64+Panera!E64+'Heritage Market'!E64</f>
        <v>81581.999999999985</v>
      </c>
      <c r="F64" s="80">
        <f t="shared" si="21"/>
        <v>4.7084448661433133E-3</v>
      </c>
      <c r="G64" s="134">
        <f>'POD Breezeway'!G64+'Express GL'!G64+'Starbucks GL-SBX Truck'!G64+'Miro''s'!G64+'Faculty Club'!G64+'Almazar  &amp; Brand X'!G64+'Burger King'!G64+Bustelo!G64+Chilis!G64+Einstein!G64+Jamba!G64+'Pollo Tropical'!G64+'Subway GC'!G64+'Sushi Maki'!G64+Panda!G64+'Starbucks Mango'!G64+'Taco Bell'!G64+'Chick-fil-A'!G64+Dunkin!G64+Chipotle!G64+Sergios!G64+'Moes PG5'!G64+'Papa Johns'!G64+Salad!G64+'Half Moon &amp; Tropical Smoothie'!G64+'Athletic Concessions - Kitchen'!G64+'Starbucks BBC'!G64+'Moes BBC'!G64+'Grille Works BBC'!G64+'Subway BBC'!G64+'Market Pavillion'!G64+'Chic Fil A BBC'!G64+Panera!G64+'Heritage Market'!G64</f>
        <v>90161.183999999979</v>
      </c>
      <c r="H64" s="80">
        <f t="shared" si="22"/>
        <v>4.7153754439211923E-3</v>
      </c>
      <c r="I64" s="134">
        <f>'POD Breezeway'!I64+'Express GL'!I64+'Starbucks GL-SBX Truck'!I64+'Miro''s'!I64+'Faculty Club'!I64+'Almazar  &amp; Brand X'!I64+'Burger King'!I64+Bustelo!I64+Chilis!I64+Einstein!I64+Jamba!I64+'Pollo Tropical'!I64+'Subway GC'!I64+'Sushi Maki'!I64+Panda!I64+'Starbucks Mango'!I64+'Taco Bell'!I64+'Chick-fil-A'!I64+Dunkin!I64+Chipotle!I64+Sergios!I64+'Moes PG5'!I64+'Papa Johns'!I64+Salad!I64+'Half Moon &amp; Tropical Smoothie'!I64+'Athletic Concessions - Kitchen'!I64+'Starbucks BBC'!I64+'Moes BBC'!I64+'Grille Works BBC'!I64+'Subway BBC'!I64+'Market Pavillion'!I64+'Chic Fil A BBC'!I64+Panera!I64+'Heritage Market'!I64</f>
        <v>92008.013759999973</v>
      </c>
      <c r="J64" s="80">
        <f t="shared" si="23"/>
        <v>4.7154148439431838E-3</v>
      </c>
      <c r="K64" s="134">
        <f>'POD Breezeway'!K64+'Express GL'!K64+'Starbucks GL-SBX Truck'!K64+'Miro''s'!K64+'Faculty Club'!K64+'Almazar  &amp; Brand X'!K64+'Burger King'!K64+Bustelo!K64+Chilis!K64+Einstein!K64+Jamba!K64+'Pollo Tropical'!K64+'Subway GC'!K64+'Sushi Maki'!K64+Panda!K64+'Starbucks Mango'!K64+'Taco Bell'!K64+'Chick-fil-A'!K64+Dunkin!K64+Chipotle!K64+Sergios!K64+'Moes PG5'!K64+'Papa Johns'!K64+Salad!K64+'Half Moon &amp; Tropical Smoothie'!K64+'Athletic Concessions - Kitchen'!K64+'Starbucks BBC'!K64+'Moes BBC'!K64+'Grille Works BBC'!K64+'Subway BBC'!K64+'Market Pavillion'!K64+'Chic Fil A BBC'!K64+Panera!K64+'Heritage Market'!K64</f>
        <v>93667.444732799981</v>
      </c>
      <c r="L64" s="80">
        <f t="shared" si="24"/>
        <v>4.7152545201582718E-3</v>
      </c>
      <c r="M64" s="134">
        <f>'POD Breezeway'!M64+'Express GL'!M64+'Starbucks GL-SBX Truck'!M64+'Miro''s'!M64+'Faculty Club'!M64+'Almazar  &amp; Brand X'!M64+'Burger King'!M64+Bustelo!M64+Chilis!M64+Einstein!M64+Jamba!M64+'Pollo Tropical'!M64+'Subway GC'!M64+'Sushi Maki'!M64+Panda!M64+'Starbucks Mango'!M64+'Taco Bell'!M64+'Chick-fil-A'!M64+Dunkin!M64+Chipotle!M64+Sergios!M64+'Moes PG5'!M64+'Papa Johns'!M64+Salad!M64+'Half Moon &amp; Tropical Smoothie'!M64+'Athletic Concessions - Kitchen'!M64+'Starbucks BBC'!M64+'Moes BBC'!M64+'Grille Works BBC'!M64+'Subway BBC'!M64+'Market Pavillion'!M64+'Chic Fil A BBC'!M64+Panera!M64+'Heritage Market'!M64</f>
        <v>95358.257032032008</v>
      </c>
      <c r="N64" s="80">
        <f t="shared" si="25"/>
        <v>4.7150951681980517E-3</v>
      </c>
      <c r="O64" s="134">
        <f>'POD Breezeway'!O64+'Express GL'!O64+'Starbucks GL-SBX Truck'!O64+'Miro''s'!O64+'Faculty Club'!O64+'Almazar  &amp; Brand X'!O64+'Burger King'!O64+Bustelo!O64+Chilis!O64+Einstein!O64+Jamba!O64+'Pollo Tropical'!O64+'Subway GC'!O64+'Sushi Maki'!O64+Panda!O64+'Starbucks Mango'!O64+'Taco Bell'!O64+'Chick-fil-A'!O64+Dunkin!O64+Chipotle!O64+Sergios!O64+'Moes PG5'!O64+'Papa Johns'!O64+Salad!O64+'Half Moon &amp; Tropical Smoothie'!O64+'Athletic Concessions - Kitchen'!O64+'Starbucks BBC'!O64+'Moes BBC'!O64+'Grille Works BBC'!O64+'Subway BBC'!O64+'Market Pavillion'!O64+'Chic Fil A BBC'!O64+Panera!O64+'Heritage Market'!O64</f>
        <v>97081.060211294389</v>
      </c>
      <c r="P64" s="80">
        <f t="shared" si="26"/>
        <v>4.7149367869166363E-3</v>
      </c>
      <c r="Q64" s="134">
        <f>'POD Breezeway'!Q64+'Express GL'!Q64+'Starbucks GL-SBX Truck'!Q64+'Miro''s'!Q64+'Faculty Club'!Q64+'Almazar  &amp; Brand X'!Q64+'Burger King'!Q64+Bustelo!Q64+Chilis!Q64+Einstein!Q64+Jamba!Q64+'Pollo Tropical'!Q64+'Subway GC'!Q64+'Sushi Maki'!Q64+Panda!Q64+'Starbucks Mango'!Q64+'Taco Bell'!Q64+'Chick-fil-A'!Q64+Dunkin!Q64+Chipotle!Q64+Sergios!Q64+'Moes PG5'!Q64+'Papa Johns'!Q64+Salad!Q64+'Half Moon &amp; Tropical Smoothie'!Q64+'Athletic Concessions - Kitchen'!Q64+'Starbucks BBC'!Q64+'Moes BBC'!Q64+'Grille Works BBC'!Q64+'Subway BBC'!Q64+'Market Pavillion'!Q64+'Chic Fil A BBC'!Q64+Panera!Q64+'Heritage Market'!Q64</f>
        <v>98836.475834528246</v>
      </c>
      <c r="R64" s="80">
        <f t="shared" si="27"/>
        <v>4.7147793750884227E-3</v>
      </c>
      <c r="S64" s="134">
        <f>'POD Breezeway'!S64+'Express GL'!S64+'Starbucks GL-SBX Truck'!S64+'Miro''s'!S64+'Faculty Club'!S64+'Almazar  &amp; Brand X'!S64+'Burger King'!S64+Bustelo!S64+Chilis!S64+Einstein!S64+Jamba!S64+'Pollo Tropical'!S64+'Subway GC'!S64+'Sushi Maki'!S64+Panda!S64+'Starbucks Mango'!S64+'Taco Bell'!S64+'Chick-fil-A'!S64+Dunkin!S64+Chipotle!S64+Sergios!S64+'Moes PG5'!S64+'Papa Johns'!S64+Salad!S64+'Half Moon &amp; Tropical Smoothie'!S64+'Athletic Concessions - Kitchen'!S64+'Starbucks BBC'!S64+'Moes BBC'!S64+'Grille Works BBC'!S64+'Subway BBC'!S64+'Market Pavillion'!S64+'Chic Fil A BBC'!S64+Panera!S64+'Heritage Market'!S64</f>
        <v>100625.13771441689</v>
      </c>
      <c r="T64" s="80">
        <f t="shared" si="28"/>
        <v>4.7146229314092326E-3</v>
      </c>
      <c r="U64" s="134">
        <f>'POD Breezeway'!U64+'Express GL'!U64+'Starbucks GL-SBX Truck'!U64+'Miro''s'!U64+'Faculty Club'!U64+'Almazar  &amp; Brand X'!U64+'Burger King'!U64+Bustelo!U64+Chilis!U64+Einstein!U64+Jamba!U64+'Pollo Tropical'!U64+'Subway GC'!U64+'Sushi Maki'!U64+Panda!U64+'Starbucks Mango'!U64+'Taco Bell'!U64+'Chick-fil-A'!U64+Dunkin!U64+Chipotle!U64+Sergios!U64+'Moes PG5'!U64+'Papa Johns'!U64+Salad!U64+'Half Moon &amp; Tropical Smoothie'!U64+'Athletic Concessions - Kitchen'!U64+'Starbucks BBC'!U64+'Moes BBC'!U64+'Grille Works BBC'!U64+'Subway BBC'!U64+'Market Pavillion'!U64+'Chic Fil A BBC'!U64+Panera!U64+'Heritage Market'!U64</f>
        <v>106113.32013248655</v>
      </c>
      <c r="V64" s="80">
        <f t="shared" si="29"/>
        <v>4.7173712678678249E-3</v>
      </c>
    </row>
    <row r="65" spans="1:22" ht="12.75" customHeight="1">
      <c r="A65" s="221" t="s">
        <v>396</v>
      </c>
      <c r="B65" s="222"/>
      <c r="C65" s="134">
        <f>'POD Breezeway'!C65+'Express GL'!C65+'Starbucks GL-SBX Truck'!C65+'Miro''s'!C65+'Faculty Club'!C65+'Almazar  &amp; Brand X'!C65+'Burger King'!C65+Bustelo!C65+Chilis!C65+Einstein!C65+Jamba!C65+'Pollo Tropical'!C65+'Subway GC'!C65+'Sushi Maki'!C65+Panda!C65+'Starbucks Mango'!C65+'Taco Bell'!C65+'Chick-fil-A'!C65+Dunkin!C65+Chipotle!C65+Sergios!C65+'Moes PG5'!C65+'Papa Johns'!C65+Salad!C65+'Half Moon &amp; Tropical Smoothie'!C65+'Athletic Concessions - Kitchen'!C65+'Starbucks BBC'!C65+'Moes BBC'!C65+'Grille Works BBC'!C65+'Subway BBC'!C65+'Market Pavillion'!C65+'Chic Fil A BBC'!C65+Panera!C65+'Heritage Market'!C65</f>
        <v>7787.6496900000002</v>
      </c>
      <c r="D65" s="80">
        <f t="shared" si="20"/>
        <v>4.8994954285481529E-4</v>
      </c>
      <c r="E65" s="134">
        <f>'POD Breezeway'!E65+'Express GL'!E65+'Starbucks GL-SBX Truck'!E65+'Miro''s'!E65+'Faculty Club'!E65+'Almazar  &amp; Brand X'!E65+'Burger King'!E65+Bustelo!E65+Chilis!E65+Einstein!E65+Jamba!E65+'Pollo Tropical'!E65+'Subway GC'!E65+'Sushi Maki'!E65+Panda!E65+'Starbucks Mango'!E65+'Taco Bell'!E65+'Chick-fil-A'!E65+Dunkin!E65+Chipotle!E65+Sergios!E65+'Moes PG5'!E65+'Papa Johns'!E65+Salad!E65+'Half Moon &amp; Tropical Smoothie'!E65+'Athletic Concessions - Kitchen'!E65+'Starbucks BBC'!E65+'Moes BBC'!E65+'Grille Works BBC'!E65+'Subway BBC'!E65+'Market Pavillion'!E65+'Chic Fil A BBC'!E65+Panera!E65+'Heritage Market'!E65</f>
        <v>8498.125</v>
      </c>
      <c r="F65" s="80">
        <f t="shared" si="21"/>
        <v>4.9046300688992852E-4</v>
      </c>
      <c r="G65" s="134">
        <f>'POD Breezeway'!G65+'Express GL'!G65+'Starbucks GL-SBX Truck'!G65+'Miro''s'!G65+'Faculty Club'!G65+'Almazar  &amp; Brand X'!G65+'Burger King'!G65+Bustelo!G65+Chilis!G65+Einstein!G65+Jamba!G65+'Pollo Tropical'!G65+'Subway GC'!G65+'Sushi Maki'!G65+Panda!G65+'Starbucks Mango'!G65+'Taco Bell'!G65+'Chick-fil-A'!G65+Dunkin!G65+Chipotle!G65+Sergios!G65+'Moes PG5'!G65+'Papa Johns'!G65+Salad!G65+'Half Moon &amp; Tropical Smoothie'!G65+'Athletic Concessions - Kitchen'!G65+'Starbucks BBC'!G65+'Moes BBC'!G65+'Grille Works BBC'!G65+'Subway BBC'!G65+'Market Pavillion'!G65+'Chic Fil A BBC'!G65+Panera!G65+'Heritage Market'!G65</f>
        <v>9391.7900000000009</v>
      </c>
      <c r="H65" s="80">
        <f t="shared" si="22"/>
        <v>4.9118494207512438E-4</v>
      </c>
      <c r="I65" s="134">
        <f>'POD Breezeway'!I65+'Express GL'!I65+'Starbucks GL-SBX Truck'!I65+'Miro''s'!I65+'Faculty Club'!I65+'Almazar  &amp; Brand X'!I65+'Burger King'!I65+Bustelo!I65+Chilis!I65+Einstein!I65+Jamba!I65+'Pollo Tropical'!I65+'Subway GC'!I65+'Sushi Maki'!I65+Panda!I65+'Starbucks Mango'!I65+'Taco Bell'!I65+'Chick-fil-A'!I65+Dunkin!I65+Chipotle!I65+Sergios!I65+'Moes PG5'!I65+'Papa Johns'!I65+Salad!I65+'Half Moon &amp; Tropical Smoothie'!I65+'Athletic Concessions - Kitchen'!I65+'Starbucks BBC'!I65+'Moes BBC'!I65+'Grille Works BBC'!I65+'Subway BBC'!I65+'Market Pavillion'!I65+'Chic Fil A BBC'!I65+Panera!I65+'Heritage Market'!I65</f>
        <v>9584.168099999999</v>
      </c>
      <c r="J65" s="80">
        <f t="shared" si="23"/>
        <v>4.9118904624408175E-4</v>
      </c>
      <c r="K65" s="134">
        <f>'POD Breezeway'!K65+'Express GL'!K65+'Starbucks GL-SBX Truck'!K65+'Miro''s'!K65+'Faculty Club'!K65+'Almazar  &amp; Brand X'!K65+'Burger King'!K65+Bustelo!K65+Chilis!K65+Einstein!K65+Jamba!K65+'Pollo Tropical'!K65+'Subway GC'!K65+'Sushi Maki'!K65+Panda!K65+'Starbucks Mango'!K65+'Taco Bell'!K65+'Chick-fil-A'!K65+Dunkin!K65+Chipotle!K65+Sergios!K65+'Moes PG5'!K65+'Papa Johns'!K65+Salad!K65+'Half Moon &amp; Tropical Smoothie'!K65+'Athletic Concessions - Kitchen'!K65+'Starbucks BBC'!K65+'Moes BBC'!K65+'Grille Works BBC'!K65+'Subway BBC'!K65+'Market Pavillion'!K65+'Chic Fil A BBC'!K65+Panera!K65+'Heritage Market'!K65</f>
        <v>9757.0254930000028</v>
      </c>
      <c r="L65" s="80">
        <f t="shared" si="24"/>
        <v>4.9117234584982014E-4</v>
      </c>
      <c r="M65" s="134">
        <f>'POD Breezeway'!M65+'Express GL'!M65+'Starbucks GL-SBX Truck'!M65+'Miro''s'!M65+'Faculty Club'!M65+'Almazar  &amp; Brand X'!M65+'Burger King'!M65+Bustelo!M65+Chilis!M65+Einstein!M65+Jamba!M65+'Pollo Tropical'!M65+'Subway GC'!M65+'Sushi Maki'!M65+Panda!M65+'Starbucks Mango'!M65+'Taco Bell'!M65+'Chick-fil-A'!M65+Dunkin!M65+Chipotle!M65+Sergios!M65+'Moes PG5'!M65+'Papa Johns'!M65+Salad!M65+'Half Moon &amp; Tropical Smoothie'!M65+'Athletic Concessions - Kitchen'!M65+'Starbucks BBC'!M65+'Moes BBC'!M65+'Grille Works BBC'!M65+'Subway BBC'!M65+'Market Pavillion'!M65+'Chic Fil A BBC'!M65+Panera!M65+'Heritage Market'!M65</f>
        <v>9933.1517741700009</v>
      </c>
      <c r="N65" s="80">
        <f t="shared" si="25"/>
        <v>4.9115574668729702E-4</v>
      </c>
      <c r="O65" s="134">
        <f>'POD Breezeway'!O65+'Express GL'!O65+'Starbucks GL-SBX Truck'!O65+'Miro''s'!O65+'Faculty Club'!O65+'Almazar  &amp; Brand X'!O65+'Burger King'!O65+Bustelo!O65+Chilis!O65+Einstein!O65+Jamba!O65+'Pollo Tropical'!O65+'Subway GC'!O65+'Sushi Maki'!O65+Panda!O65+'Starbucks Mango'!O65+'Taco Bell'!O65+'Chick-fil-A'!O65+Dunkin!O65+Chipotle!O65+Sergios!O65+'Moes PG5'!O65+'Papa Johns'!O65+Salad!O65+'Half Moon &amp; Tropical Smoothie'!O65+'Athletic Concessions - Kitchen'!O65+'Starbucks BBC'!O65+'Moes BBC'!O65+'Grille Works BBC'!O65+'Subway BBC'!O65+'Market Pavillion'!O65+'Chic Fil A BBC'!O65+Panera!O65+'Heritage Market'!O65</f>
        <v>10112.610438676498</v>
      </c>
      <c r="P65" s="80">
        <f t="shared" si="26"/>
        <v>4.9113924863714963E-4</v>
      </c>
      <c r="Q65" s="134">
        <f>'POD Breezeway'!Q65+'Express GL'!Q65+'Starbucks GL-SBX Truck'!Q65+'Miro''s'!Q65+'Faculty Club'!Q65+'Almazar  &amp; Brand X'!Q65+'Burger King'!Q65+Bustelo!Q65+Chilis!Q65+Einstein!Q65+Jamba!Q65+'Pollo Tropical'!Q65+'Subway GC'!Q65+'Sushi Maki'!Q65+Panda!Q65+'Starbucks Mango'!Q65+'Taco Bell'!Q65+'Chick-fil-A'!Q65+Dunkin!Q65+Chipotle!Q65+Sergios!Q65+'Moes PG5'!Q65+'Papa Johns'!Q65+Salad!Q65+'Half Moon &amp; Tropical Smoothie'!Q65+'Athletic Concessions - Kitchen'!Q65+'Starbucks BBC'!Q65+'Moes BBC'!Q65+'Grille Works BBC'!Q65+'Subway BBC'!Q65+'Market Pavillion'!Q65+'Chic Fil A BBC'!Q65+Panera!Q65+'Heritage Market'!Q65</f>
        <v>10295.466232763363</v>
      </c>
      <c r="R65" s="80">
        <f t="shared" si="27"/>
        <v>4.9112285157171091E-4</v>
      </c>
      <c r="S65" s="134">
        <f>'POD Breezeway'!S65+'Express GL'!S65+'Starbucks GL-SBX Truck'!S65+'Miro''s'!S65+'Faculty Club'!S65+'Almazar  &amp; Brand X'!S65+'Burger King'!S65+Bustelo!S65+Chilis!S65+Einstein!S65+Jamba!S65+'Pollo Tropical'!S65+'Subway GC'!S65+'Sushi Maki'!S65+Panda!S65+'Starbucks Mango'!S65+'Taco Bell'!S65+'Chick-fil-A'!S65+Dunkin!S65+Chipotle!S65+Sergios!S65+'Moes PG5'!S65+'Papa Johns'!S65+Salad!S65+'Half Moon &amp; Tropical Smoothie'!S65+'Athletic Concessions - Kitchen'!S65+'Starbucks BBC'!S65+'Moes BBC'!S65+'Grille Works BBC'!S65+'Subway BBC'!S65+'Market Pavillion'!S65+'Chic Fil A BBC'!S65+Panera!S65+'Heritage Market'!S65</f>
        <v>10481.785178585094</v>
      </c>
      <c r="T65" s="80">
        <f t="shared" si="28"/>
        <v>4.9110655535512847E-4</v>
      </c>
      <c r="U65" s="134">
        <f>'POD Breezeway'!U65+'Express GL'!U65+'Starbucks GL-SBX Truck'!U65+'Miro''s'!U65+'Faculty Club'!U65+'Almazar  &amp; Brand X'!U65+'Burger King'!U65+Bustelo!U65+Chilis!U65+Einstein!U65+Jamba!U65+'Pollo Tropical'!U65+'Subway GC'!U65+'Sushi Maki'!U65+Panda!U65+'Starbucks Mango'!U65+'Taco Bell'!U65+'Chick-fil-A'!U65+Dunkin!U65+Chipotle!U65+Sergios!U65+'Moes PG5'!U65+'Papa Johns'!U65+Salad!U65+'Half Moon &amp; Tropical Smoothie'!U65+'Athletic Concessions - Kitchen'!U65+'Starbucks BBC'!U65+'Moes BBC'!U65+'Grille Works BBC'!U65+'Subway BBC'!U65+'Market Pavillion'!U65+'Chic Fil A BBC'!U65+Panera!U65+'Heritage Market'!U65</f>
        <v>11053.47084713402</v>
      </c>
      <c r="V65" s="80">
        <f t="shared" si="29"/>
        <v>4.9139284040289864E-4</v>
      </c>
    </row>
    <row r="66" spans="1:22" ht="12.75" customHeight="1">
      <c r="A66" s="221" t="s">
        <v>397</v>
      </c>
      <c r="B66" s="222"/>
      <c r="C66" s="134">
        <f>'POD Breezeway'!C66+'Express GL'!C66+'Starbucks GL-SBX Truck'!C66+'Miro''s'!C66+'Faculty Club'!C66+'Almazar  &amp; Brand X'!C66+'Burger King'!C66+Bustelo!C66+Chilis!C66+Einstein!C66+Jamba!C66+'Pollo Tropical'!C66+'Subway GC'!C66+'Sushi Maki'!C66+Panda!C66+'Starbucks Mango'!C66+'Taco Bell'!C66+'Chick-fil-A'!C66+Dunkin!C66+Chipotle!C66+Sergios!C66+'Moes PG5'!C66+'Papa Johns'!C66+Salad!C66+'Half Moon &amp; Tropical Smoothie'!C66+'Athletic Concessions - Kitchen'!C66+'Starbucks BBC'!C66+'Moes BBC'!C66+'Grille Works BBC'!C66+'Subway BBC'!C66+'Market Pavillion'!C66+'Chic Fil A BBC'!C66+Panera!C66+'Heritage Market'!C66</f>
        <v>43610.838264000013</v>
      </c>
      <c r="D66" s="80">
        <f t="shared" si="20"/>
        <v>2.7437174399869662E-3</v>
      </c>
      <c r="E66" s="134">
        <f>'POD Breezeway'!E66+'Express GL'!E66+'Starbucks GL-SBX Truck'!E66+'Miro''s'!E66+'Faculty Club'!E66+'Almazar  &amp; Brand X'!E66+'Burger King'!E66+Bustelo!E66+Chilis!E66+Einstein!E66+Jamba!E66+'Pollo Tropical'!E66+'Subway GC'!E66+'Sushi Maki'!E66+Panda!E66+'Starbucks Mango'!E66+'Taco Bell'!E66+'Chick-fil-A'!E66+Dunkin!E66+Chipotle!E66+Sergios!E66+'Moes PG5'!E66+'Papa Johns'!E66+Salad!E66+'Half Moon &amp; Tropical Smoothie'!E66+'Athletic Concessions - Kitchen'!E66+'Starbucks BBC'!E66+'Moes BBC'!E66+'Grille Works BBC'!E66+'Subway BBC'!E66+'Market Pavillion'!E66+'Chic Fil A BBC'!E66+Panera!E66+'Heritage Market'!E66</f>
        <v>47589.499999999993</v>
      </c>
      <c r="F66" s="80">
        <f t="shared" si="21"/>
        <v>2.7465928385835992E-3</v>
      </c>
      <c r="G66" s="134">
        <f>'POD Breezeway'!G66+'Express GL'!G66+'Starbucks GL-SBX Truck'!G66+'Miro''s'!G66+'Faculty Club'!G66+'Almazar  &amp; Brand X'!G66+'Burger King'!G66+Bustelo!G66+Chilis!G66+Einstein!G66+Jamba!G66+'Pollo Tropical'!G66+'Subway GC'!G66+'Sushi Maki'!G66+Panda!G66+'Starbucks Mango'!G66+'Taco Bell'!G66+'Chick-fil-A'!G66+Dunkin!G66+Chipotle!G66+Sergios!G66+'Moes PG5'!G66+'Papa Johns'!G66+Salad!G66+'Half Moon &amp; Tropical Smoothie'!G66+'Athletic Concessions - Kitchen'!G66+'Starbucks BBC'!G66+'Moes BBC'!G66+'Grille Works BBC'!G66+'Subway BBC'!G66+'Market Pavillion'!G66+'Chic Fil A BBC'!G66+Panera!G66+'Heritage Market'!G66</f>
        <v>52594.023999999998</v>
      </c>
      <c r="H66" s="80">
        <f t="shared" si="22"/>
        <v>2.7506356756206961E-3</v>
      </c>
      <c r="I66" s="134">
        <f>'POD Breezeway'!I66+'Express GL'!I66+'Starbucks GL-SBX Truck'!I66+'Miro''s'!I66+'Faculty Club'!I66+'Almazar  &amp; Brand X'!I66+'Burger King'!I66+Bustelo!I66+Chilis!I66+Einstein!I66+Jamba!I66+'Pollo Tropical'!I66+'Subway GC'!I66+'Sushi Maki'!I66+Panda!I66+'Starbucks Mango'!I66+'Taco Bell'!I66+'Chick-fil-A'!I66+Dunkin!I66+Chipotle!I66+Sergios!I66+'Moes PG5'!I66+'Papa Johns'!I66+Salad!I66+'Half Moon &amp; Tropical Smoothie'!I66+'Athletic Concessions - Kitchen'!I66+'Starbucks BBC'!I66+'Moes BBC'!I66+'Grille Works BBC'!I66+'Subway BBC'!I66+'Market Pavillion'!I66+'Chic Fil A BBC'!I66+Panera!I66+'Heritage Market'!I66</f>
        <v>53671.341360000006</v>
      </c>
      <c r="J66" s="80">
        <f t="shared" si="23"/>
        <v>2.7506586589668581E-3</v>
      </c>
      <c r="K66" s="134">
        <f>'POD Breezeway'!K66+'Express GL'!K66+'Starbucks GL-SBX Truck'!K66+'Miro''s'!K66+'Faculty Club'!K66+'Almazar  &amp; Brand X'!K66+'Burger King'!K66+Bustelo!K66+Chilis!K66+Einstein!K66+Jamba!K66+'Pollo Tropical'!K66+'Subway GC'!K66+'Sushi Maki'!K66+Panda!K66+'Starbucks Mango'!K66+'Taco Bell'!K66+'Chick-fil-A'!K66+Dunkin!K66+Chipotle!K66+Sergios!K66+'Moes PG5'!K66+'Papa Johns'!K66+Salad!K66+'Half Moon &amp; Tropical Smoothie'!K66+'Athletic Concessions - Kitchen'!K66+'Starbucks BBC'!K66+'Moes BBC'!K66+'Grille Works BBC'!K66+'Subway BBC'!K66+'Market Pavillion'!K66+'Chic Fil A BBC'!K66+Panera!K66+'Heritage Market'!K66</f>
        <v>54639.342760800006</v>
      </c>
      <c r="L66" s="80">
        <f t="shared" si="24"/>
        <v>2.7505651367589925E-3</v>
      </c>
      <c r="M66" s="134">
        <f>'POD Breezeway'!M66+'Express GL'!M66+'Starbucks GL-SBX Truck'!M66+'Miro''s'!M66+'Faculty Club'!M66+'Almazar  &amp; Brand X'!M66+'Burger King'!M66+Bustelo!M66+Chilis!M66+Einstein!M66+Jamba!M66+'Pollo Tropical'!M66+'Subway GC'!M66+'Sushi Maki'!M66+Panda!M66+'Starbucks Mango'!M66+'Taco Bell'!M66+'Chick-fil-A'!M66+Dunkin!M66+Chipotle!M66+Sergios!M66+'Moes PG5'!M66+'Papa Johns'!M66+Salad!M66+'Half Moon &amp; Tropical Smoothie'!M66+'Athletic Concessions - Kitchen'!M66+'Starbucks BBC'!M66+'Moes BBC'!M66+'Grille Works BBC'!M66+'Subway BBC'!M66+'Market Pavillion'!M66+'Chic Fil A BBC'!M66+Panera!M66+'Heritage Market'!M66</f>
        <v>55625.649935352005</v>
      </c>
      <c r="N66" s="80">
        <f t="shared" si="25"/>
        <v>2.7504721814488636E-3</v>
      </c>
      <c r="O66" s="134">
        <f>'POD Breezeway'!O66+'Express GL'!O66+'Starbucks GL-SBX Truck'!O66+'Miro''s'!O66+'Faculty Club'!O66+'Almazar  &amp; Brand X'!O66+'Burger King'!O66+Bustelo!O66+Chilis!O66+Einstein!O66+Jamba!O66+'Pollo Tropical'!O66+'Subway GC'!O66+'Sushi Maki'!O66+Panda!O66+'Starbucks Mango'!O66+'Taco Bell'!O66+'Chick-fil-A'!O66+Dunkin!O66+Chipotle!O66+Sergios!O66+'Moes PG5'!O66+'Papa Johns'!O66+Salad!O66+'Half Moon &amp; Tropical Smoothie'!O66+'Athletic Concessions - Kitchen'!O66+'Starbucks BBC'!O66+'Moes BBC'!O66+'Grille Works BBC'!O66+'Subway BBC'!O66+'Market Pavillion'!O66+'Chic Fil A BBC'!O66+Panera!O66+'Heritage Market'!O66</f>
        <v>56630.618456588389</v>
      </c>
      <c r="P66" s="80">
        <f t="shared" si="26"/>
        <v>2.7503797923680378E-3</v>
      </c>
      <c r="Q66" s="134">
        <f>'POD Breezeway'!Q66+'Express GL'!Q66+'Starbucks GL-SBX Truck'!Q66+'Miro''s'!Q66+'Faculty Club'!Q66+'Almazar  &amp; Brand X'!Q66+'Burger King'!Q66+Bustelo!Q66+Chilis!Q66+Einstein!Q66+Jamba!Q66+'Pollo Tropical'!Q66+'Subway GC'!Q66+'Sushi Maki'!Q66+Panda!Q66+'Starbucks Mango'!Q66+'Taco Bell'!Q66+'Chick-fil-A'!Q66+Dunkin!Q66+Chipotle!Q66+Sergios!Q66+'Moes PG5'!Q66+'Papa Johns'!Q66+Salad!Q66+'Half Moon &amp; Tropical Smoothie'!Q66+'Athletic Concessions - Kitchen'!Q66+'Starbucks BBC'!Q66+'Moes BBC'!Q66+'Grille Works BBC'!Q66+'Subway BBC'!Q66+'Market Pavillion'!Q66+'Chic Fil A BBC'!Q66+Panera!Q66+'Heritage Market'!Q66</f>
        <v>57654.61090347483</v>
      </c>
      <c r="R66" s="80">
        <f t="shared" si="27"/>
        <v>2.7502879688015808E-3</v>
      </c>
      <c r="S66" s="134">
        <f>'POD Breezeway'!S66+'Express GL'!S66+'Starbucks GL-SBX Truck'!S66+'Miro''s'!S66+'Faculty Club'!S66+'Almazar  &amp; Brand X'!S66+'Burger King'!S66+Bustelo!S66+Chilis!S66+Einstein!S66+Jamba!S66+'Pollo Tropical'!S66+'Subway GC'!S66+'Sushi Maki'!S66+Panda!S66+'Starbucks Mango'!S66+'Taco Bell'!S66+'Chick-fil-A'!S66+Dunkin!S66+Chipotle!S66+Sergios!S66+'Moes PG5'!S66+'Papa Johns'!S66+Salad!S66+'Half Moon &amp; Tropical Smoothie'!S66+'Athletic Concessions - Kitchen'!S66+'Starbucks BBC'!S66+'Moes BBC'!S66+'Grille Works BBC'!S66+'Subway BBC'!S66+'Market Pavillion'!S66+'Chic Fil A BBC'!S66+Panera!S66+'Heritage Market'!S66</f>
        <v>58697.997000076517</v>
      </c>
      <c r="T66" s="80">
        <f t="shared" si="28"/>
        <v>2.7501967099887192E-3</v>
      </c>
      <c r="U66" s="134">
        <f>'POD Breezeway'!U66+'Express GL'!U66+'Starbucks GL-SBX Truck'!U66+'Miro''s'!U66+'Faculty Club'!U66+'Almazar  &amp; Brand X'!U66+'Burger King'!U66+Bustelo!U66+Chilis!U66+Einstein!U66+Jamba!U66+'Pollo Tropical'!U66+'Subway GC'!U66+'Sushi Maki'!U66+Panda!U66+'Starbucks Mango'!U66+'Taco Bell'!U66+'Chick-fil-A'!U66+Dunkin!U66+Chipotle!U66+Sergios!U66+'Moes PG5'!U66+'Papa Johns'!U66+Salad!U66+'Half Moon &amp; Tropical Smoothie'!U66+'Athletic Concessions - Kitchen'!U66+'Starbucks BBC'!U66+'Moes BBC'!U66+'Grille Works BBC'!U66+'Subway BBC'!U66+'Market Pavillion'!U66+'Chic Fil A BBC'!U66+Panera!U66+'Heritage Market'!U66</f>
        <v>61899.436743950508</v>
      </c>
      <c r="V66" s="80">
        <f t="shared" si="29"/>
        <v>2.751799906256232E-3</v>
      </c>
    </row>
    <row r="67" spans="1:22" ht="12.75" customHeight="1">
      <c r="A67" s="221" t="s">
        <v>398</v>
      </c>
      <c r="B67" s="222"/>
      <c r="C67" s="134">
        <f>'POD Breezeway'!C67+'Express GL'!C67+'Starbucks GL-SBX Truck'!C67+'Miro''s'!C67+'Faculty Club'!C67+'Almazar  &amp; Brand X'!C67+'Burger King'!C67+Bustelo!C67+Chilis!C67+Einstein!C67+Jamba!C67+'Pollo Tropical'!C67+'Subway GC'!C67+'Sushi Maki'!C67+Panda!C67+'Starbucks Mango'!C67+'Taco Bell'!C67+'Chick-fil-A'!C67+Dunkin!C67+Chipotle!C67+Sergios!C67+'Moes PG5'!C67+'Papa Johns'!C67+Salad!C67+'Half Moon &amp; Tropical Smoothie'!C67+'Athletic Concessions - Kitchen'!C67+'Starbucks BBC'!C67+'Moes BBC'!C67+'Grille Works BBC'!C67+'Subway BBC'!C67+'Market Pavillion'!C67+'Chic Fil A BBC'!C67+Panera!C67+'Heritage Market'!C67</f>
        <v>233629.49070000002</v>
      </c>
      <c r="D67" s="80">
        <f t="shared" si="20"/>
        <v>1.469848628564446E-2</v>
      </c>
      <c r="E67" s="134">
        <f>'POD Breezeway'!E67+'Express GL'!E67+'Starbucks GL-SBX Truck'!E67+'Miro''s'!E67+'Faculty Club'!E67+'Almazar  &amp; Brand X'!E67+'Burger King'!E67+Bustelo!E67+Chilis!E67+Einstein!E67+Jamba!E67+'Pollo Tropical'!E67+'Subway GC'!E67+'Sushi Maki'!E67+Panda!E67+'Starbucks Mango'!E67+'Taco Bell'!E67+'Chick-fil-A'!E67+Dunkin!E67+Chipotle!E67+Sergios!E67+'Moes PG5'!E67+'Papa Johns'!E67+Salad!E67+'Half Moon &amp; Tropical Smoothie'!E67+'Athletic Concessions - Kitchen'!E67+'Starbucks BBC'!E67+'Moes BBC'!E67+'Grille Works BBC'!E67+'Subway BBC'!E67+'Market Pavillion'!E67+'Chic Fil A BBC'!E67+Panera!E67+'Heritage Market'!E67</f>
        <v>254943.75</v>
      </c>
      <c r="F67" s="80">
        <f t="shared" si="21"/>
        <v>1.4713890206697855E-2</v>
      </c>
      <c r="G67" s="134">
        <f>'POD Breezeway'!G67+'Express GL'!G67+'Starbucks GL-SBX Truck'!G67+'Miro''s'!G67+'Faculty Club'!G67+'Almazar  &amp; Brand X'!G67+'Burger King'!G67+Bustelo!G67+Chilis!G67+Einstein!G67+Jamba!G67+'Pollo Tropical'!G67+'Subway GC'!G67+'Sushi Maki'!G67+Panda!G67+'Starbucks Mango'!G67+'Taco Bell'!G67+'Chick-fil-A'!G67+Dunkin!G67+Chipotle!G67+Sergios!G67+'Moes PG5'!G67+'Papa Johns'!G67+Salad!G67+'Half Moon &amp; Tropical Smoothie'!G67+'Athletic Concessions - Kitchen'!G67+'Starbucks BBC'!G67+'Moes BBC'!G67+'Grille Works BBC'!G67+'Subway BBC'!G67+'Market Pavillion'!G67+'Chic Fil A BBC'!G67+Panera!G67+'Heritage Market'!G67</f>
        <v>281753.70000000007</v>
      </c>
      <c r="H67" s="80">
        <f t="shared" si="22"/>
        <v>1.4735548262253734E-2</v>
      </c>
      <c r="I67" s="134">
        <f>'POD Breezeway'!I67+'Express GL'!I67+'Starbucks GL-SBX Truck'!I67+'Miro''s'!I67+'Faculty Club'!I67+'Almazar  &amp; Brand X'!I67+'Burger King'!I67+Bustelo!I67+Chilis!I67+Einstein!I67+Jamba!I67+'Pollo Tropical'!I67+'Subway GC'!I67+'Sushi Maki'!I67+Panda!I67+'Starbucks Mango'!I67+'Taco Bell'!I67+'Chick-fil-A'!I67+Dunkin!I67+Chipotle!I67+Sergios!I67+'Moes PG5'!I67+'Papa Johns'!I67+Salad!I67+'Half Moon &amp; Tropical Smoothie'!I67+'Athletic Concessions - Kitchen'!I67+'Starbucks BBC'!I67+'Moes BBC'!I67+'Grille Works BBC'!I67+'Subway BBC'!I67+'Market Pavillion'!I67+'Chic Fil A BBC'!I67+Panera!I67+'Heritage Market'!I67</f>
        <v>287525.04300000001</v>
      </c>
      <c r="J67" s="80">
        <f t="shared" si="23"/>
        <v>1.4735671387322452E-2</v>
      </c>
      <c r="K67" s="134">
        <f>'POD Breezeway'!K67+'Express GL'!K67+'Starbucks GL-SBX Truck'!K67+'Miro''s'!K67+'Faculty Club'!K67+'Almazar  &amp; Brand X'!K67+'Burger King'!K67+Bustelo!K67+Chilis!K67+Einstein!K67+Jamba!K67+'Pollo Tropical'!K67+'Subway GC'!K67+'Sushi Maki'!K67+Panda!K67+'Starbucks Mango'!K67+'Taco Bell'!K67+'Chick-fil-A'!K67+Dunkin!K67+Chipotle!K67+Sergios!K67+'Moes PG5'!K67+'Papa Johns'!K67+Salad!K67+'Half Moon &amp; Tropical Smoothie'!K67+'Athletic Concessions - Kitchen'!K67+'Starbucks BBC'!K67+'Moes BBC'!K67+'Grille Works BBC'!K67+'Subway BBC'!K67+'Market Pavillion'!K67+'Chic Fil A BBC'!K67+Panera!K67+'Heritage Market'!K67</f>
        <v>292710.76479000004</v>
      </c>
      <c r="L67" s="80">
        <f t="shared" si="24"/>
        <v>1.4735170375494603E-2</v>
      </c>
      <c r="M67" s="134">
        <f>'POD Breezeway'!M67+'Express GL'!M67+'Starbucks GL-SBX Truck'!M67+'Miro''s'!M67+'Faculty Club'!M67+'Almazar  &amp; Brand X'!M67+'Burger King'!M67+Bustelo!M67+Chilis!M67+Einstein!M67+Jamba!M67+'Pollo Tropical'!M67+'Subway GC'!M67+'Sushi Maki'!M67+Panda!M67+'Starbucks Mango'!M67+'Taco Bell'!M67+'Chick-fil-A'!M67+Dunkin!M67+Chipotle!M67+Sergios!M67+'Moes PG5'!M67+'Papa Johns'!M67+Salad!M67+'Half Moon &amp; Tropical Smoothie'!M67+'Athletic Concessions - Kitchen'!M67+'Starbucks BBC'!M67+'Moes BBC'!M67+'Grille Works BBC'!M67+'Subway BBC'!M67+'Market Pavillion'!M67+'Chic Fil A BBC'!M67+Panera!M67+'Heritage Market'!M67</f>
        <v>297994.55322509998</v>
      </c>
      <c r="N67" s="80">
        <f t="shared" si="25"/>
        <v>1.473467240061891E-2</v>
      </c>
      <c r="O67" s="134">
        <f>'POD Breezeway'!O67+'Express GL'!O67+'Starbucks GL-SBX Truck'!O67+'Miro''s'!O67+'Faculty Club'!O67+'Almazar  &amp; Brand X'!O67+'Burger King'!O67+Bustelo!O67+Chilis!O67+Einstein!O67+Jamba!O67+'Pollo Tropical'!O67+'Subway GC'!O67+'Sushi Maki'!O67+Panda!O67+'Starbucks Mango'!O67+'Taco Bell'!O67+'Chick-fil-A'!O67+Dunkin!O67+Chipotle!O67+Sergios!O67+'Moes PG5'!O67+'Papa Johns'!O67+Salad!O67+'Half Moon &amp; Tropical Smoothie'!O67+'Athletic Concessions - Kitchen'!O67+'Starbucks BBC'!O67+'Moes BBC'!O67+'Grille Works BBC'!O67+'Subway BBC'!O67+'Market Pavillion'!O67+'Chic Fil A BBC'!O67+Panera!O67+'Heritage Market'!O67</f>
        <v>303378.31316029507</v>
      </c>
      <c r="P67" s="80">
        <f t="shared" si="26"/>
        <v>1.4734177459114494E-2</v>
      </c>
      <c r="Q67" s="134">
        <f>'POD Breezeway'!Q67+'Express GL'!Q67+'Starbucks GL-SBX Truck'!Q67+'Miro''s'!Q67+'Faculty Club'!Q67+'Almazar  &amp; Brand X'!Q67+'Burger King'!Q67+Bustelo!Q67+Chilis!Q67+Einstein!Q67+Jamba!Q67+'Pollo Tropical'!Q67+'Subway GC'!Q67+'Sushi Maki'!Q67+Panda!Q67+'Starbucks Mango'!Q67+'Taco Bell'!Q67+'Chick-fil-A'!Q67+Dunkin!Q67+Chipotle!Q67+Sergios!Q67+'Moes PG5'!Q67+'Papa Johns'!Q67+Salad!Q67+'Half Moon &amp; Tropical Smoothie'!Q67+'Athletic Concessions - Kitchen'!Q67+'Starbucks BBC'!Q67+'Moes BBC'!Q67+'Grille Works BBC'!Q67+'Subway BBC'!Q67+'Market Pavillion'!Q67+'Chic Fil A BBC'!Q67+Panera!Q67+'Heritage Market'!Q67</f>
        <v>308863.98698290088</v>
      </c>
      <c r="R67" s="80">
        <f t="shared" si="27"/>
        <v>1.4733685547151326E-2</v>
      </c>
      <c r="S67" s="134">
        <f>'POD Breezeway'!S67+'Express GL'!S67+'Starbucks GL-SBX Truck'!S67+'Miro''s'!S67+'Faculty Club'!S67+'Almazar  &amp; Brand X'!S67+'Burger King'!S67+Bustelo!S67+Chilis!S67+Einstein!S67+Jamba!S67+'Pollo Tropical'!S67+'Subway GC'!S67+'Sushi Maki'!S67+Panda!S67+'Starbucks Mango'!S67+'Taco Bell'!S67+'Chick-fil-A'!S67+Dunkin!S67+Chipotle!S67+Sergios!S67+'Moes PG5'!S67+'Papa Johns'!S67+Salad!S67+'Half Moon &amp; Tropical Smoothie'!S67+'Athletic Concessions - Kitchen'!S67+'Starbucks BBC'!S67+'Moes BBC'!S67+'Grille Works BBC'!S67+'Subway BBC'!S67+'Market Pavillion'!S67+'Chic Fil A BBC'!S67+Panera!S67+'Heritage Market'!S67</f>
        <v>314453.55535755283</v>
      </c>
      <c r="T67" s="80">
        <f t="shared" si="28"/>
        <v>1.4733196660653855E-2</v>
      </c>
      <c r="U67" s="134">
        <f>'POD Breezeway'!U67+'Express GL'!U67+'Starbucks GL-SBX Truck'!U67+'Miro''s'!U67+'Faculty Club'!U67+'Almazar  &amp; Brand X'!U67+'Burger King'!U67+Bustelo!U67+Chilis!U67+Einstein!U67+Jamba!U67+'Pollo Tropical'!U67+'Subway GC'!U67+'Sushi Maki'!U67+Panda!U67+'Starbucks Mango'!U67+'Taco Bell'!U67+'Chick-fil-A'!U67+Dunkin!U67+Chipotle!U67+Sergios!U67+'Moes PG5'!U67+'Papa Johns'!U67+Salad!U67+'Half Moon &amp; Tropical Smoothie'!U67+'Athletic Concessions - Kitchen'!U67+'Starbucks BBC'!U67+'Moes BBC'!U67+'Grille Works BBC'!U67+'Subway BBC'!U67+'Market Pavillion'!U67+'Chic Fil A BBC'!U67+Panera!U67+'Heritage Market'!U67</f>
        <v>331604.12541402044</v>
      </c>
      <c r="V67" s="80">
        <f t="shared" si="29"/>
        <v>1.4741785212086951E-2</v>
      </c>
    </row>
    <row r="68" spans="1:22" ht="12.75" customHeight="1">
      <c r="A68" s="221" t="s">
        <v>399</v>
      </c>
      <c r="B68" s="222"/>
      <c r="C68" s="134">
        <f>'POD Breezeway'!C68+'Express GL'!C68+'Starbucks GL-SBX Truck'!C68+'Miro''s'!C68+'Faculty Club'!C68+'Almazar  &amp; Brand X'!C68+'Burger King'!C68+Bustelo!C68+Chilis!C68+Einstein!C68+Jamba!C68+'Pollo Tropical'!C68+'Subway GC'!C68+'Sushi Maki'!C68+Panda!C68+'Starbucks Mango'!C68+'Taco Bell'!C68+'Chick-fil-A'!C68+Dunkin!C68+Chipotle!C68+Sergios!C68+'Moes PG5'!C68+'Papa Johns'!C68+Salad!C68+'Half Moon &amp; Tropical Smoothie'!C68+'Athletic Concessions - Kitchen'!C68+'Starbucks BBC'!C68+'Moes BBC'!C68+'Grille Works BBC'!C68+'Subway BBC'!C68+'Market Pavillion'!C68+'Chic Fil A BBC'!C68+Panera!C68+'Heritage Market'!C68</f>
        <v>26478.008945999994</v>
      </c>
      <c r="D68" s="80">
        <f t="shared" si="20"/>
        <v>1.6658284457063716E-3</v>
      </c>
      <c r="E68" s="134">
        <f>'POD Breezeway'!E68+'Express GL'!E68+'Starbucks GL-SBX Truck'!E68+'Miro''s'!E68+'Faculty Club'!E68+'Almazar  &amp; Brand X'!E68+'Burger King'!E68+Bustelo!E68+Chilis!E68+Einstein!E68+Jamba!E68+'Pollo Tropical'!E68+'Subway GC'!E68+'Sushi Maki'!E68+Panda!E68+'Starbucks Mango'!E68+'Taco Bell'!E68+'Chick-fil-A'!E68+Dunkin!E68+Chipotle!E68+Sergios!E68+'Moes PG5'!E68+'Papa Johns'!E68+Salad!E68+'Half Moon &amp; Tropical Smoothie'!E68+'Athletic Concessions - Kitchen'!E68+'Starbucks BBC'!E68+'Moes BBC'!E68+'Grille Works BBC'!E68+'Subway BBC'!E68+'Market Pavillion'!E68+'Chic Fil A BBC'!E68+Panera!E68+'Heritage Market'!E68</f>
        <v>28893.624999999996</v>
      </c>
      <c r="F68" s="80">
        <f t="shared" si="21"/>
        <v>1.6675742234257566E-3</v>
      </c>
      <c r="G68" s="134">
        <f>'POD Breezeway'!G68+'Express GL'!G68+'Starbucks GL-SBX Truck'!G68+'Miro''s'!G68+'Faculty Club'!G68+'Almazar  &amp; Brand X'!G68+'Burger King'!G68+Bustelo!G68+Chilis!G68+Einstein!G68+Jamba!G68+'Pollo Tropical'!G68+'Subway GC'!G68+'Sushi Maki'!G68+Panda!G68+'Starbucks Mango'!G68+'Taco Bell'!G68+'Chick-fil-A'!G68+Dunkin!G68+Chipotle!G68+Sergios!G68+'Moes PG5'!G68+'Papa Johns'!G68+Salad!G68+'Half Moon &amp; Tropical Smoothie'!G68+'Athletic Concessions - Kitchen'!G68+'Starbucks BBC'!G68+'Moes BBC'!G68+'Grille Works BBC'!G68+'Subway BBC'!G68+'Market Pavillion'!G68+'Chic Fil A BBC'!G68+Panera!G68+'Heritage Market'!G68</f>
        <v>31932.086000000007</v>
      </c>
      <c r="H68" s="80">
        <f t="shared" si="22"/>
        <v>1.670028803055423E-3</v>
      </c>
      <c r="I68" s="134">
        <f>'POD Breezeway'!I68+'Express GL'!I68+'Starbucks GL-SBX Truck'!I68+'Miro''s'!I68+'Faculty Club'!I68+'Almazar  &amp; Brand X'!I68+'Burger King'!I68+Bustelo!I68+Chilis!I68+Einstein!I68+Jamba!I68+'Pollo Tropical'!I68+'Subway GC'!I68+'Sushi Maki'!I68+Panda!I68+'Starbucks Mango'!I68+'Taco Bell'!I68+'Chick-fil-A'!I68+Dunkin!I68+Chipotle!I68+Sergios!I68+'Moes PG5'!I68+'Papa Johns'!I68+Salad!I68+'Half Moon &amp; Tropical Smoothie'!I68+'Athletic Concessions - Kitchen'!I68+'Starbucks BBC'!I68+'Moes BBC'!I68+'Grille Works BBC'!I68+'Subway BBC'!I68+'Market Pavillion'!I68+'Chic Fil A BBC'!I68+Panera!I68+'Heritage Market'!I68</f>
        <v>32586.171539999999</v>
      </c>
      <c r="J68" s="80">
        <f t="shared" si="23"/>
        <v>1.670042757229878E-3</v>
      </c>
      <c r="K68" s="134">
        <f>'POD Breezeway'!K68+'Express GL'!K68+'Starbucks GL-SBX Truck'!K68+'Miro''s'!K68+'Faculty Club'!K68+'Almazar  &amp; Brand X'!K68+'Burger King'!K68+Bustelo!K68+Chilis!K68+Einstein!K68+Jamba!K68+'Pollo Tropical'!K68+'Subway GC'!K68+'Sushi Maki'!K68+Panda!K68+'Starbucks Mango'!K68+'Taco Bell'!K68+'Chick-fil-A'!K68+Dunkin!K68+Chipotle!K68+Sergios!K68+'Moes PG5'!K68+'Papa Johns'!K68+Salad!K68+'Half Moon &amp; Tropical Smoothie'!K68+'Athletic Concessions - Kitchen'!K68+'Starbucks BBC'!K68+'Moes BBC'!K68+'Grille Works BBC'!K68+'Subway BBC'!K68+'Market Pavillion'!K68+'Chic Fil A BBC'!K68+Panera!K68+'Heritage Market'!K68</f>
        <v>33173.886676199996</v>
      </c>
      <c r="L68" s="80">
        <f t="shared" si="24"/>
        <v>1.6699859758893879E-3</v>
      </c>
      <c r="M68" s="134">
        <f>'POD Breezeway'!M68+'Express GL'!M68+'Starbucks GL-SBX Truck'!M68+'Miro''s'!M68+'Faculty Club'!M68+'Almazar  &amp; Brand X'!M68+'Burger King'!M68+Bustelo!M68+Chilis!M68+Einstein!M68+Jamba!M68+'Pollo Tropical'!M68+'Subway GC'!M68+'Sushi Maki'!M68+Panda!M68+'Starbucks Mango'!M68+'Taco Bell'!M68+'Chick-fil-A'!M68+Dunkin!M68+Chipotle!M68+Sergios!M68+'Moes PG5'!M68+'Papa Johns'!M68+Salad!M68+'Half Moon &amp; Tropical Smoothie'!M68+'Athletic Concessions - Kitchen'!M68+'Starbucks BBC'!M68+'Moes BBC'!M68+'Grille Works BBC'!M68+'Subway BBC'!M68+'Market Pavillion'!M68+'Chic Fil A BBC'!M68+Panera!M68+'Heritage Market'!M68</f>
        <v>33772.716032178003</v>
      </c>
      <c r="N68" s="80">
        <f t="shared" si="25"/>
        <v>1.6699295387368101E-3</v>
      </c>
      <c r="O68" s="134">
        <f>'POD Breezeway'!O68+'Express GL'!O68+'Starbucks GL-SBX Truck'!O68+'Miro''s'!O68+'Faculty Club'!O68+'Almazar  &amp; Brand X'!O68+'Burger King'!O68+Bustelo!O68+Chilis!O68+Einstein!O68+Jamba!O68+'Pollo Tropical'!O68+'Subway GC'!O68+'Sushi Maki'!O68+Panda!O68+'Starbucks Mango'!O68+'Taco Bell'!O68+'Chick-fil-A'!O68+Dunkin!O68+Chipotle!O68+Sergios!O68+'Moes PG5'!O68+'Papa Johns'!O68+Salad!O68+'Half Moon &amp; Tropical Smoothie'!O68+'Athletic Concessions - Kitchen'!O68+'Starbucks BBC'!O68+'Moes BBC'!O68+'Grille Works BBC'!O68+'Subway BBC'!O68+'Market Pavillion'!O68+'Chic Fil A BBC'!O68+Panera!O68+'Heritage Market'!O68</f>
        <v>34382.875491500097</v>
      </c>
      <c r="P68" s="80">
        <f t="shared" si="26"/>
        <v>1.6698734453663088E-3</v>
      </c>
      <c r="Q68" s="134">
        <f>'POD Breezeway'!Q68+'Express GL'!Q68+'Starbucks GL-SBX Truck'!Q68+'Miro''s'!Q68+'Faculty Club'!Q68+'Almazar  &amp; Brand X'!Q68+'Burger King'!Q68+Bustelo!Q68+Chilis!Q68+Einstein!Q68+Jamba!Q68+'Pollo Tropical'!Q68+'Subway GC'!Q68+'Sushi Maki'!Q68+Panda!Q68+'Starbucks Mango'!Q68+'Taco Bell'!Q68+'Chick-fil-A'!Q68+Dunkin!Q68+Chipotle!Q68+Sergios!Q68+'Moes PG5'!Q68+'Papa Johns'!Q68+Salad!Q68+'Half Moon &amp; Tropical Smoothie'!Q68+'Athletic Concessions - Kitchen'!Q68+'Starbucks BBC'!Q68+'Moes BBC'!Q68+'Grille Works BBC'!Q68+'Subway BBC'!Q68+'Market Pavillion'!Q68+'Chic Fil A BBC'!Q68+Panera!Q68+'Heritage Market'!Q68</f>
        <v>35004.585191395425</v>
      </c>
      <c r="R68" s="80">
        <f t="shared" si="27"/>
        <v>1.6698176953438165E-3</v>
      </c>
      <c r="S68" s="134">
        <f>'POD Breezeway'!S68+'Express GL'!S68+'Starbucks GL-SBX Truck'!S68+'Miro''s'!S68+'Faculty Club'!S68+'Almazar  &amp; Brand X'!S68+'Burger King'!S68+Bustelo!S68+Chilis!S68+Einstein!S68+Jamba!S68+'Pollo Tropical'!S68+'Subway GC'!S68+'Sushi Maki'!S68+Panda!S68+'Starbucks Mango'!S68+'Taco Bell'!S68+'Chick-fil-A'!S68+Dunkin!S68+Chipotle!S68+Sergios!S68+'Moes PG5'!S68+'Papa Johns'!S68+Salad!S68+'Half Moon &amp; Tropical Smoothie'!S68+'Athletic Concessions - Kitchen'!S68+'Starbucks BBC'!S68+'Moes BBC'!S68+'Grille Works BBC'!S68+'Subway BBC'!S68+'Market Pavillion'!S68+'Chic Fil A BBC'!S68+Panera!S68+'Heritage Market'!S68</f>
        <v>35638.069607189311</v>
      </c>
      <c r="T68" s="80">
        <f t="shared" si="28"/>
        <v>1.6697622882074364E-3</v>
      </c>
      <c r="U68" s="134">
        <f>'POD Breezeway'!U68+'Express GL'!U68+'Starbucks GL-SBX Truck'!U68+'Miro''s'!U68+'Faculty Club'!U68+'Almazar  &amp; Brand X'!U68+'Burger King'!U68+Bustelo!U68+Chilis!U68+Einstein!U68+Jamba!U68+'Pollo Tropical'!U68+'Subway GC'!U68+'Sushi Maki'!U68+Panda!U68+'Starbucks Mango'!U68+'Taco Bell'!U68+'Chick-fil-A'!U68+Dunkin!U68+Chipotle!U68+Sergios!U68+'Moes PG5'!U68+'Papa Johns'!U68+Salad!U68+'Half Moon &amp; Tropical Smoothie'!U68+'Athletic Concessions - Kitchen'!U68+'Starbucks BBC'!U68+'Moes BBC'!U68+'Grille Works BBC'!U68+'Subway BBC'!U68+'Market Pavillion'!U68+'Chic Fil A BBC'!U68+Panera!U68+'Heritage Market'!U68</f>
        <v>37581.800880255651</v>
      </c>
      <c r="V68" s="80">
        <f t="shared" si="29"/>
        <v>1.6707356573698545E-3</v>
      </c>
    </row>
    <row r="69" spans="1:22" ht="12.75" customHeight="1">
      <c r="A69" s="2" t="s">
        <v>400</v>
      </c>
      <c r="B69" s="35"/>
      <c r="C69" s="134">
        <f>'POD Breezeway'!C69+'Express GL'!C69+'Starbucks GL-SBX Truck'!C69+'Miro''s'!C69+'Faculty Club'!C69+'Almazar  &amp; Brand X'!C69+'Burger King'!C69+Bustelo!C69+Chilis!C69+Einstein!C69+Jamba!C69+'Pollo Tropical'!C69+'Subway GC'!C69+'Sushi Maki'!C69+Panda!C69+'Starbucks Mango'!C69+'Taco Bell'!C69+'Chick-fil-A'!C69+Dunkin!C69+Chipotle!C69+Sergios!C69+'Moes PG5'!C69+'Papa Johns'!C69+Salad!C69+'Half Moon &amp; Tropical Smoothie'!C69+'Athletic Concessions - Kitchen'!C69+'Starbucks BBC'!C69+'Moes BBC'!C69+'Grille Works BBC'!C69+'Subway BBC'!C69+'Market Pavillion'!C69+'Chic Fil A BBC'!C69+Panera!C69+'Heritage Market'!C69</f>
        <v>0</v>
      </c>
      <c r="D69" s="80">
        <f t="shared" si="20"/>
        <v>0</v>
      </c>
      <c r="E69" s="134">
        <f>'POD Breezeway'!E69+'Express GL'!E69+'Starbucks GL-SBX Truck'!E69+'Miro''s'!E69+'Faculty Club'!E69+'Almazar  &amp; Brand X'!E69+'Burger King'!E69+Bustelo!E69+Chilis!E69+Einstein!E69+Jamba!E69+'Pollo Tropical'!E69+'Subway GC'!E69+'Sushi Maki'!E69+Panda!E69+'Starbucks Mango'!E69+'Taco Bell'!E69+'Chick-fil-A'!E69+Dunkin!E69+Chipotle!E69+Sergios!E69+'Moes PG5'!E69+'Papa Johns'!E69+Salad!E69+'Half Moon &amp; Tropical Smoothie'!E69+'Athletic Concessions - Kitchen'!E69+'Starbucks BBC'!E69+'Moes BBC'!E69+'Grille Works BBC'!E69+'Subway BBC'!E69+'Market Pavillion'!E69+'Chic Fil A BBC'!E69+Panera!E69+'Heritage Market'!E69</f>
        <v>0</v>
      </c>
      <c r="F69" s="80">
        <f t="shared" si="21"/>
        <v>0</v>
      </c>
      <c r="G69" s="134">
        <f>'POD Breezeway'!G69+'Express GL'!G69+'Starbucks GL-SBX Truck'!G69+'Miro''s'!G69+'Faculty Club'!G69+'Almazar  &amp; Brand X'!G69+'Burger King'!G69+Bustelo!G69+Chilis!G69+Einstein!G69+Jamba!G69+'Pollo Tropical'!G69+'Subway GC'!G69+'Sushi Maki'!G69+Panda!G69+'Starbucks Mango'!G69+'Taco Bell'!G69+'Chick-fil-A'!G69+Dunkin!G69+Chipotle!G69+Sergios!G69+'Moes PG5'!G69+'Papa Johns'!G69+Salad!G69+'Half Moon &amp; Tropical Smoothie'!G69+'Athletic Concessions - Kitchen'!G69+'Starbucks BBC'!G69+'Moes BBC'!G69+'Grille Works BBC'!G69+'Subway BBC'!G69+'Market Pavillion'!G69+'Chic Fil A BBC'!G69+Panera!G69+'Heritage Market'!G69</f>
        <v>0</v>
      </c>
      <c r="H69" s="80">
        <f t="shared" si="22"/>
        <v>0</v>
      </c>
      <c r="I69" s="134">
        <f>'POD Breezeway'!I69+'Express GL'!I69+'Starbucks GL-SBX Truck'!I69+'Miro''s'!I69+'Faculty Club'!I69+'Almazar  &amp; Brand X'!I69+'Burger King'!I69+Bustelo!I69+Chilis!I69+Einstein!I69+Jamba!I69+'Pollo Tropical'!I69+'Subway GC'!I69+'Sushi Maki'!I69+Panda!I69+'Starbucks Mango'!I69+'Taco Bell'!I69+'Chick-fil-A'!I69+Dunkin!I69+Chipotle!I69+Sergios!I69+'Moes PG5'!I69+'Papa Johns'!I69+Salad!I69+'Half Moon &amp; Tropical Smoothie'!I69+'Athletic Concessions - Kitchen'!I69+'Starbucks BBC'!I69+'Moes BBC'!I69+'Grille Works BBC'!I69+'Subway BBC'!I69+'Market Pavillion'!I69+'Chic Fil A BBC'!I69+Panera!I69+'Heritage Market'!I69</f>
        <v>0</v>
      </c>
      <c r="J69" s="80">
        <f t="shared" si="23"/>
        <v>0</v>
      </c>
      <c r="K69" s="134">
        <f>'POD Breezeway'!K69+'Express GL'!K69+'Starbucks GL-SBX Truck'!K69+'Miro''s'!K69+'Faculty Club'!K69+'Almazar  &amp; Brand X'!K69+'Burger King'!K69+Bustelo!K69+Chilis!K69+Einstein!K69+Jamba!K69+'Pollo Tropical'!K69+'Subway GC'!K69+'Sushi Maki'!K69+Panda!K69+'Starbucks Mango'!K69+'Taco Bell'!K69+'Chick-fil-A'!K69+Dunkin!K69+Chipotle!K69+Sergios!K69+'Moes PG5'!K69+'Papa Johns'!K69+Salad!K69+'Half Moon &amp; Tropical Smoothie'!K69+'Athletic Concessions - Kitchen'!K69+'Starbucks BBC'!K69+'Moes BBC'!K69+'Grille Works BBC'!K69+'Subway BBC'!K69+'Market Pavillion'!K69+'Chic Fil A BBC'!K69+Panera!K69+'Heritage Market'!K69</f>
        <v>0</v>
      </c>
      <c r="L69" s="80">
        <f t="shared" si="24"/>
        <v>0</v>
      </c>
      <c r="M69" s="134">
        <f>'POD Breezeway'!M69+'Express GL'!M69+'Starbucks GL-SBX Truck'!M69+'Miro''s'!M69+'Faculty Club'!M69+'Almazar  &amp; Brand X'!M69+'Burger King'!M69+Bustelo!M69+Chilis!M69+Einstein!M69+Jamba!M69+'Pollo Tropical'!M69+'Subway GC'!M69+'Sushi Maki'!M69+Panda!M69+'Starbucks Mango'!M69+'Taco Bell'!M69+'Chick-fil-A'!M69+Dunkin!M69+Chipotle!M69+Sergios!M69+'Moes PG5'!M69+'Papa Johns'!M69+Salad!M69+'Half Moon &amp; Tropical Smoothie'!M69+'Athletic Concessions - Kitchen'!M69+'Starbucks BBC'!M69+'Moes BBC'!M69+'Grille Works BBC'!M69+'Subway BBC'!M69+'Market Pavillion'!M69+'Chic Fil A BBC'!M69+Panera!M69+'Heritage Market'!M69</f>
        <v>0</v>
      </c>
      <c r="N69" s="80">
        <f t="shared" si="25"/>
        <v>0</v>
      </c>
      <c r="O69" s="134">
        <f>'POD Breezeway'!O69+'Express GL'!O69+'Starbucks GL-SBX Truck'!O69+'Miro''s'!O69+'Faculty Club'!O69+'Almazar  &amp; Brand X'!O69+'Burger King'!O69+Bustelo!O69+Chilis!O69+Einstein!O69+Jamba!O69+'Pollo Tropical'!O69+'Subway GC'!O69+'Sushi Maki'!O69+Panda!O69+'Starbucks Mango'!O69+'Taco Bell'!O69+'Chick-fil-A'!O69+Dunkin!O69+Chipotle!O69+Sergios!O69+'Moes PG5'!O69+'Papa Johns'!O69+Salad!O69+'Half Moon &amp; Tropical Smoothie'!O69+'Athletic Concessions - Kitchen'!O69+'Starbucks BBC'!O69+'Moes BBC'!O69+'Grille Works BBC'!O69+'Subway BBC'!O69+'Market Pavillion'!O69+'Chic Fil A BBC'!O69+Panera!O69+'Heritage Market'!O69</f>
        <v>0</v>
      </c>
      <c r="P69" s="80">
        <f t="shared" si="26"/>
        <v>0</v>
      </c>
      <c r="Q69" s="134">
        <f>'POD Breezeway'!Q69+'Express GL'!Q69+'Starbucks GL-SBX Truck'!Q69+'Miro''s'!Q69+'Faculty Club'!Q69+'Almazar  &amp; Brand X'!Q69+'Burger King'!Q69+Bustelo!Q69+Chilis!Q69+Einstein!Q69+Jamba!Q69+'Pollo Tropical'!Q69+'Subway GC'!Q69+'Sushi Maki'!Q69+Panda!Q69+'Starbucks Mango'!Q69+'Taco Bell'!Q69+'Chick-fil-A'!Q69+Dunkin!Q69+Chipotle!Q69+Sergios!Q69+'Moes PG5'!Q69+'Papa Johns'!Q69+Salad!Q69+'Half Moon &amp; Tropical Smoothie'!Q69+'Athletic Concessions - Kitchen'!Q69+'Starbucks BBC'!Q69+'Moes BBC'!Q69+'Grille Works BBC'!Q69+'Subway BBC'!Q69+'Market Pavillion'!Q69+'Chic Fil A BBC'!Q69+Panera!Q69+'Heritage Market'!Q69</f>
        <v>0</v>
      </c>
      <c r="R69" s="80">
        <f t="shared" si="27"/>
        <v>0</v>
      </c>
      <c r="S69" s="134">
        <f>'POD Breezeway'!S69+'Express GL'!S69+'Starbucks GL-SBX Truck'!S69+'Miro''s'!S69+'Faculty Club'!S69+'Almazar  &amp; Brand X'!S69+'Burger King'!S69+Bustelo!S69+Chilis!S69+Einstein!S69+Jamba!S69+'Pollo Tropical'!S69+'Subway GC'!S69+'Sushi Maki'!S69+Panda!S69+'Starbucks Mango'!S69+'Taco Bell'!S69+'Chick-fil-A'!S69+Dunkin!S69+Chipotle!S69+Sergios!S69+'Moes PG5'!S69+'Papa Johns'!S69+Salad!S69+'Half Moon &amp; Tropical Smoothie'!S69+'Athletic Concessions - Kitchen'!S69+'Starbucks BBC'!S69+'Moes BBC'!S69+'Grille Works BBC'!S69+'Subway BBC'!S69+'Market Pavillion'!S69+'Chic Fil A BBC'!S69+Panera!S69+'Heritage Market'!S69</f>
        <v>0</v>
      </c>
      <c r="T69" s="80">
        <f t="shared" si="28"/>
        <v>0</v>
      </c>
      <c r="U69" s="134">
        <f>'POD Breezeway'!U69+'Express GL'!U69+'Starbucks GL-SBX Truck'!U69+'Miro''s'!U69+'Faculty Club'!U69+'Almazar  &amp; Brand X'!U69+'Burger King'!U69+Bustelo!U69+Chilis!U69+Einstein!U69+Jamba!U69+'Pollo Tropical'!U69+'Subway GC'!U69+'Sushi Maki'!U69+Panda!U69+'Starbucks Mango'!U69+'Taco Bell'!U69+'Chick-fil-A'!U69+Dunkin!U69+Chipotle!U69+Sergios!U69+'Moes PG5'!U69+'Papa Johns'!U69+Salad!U69+'Half Moon &amp; Tropical Smoothie'!U69+'Athletic Concessions - Kitchen'!U69+'Starbucks BBC'!U69+'Moes BBC'!U69+'Grille Works BBC'!U69+'Subway BBC'!U69+'Market Pavillion'!U69+'Chic Fil A BBC'!U69+Panera!U69+'Heritage Market'!U69</f>
        <v>0</v>
      </c>
      <c r="V69" s="80">
        <f t="shared" si="29"/>
        <v>0</v>
      </c>
    </row>
    <row r="70" spans="1:22" ht="12.75" customHeight="1">
      <c r="A70" s="221" t="s">
        <v>401</v>
      </c>
      <c r="B70" s="222"/>
      <c r="C70" s="134">
        <f>'POD Breezeway'!C70+'Express GL'!C70+'Starbucks GL-SBX Truck'!C70+'Miro''s'!C70+'Faculty Club'!C70+'Almazar  &amp; Brand X'!C70+'Burger King'!C70+Bustelo!C70+Chilis!C70+Einstein!C70+Jamba!C70+'Pollo Tropical'!C70+'Subway GC'!C70+'Sushi Maki'!C70+Panda!C70+'Starbucks Mango'!C70+'Taco Bell'!C70+'Chick-fil-A'!C70+Dunkin!C70+Chipotle!C70+Sergios!C70+'Moes PG5'!C70+'Papa Johns'!C70+Salad!C70+'Half Moon &amp; Tropical Smoothie'!C70+'Athletic Concessions - Kitchen'!C70+'Starbucks BBC'!C70+'Moes BBC'!C70+'Grille Works BBC'!C70+'Subway BBC'!C70+'Market Pavillion'!C70+'Chic Fil A BBC'!C70+Panera!C70+'Heritage Market'!C70</f>
        <v>1557.5299379999999</v>
      </c>
      <c r="D70" s="80">
        <f t="shared" si="20"/>
        <v>9.7989908570963053E-5</v>
      </c>
      <c r="E70" s="134">
        <f>'POD Breezeway'!E70+'Express GL'!E70+'Starbucks GL-SBX Truck'!E70+'Miro''s'!E70+'Faculty Club'!E70+'Almazar  &amp; Brand X'!E70+'Burger King'!E70+Bustelo!E70+Chilis!E70+Einstein!E70+Jamba!E70+'Pollo Tropical'!E70+'Subway GC'!E70+'Sushi Maki'!E70+Panda!E70+'Starbucks Mango'!E70+'Taco Bell'!E70+'Chick-fil-A'!E70+Dunkin!E70+Chipotle!E70+Sergios!E70+'Moes PG5'!E70+'Papa Johns'!E70+Salad!E70+'Half Moon &amp; Tropical Smoothie'!E70+'Athletic Concessions - Kitchen'!E70+'Starbucks BBC'!E70+'Moes BBC'!E70+'Grille Works BBC'!E70+'Subway BBC'!E70+'Market Pavillion'!E70+'Chic Fil A BBC'!E70+Panera!E70+'Heritage Market'!E70</f>
        <v>1699.6250000000005</v>
      </c>
      <c r="F70" s="80">
        <f t="shared" si="21"/>
        <v>9.8092601377985735E-5</v>
      </c>
      <c r="G70" s="134">
        <f>'POD Breezeway'!G70+'Express GL'!G70+'Starbucks GL-SBX Truck'!G70+'Miro''s'!G70+'Faculty Club'!G70+'Almazar  &amp; Brand X'!G70+'Burger King'!G70+Bustelo!G70+Chilis!G70+Einstein!G70+Jamba!G70+'Pollo Tropical'!G70+'Subway GC'!G70+'Sushi Maki'!G70+Panda!G70+'Starbucks Mango'!G70+'Taco Bell'!G70+'Chick-fil-A'!G70+Dunkin!G70+Chipotle!G70+Sergios!G70+'Moes PG5'!G70+'Papa Johns'!G70+Salad!G70+'Half Moon &amp; Tropical Smoothie'!G70+'Athletic Concessions - Kitchen'!G70+'Starbucks BBC'!G70+'Moes BBC'!G70+'Grille Works BBC'!G70+'Subway BBC'!G70+'Market Pavillion'!G70+'Chic Fil A BBC'!G70+Panera!G70+'Heritage Market'!G70</f>
        <v>1878.3580000000004</v>
      </c>
      <c r="H70" s="80">
        <f t="shared" si="22"/>
        <v>9.8236988415024889E-5</v>
      </c>
      <c r="I70" s="134">
        <f>'POD Breezeway'!I70+'Express GL'!I70+'Starbucks GL-SBX Truck'!I70+'Miro''s'!I70+'Faculty Club'!I70+'Almazar  &amp; Brand X'!I70+'Burger King'!I70+Bustelo!I70+Chilis!I70+Einstein!I70+Jamba!I70+'Pollo Tropical'!I70+'Subway GC'!I70+'Sushi Maki'!I70+Panda!I70+'Starbucks Mango'!I70+'Taco Bell'!I70+'Chick-fil-A'!I70+Dunkin!I70+Chipotle!I70+Sergios!I70+'Moes PG5'!I70+'Papa Johns'!I70+Salad!I70+'Half Moon &amp; Tropical Smoothie'!I70+'Athletic Concessions - Kitchen'!I70+'Starbucks BBC'!I70+'Moes BBC'!I70+'Grille Works BBC'!I70+'Subway BBC'!I70+'Market Pavillion'!I70+'Chic Fil A BBC'!I70+Panera!I70+'Heritage Market'!I70</f>
        <v>1916.8336200000003</v>
      </c>
      <c r="J70" s="80">
        <f t="shared" si="23"/>
        <v>9.823780924881637E-5</v>
      </c>
      <c r="K70" s="134">
        <f>'POD Breezeway'!K70+'Express GL'!K70+'Starbucks GL-SBX Truck'!K70+'Miro''s'!K70+'Faculty Club'!K70+'Almazar  &amp; Brand X'!K70+'Burger King'!K70+Bustelo!K70+Chilis!K70+Einstein!K70+Jamba!K70+'Pollo Tropical'!K70+'Subway GC'!K70+'Sushi Maki'!K70+Panda!K70+'Starbucks Mango'!K70+'Taco Bell'!K70+'Chick-fil-A'!K70+Dunkin!K70+Chipotle!K70+Sergios!K70+'Moes PG5'!K70+'Papa Johns'!K70+Salad!K70+'Half Moon &amp; Tropical Smoothie'!K70+'Athletic Concessions - Kitchen'!K70+'Starbucks BBC'!K70+'Moes BBC'!K70+'Grille Works BBC'!K70+'Subway BBC'!K70+'Market Pavillion'!K70+'Chic Fil A BBC'!K70+Panera!K70+'Heritage Market'!K70</f>
        <v>1951.4050986000002</v>
      </c>
      <c r="L70" s="80">
        <f t="shared" si="24"/>
        <v>9.8234469169964023E-5</v>
      </c>
      <c r="M70" s="134">
        <f>'POD Breezeway'!M70+'Express GL'!M70+'Starbucks GL-SBX Truck'!M70+'Miro''s'!M70+'Faculty Club'!M70+'Almazar  &amp; Brand X'!M70+'Burger King'!M70+Bustelo!M70+Chilis!M70+Einstein!M70+Jamba!M70+'Pollo Tropical'!M70+'Subway GC'!M70+'Sushi Maki'!M70+Panda!M70+'Starbucks Mango'!M70+'Taco Bell'!M70+'Chick-fil-A'!M70+Dunkin!M70+Chipotle!M70+Sergios!M70+'Moes PG5'!M70+'Papa Johns'!M70+Salad!M70+'Half Moon &amp; Tropical Smoothie'!M70+'Athletic Concessions - Kitchen'!M70+'Starbucks BBC'!M70+'Moes BBC'!M70+'Grille Works BBC'!M70+'Subway BBC'!M70+'Market Pavillion'!M70+'Chic Fil A BBC'!M70+Panera!M70+'Heritage Market'!M70</f>
        <v>1986.6303548340002</v>
      </c>
      <c r="N70" s="80">
        <f t="shared" si="25"/>
        <v>9.8231149337459406E-5</v>
      </c>
      <c r="O70" s="134">
        <f>'POD Breezeway'!O70+'Express GL'!O70+'Starbucks GL-SBX Truck'!O70+'Miro''s'!O70+'Faculty Club'!O70+'Almazar  &amp; Brand X'!O70+'Burger King'!O70+Bustelo!O70+Chilis!O70+Einstein!O70+Jamba!O70+'Pollo Tropical'!O70+'Subway GC'!O70+'Sushi Maki'!O70+Panda!O70+'Starbucks Mango'!O70+'Taco Bell'!O70+'Chick-fil-A'!O70+Dunkin!O70+Chipotle!O70+Sergios!O70+'Moes PG5'!O70+'Papa Johns'!O70+Salad!O70+'Half Moon &amp; Tropical Smoothie'!O70+'Athletic Concessions - Kitchen'!O70+'Starbucks BBC'!O70+'Moes BBC'!O70+'Grille Works BBC'!O70+'Subway BBC'!O70+'Market Pavillion'!O70+'Chic Fil A BBC'!O70+Panera!O70+'Heritage Market'!O70</f>
        <v>2022.5220877352995</v>
      </c>
      <c r="P70" s="80">
        <f t="shared" si="26"/>
        <v>9.8227849727429919E-5</v>
      </c>
      <c r="Q70" s="134">
        <f>'POD Breezeway'!Q70+'Express GL'!Q70+'Starbucks GL-SBX Truck'!Q70+'Miro''s'!Q70+'Faculty Club'!Q70+'Almazar  &amp; Brand X'!Q70+'Burger King'!Q70+Bustelo!Q70+Chilis!Q70+Einstein!Q70+Jamba!Q70+'Pollo Tropical'!Q70+'Subway GC'!Q70+'Sushi Maki'!Q70+Panda!Q70+'Starbucks Mango'!Q70+'Taco Bell'!Q70+'Chick-fil-A'!Q70+Dunkin!Q70+Chipotle!Q70+Sergios!Q70+'Moes PG5'!Q70+'Papa Johns'!Q70+Salad!Q70+'Half Moon &amp; Tropical Smoothie'!Q70+'Athletic Concessions - Kitchen'!Q70+'Starbucks BBC'!Q70+'Moes BBC'!Q70+'Grille Works BBC'!Q70+'Subway BBC'!Q70+'Market Pavillion'!Q70+'Chic Fil A BBC'!Q70+Panera!Q70+'Heritage Market'!Q70</f>
        <v>2059.0932465526726</v>
      </c>
      <c r="R70" s="80">
        <f t="shared" si="27"/>
        <v>9.822457031434218E-5</v>
      </c>
      <c r="S70" s="134">
        <f>'POD Breezeway'!S70+'Express GL'!S70+'Starbucks GL-SBX Truck'!S70+'Miro''s'!S70+'Faculty Club'!S70+'Almazar  &amp; Brand X'!S70+'Burger King'!S70+Bustelo!S70+Chilis!S70+Einstein!S70+Jamba!S70+'Pollo Tropical'!S70+'Subway GC'!S70+'Sushi Maki'!S70+Panda!S70+'Starbucks Mango'!S70+'Taco Bell'!S70+'Chick-fil-A'!S70+Dunkin!S70+Chipotle!S70+Sergios!S70+'Moes PG5'!S70+'Papa Johns'!S70+Salad!S70+'Half Moon &amp; Tropical Smoothie'!S70+'Athletic Concessions - Kitchen'!S70+'Starbucks BBC'!S70+'Moes BBC'!S70+'Grille Works BBC'!S70+'Subway BBC'!S70+'Market Pavillion'!S70+'Chic Fil A BBC'!S70+Panera!S70+'Heritage Market'!S70</f>
        <v>2096.3570357170192</v>
      </c>
      <c r="T70" s="80">
        <f t="shared" si="28"/>
        <v>9.8221311071025716E-5</v>
      </c>
      <c r="U70" s="134">
        <f>'POD Breezeway'!U70+'Express GL'!U70+'Starbucks GL-SBX Truck'!U70+'Miro''s'!U70+'Faculty Club'!U70+'Almazar  &amp; Brand X'!U70+'Burger King'!U70+Bustelo!U70+Chilis!U70+Einstein!U70+Jamba!U70+'Pollo Tropical'!U70+'Subway GC'!U70+'Sushi Maki'!U70+Panda!U70+'Starbucks Mango'!U70+'Taco Bell'!U70+'Chick-fil-A'!U70+Dunkin!U70+Chipotle!U70+Sergios!U70+'Moes PG5'!U70+'Papa Johns'!U70+Salad!U70+'Half Moon &amp; Tropical Smoothie'!U70+'Athletic Concessions - Kitchen'!U70+'Starbucks BBC'!U70+'Moes BBC'!U70+'Grille Works BBC'!U70+'Subway BBC'!U70+'Market Pavillion'!U70+'Chic Fil A BBC'!U70+Panera!U70+'Heritage Market'!U70</f>
        <v>2210.6941694268039</v>
      </c>
      <c r="V70" s="80">
        <f t="shared" si="29"/>
        <v>9.8278568080579725E-5</v>
      </c>
    </row>
    <row r="71" spans="1:22" ht="12.75" customHeight="1">
      <c r="A71" s="2" t="s">
        <v>402</v>
      </c>
      <c r="B71" s="35"/>
      <c r="C71" s="134">
        <f>'POD Breezeway'!C71+'Express GL'!C71+'Starbucks GL-SBX Truck'!C71+'Miro''s'!C71+'Faculty Club'!C71+'Almazar  &amp; Brand X'!C71+'Burger King'!C71+Bustelo!C71+Chilis!C71+Einstein!C71+Jamba!C71+'Pollo Tropical'!C71+'Subway GC'!C71+'Sushi Maki'!C71+Panda!C71+'Starbucks Mango'!C71+'Taco Bell'!C71+'Chick-fil-A'!C71+Dunkin!C71+Chipotle!C71+Sergios!C71+'Moes PG5'!C71+'Papa Johns'!C71+Salad!C71+'Half Moon &amp; Tropical Smoothie'!C71+'Athletic Concessions - Kitchen'!C71+'Starbucks BBC'!C71+'Moes BBC'!C71+'Grille Works BBC'!C71+'Subway BBC'!C71+'Market Pavillion'!C71+'Chic Fil A BBC'!C71+Panera!C71+'Heritage Market'!C71</f>
        <v>0</v>
      </c>
      <c r="D71" s="80">
        <f t="shared" si="20"/>
        <v>0</v>
      </c>
      <c r="E71" s="134">
        <f>'POD Breezeway'!E71+'Express GL'!E71+'Starbucks GL-SBX Truck'!E71+'Miro''s'!E71+'Faculty Club'!E71+'Almazar  &amp; Brand X'!E71+'Burger King'!E71+Bustelo!E71+Chilis!E71+Einstein!E71+Jamba!E71+'Pollo Tropical'!E71+'Subway GC'!E71+'Sushi Maki'!E71+Panda!E71+'Starbucks Mango'!E71+'Taco Bell'!E71+'Chick-fil-A'!E71+Dunkin!E71+Chipotle!E71+Sergios!E71+'Moes PG5'!E71+'Papa Johns'!E71+Salad!E71+'Half Moon &amp; Tropical Smoothie'!E71+'Athletic Concessions - Kitchen'!E71+'Starbucks BBC'!E71+'Moes BBC'!E71+'Grille Works BBC'!E71+'Subway BBC'!E71+'Market Pavillion'!E71+'Chic Fil A BBC'!E71+Panera!E71+'Heritage Market'!E71</f>
        <v>0</v>
      </c>
      <c r="F71" s="80">
        <f t="shared" si="21"/>
        <v>0</v>
      </c>
      <c r="G71" s="134">
        <f>'POD Breezeway'!G71+'Express GL'!G71+'Starbucks GL-SBX Truck'!G71+'Miro''s'!G71+'Faculty Club'!G71+'Almazar  &amp; Brand X'!G71+'Burger King'!G71+Bustelo!G71+Chilis!G71+Einstein!G71+Jamba!G71+'Pollo Tropical'!G71+'Subway GC'!G71+'Sushi Maki'!G71+Panda!G71+'Starbucks Mango'!G71+'Taco Bell'!G71+'Chick-fil-A'!G71+Dunkin!G71+Chipotle!G71+Sergios!G71+'Moes PG5'!G71+'Papa Johns'!G71+Salad!G71+'Half Moon &amp; Tropical Smoothie'!G71+'Athletic Concessions - Kitchen'!G71+'Starbucks BBC'!G71+'Moes BBC'!G71+'Grille Works BBC'!G71+'Subway BBC'!G71+'Market Pavillion'!G71+'Chic Fil A BBC'!G71+Panera!G71+'Heritage Market'!G71</f>
        <v>0</v>
      </c>
      <c r="H71" s="80">
        <f t="shared" si="22"/>
        <v>0</v>
      </c>
      <c r="I71" s="134">
        <f>'POD Breezeway'!I71+'Express GL'!I71+'Starbucks GL-SBX Truck'!I71+'Miro''s'!I71+'Faculty Club'!I71+'Almazar  &amp; Brand X'!I71+'Burger King'!I71+Bustelo!I71+Chilis!I71+Einstein!I71+Jamba!I71+'Pollo Tropical'!I71+'Subway GC'!I71+'Sushi Maki'!I71+Panda!I71+'Starbucks Mango'!I71+'Taco Bell'!I71+'Chick-fil-A'!I71+Dunkin!I71+Chipotle!I71+Sergios!I71+'Moes PG5'!I71+'Papa Johns'!I71+Salad!I71+'Half Moon &amp; Tropical Smoothie'!I71+'Athletic Concessions - Kitchen'!I71+'Starbucks BBC'!I71+'Moes BBC'!I71+'Grille Works BBC'!I71+'Subway BBC'!I71+'Market Pavillion'!I71+'Chic Fil A BBC'!I71+Panera!I71+'Heritage Market'!I71</f>
        <v>0</v>
      </c>
      <c r="J71" s="80">
        <f t="shared" si="23"/>
        <v>0</v>
      </c>
      <c r="K71" s="134">
        <f>'POD Breezeway'!K71+'Express GL'!K71+'Starbucks GL-SBX Truck'!K71+'Miro''s'!K71+'Faculty Club'!K71+'Almazar  &amp; Brand X'!K71+'Burger King'!K71+Bustelo!K71+Chilis!K71+Einstein!K71+Jamba!K71+'Pollo Tropical'!K71+'Subway GC'!K71+'Sushi Maki'!K71+Panda!K71+'Starbucks Mango'!K71+'Taco Bell'!K71+'Chick-fil-A'!K71+Dunkin!K71+Chipotle!K71+Sergios!K71+'Moes PG5'!K71+'Papa Johns'!K71+Salad!K71+'Half Moon &amp; Tropical Smoothie'!K71+'Athletic Concessions - Kitchen'!K71+'Starbucks BBC'!K71+'Moes BBC'!K71+'Grille Works BBC'!K71+'Subway BBC'!K71+'Market Pavillion'!K71+'Chic Fil A BBC'!K71+Panera!K71+'Heritage Market'!K71</f>
        <v>0</v>
      </c>
      <c r="L71" s="80">
        <f t="shared" si="24"/>
        <v>0</v>
      </c>
      <c r="M71" s="134">
        <f>'POD Breezeway'!M71+'Express GL'!M71+'Starbucks GL-SBX Truck'!M71+'Miro''s'!M71+'Faculty Club'!M71+'Almazar  &amp; Brand X'!M71+'Burger King'!M71+Bustelo!M71+Chilis!M71+Einstein!M71+Jamba!M71+'Pollo Tropical'!M71+'Subway GC'!M71+'Sushi Maki'!M71+Panda!M71+'Starbucks Mango'!M71+'Taco Bell'!M71+'Chick-fil-A'!M71+Dunkin!M71+Chipotle!M71+Sergios!M71+'Moes PG5'!M71+'Papa Johns'!M71+Salad!M71+'Half Moon &amp; Tropical Smoothie'!M71+'Athletic Concessions - Kitchen'!M71+'Starbucks BBC'!M71+'Moes BBC'!M71+'Grille Works BBC'!M71+'Subway BBC'!M71+'Market Pavillion'!M71+'Chic Fil A BBC'!M71+Panera!M71+'Heritage Market'!M71</f>
        <v>0</v>
      </c>
      <c r="N71" s="80">
        <f t="shared" si="25"/>
        <v>0</v>
      </c>
      <c r="O71" s="134">
        <f>'POD Breezeway'!O71+'Express GL'!O71+'Starbucks GL-SBX Truck'!O71+'Miro''s'!O71+'Faculty Club'!O71+'Almazar  &amp; Brand X'!O71+'Burger King'!O71+Bustelo!O71+Chilis!O71+Einstein!O71+Jamba!O71+'Pollo Tropical'!O71+'Subway GC'!O71+'Sushi Maki'!O71+Panda!O71+'Starbucks Mango'!O71+'Taco Bell'!O71+'Chick-fil-A'!O71+Dunkin!O71+Chipotle!O71+Sergios!O71+'Moes PG5'!O71+'Papa Johns'!O71+Salad!O71+'Half Moon &amp; Tropical Smoothie'!O71+'Athletic Concessions - Kitchen'!O71+'Starbucks BBC'!O71+'Moes BBC'!O71+'Grille Works BBC'!O71+'Subway BBC'!O71+'Market Pavillion'!O71+'Chic Fil A BBC'!O71+Panera!O71+'Heritage Market'!O71</f>
        <v>0</v>
      </c>
      <c r="P71" s="80">
        <f t="shared" si="26"/>
        <v>0</v>
      </c>
      <c r="Q71" s="134">
        <f>'POD Breezeway'!Q71+'Express GL'!Q71+'Starbucks GL-SBX Truck'!Q71+'Miro''s'!Q71+'Faculty Club'!Q71+'Almazar  &amp; Brand X'!Q71+'Burger King'!Q71+Bustelo!Q71+Chilis!Q71+Einstein!Q71+Jamba!Q71+'Pollo Tropical'!Q71+'Subway GC'!Q71+'Sushi Maki'!Q71+Panda!Q71+'Starbucks Mango'!Q71+'Taco Bell'!Q71+'Chick-fil-A'!Q71+Dunkin!Q71+Chipotle!Q71+Sergios!Q71+'Moes PG5'!Q71+'Papa Johns'!Q71+Salad!Q71+'Half Moon &amp; Tropical Smoothie'!Q71+'Athletic Concessions - Kitchen'!Q71+'Starbucks BBC'!Q71+'Moes BBC'!Q71+'Grille Works BBC'!Q71+'Subway BBC'!Q71+'Market Pavillion'!Q71+'Chic Fil A BBC'!Q71+Panera!Q71+'Heritage Market'!Q71</f>
        <v>0</v>
      </c>
      <c r="R71" s="80">
        <f t="shared" si="27"/>
        <v>0</v>
      </c>
      <c r="S71" s="134">
        <f>'POD Breezeway'!S71+'Express GL'!S71+'Starbucks GL-SBX Truck'!S71+'Miro''s'!S71+'Faculty Club'!S71+'Almazar  &amp; Brand X'!S71+'Burger King'!S71+Bustelo!S71+Chilis!S71+Einstein!S71+Jamba!S71+'Pollo Tropical'!S71+'Subway GC'!S71+'Sushi Maki'!S71+Panda!S71+'Starbucks Mango'!S71+'Taco Bell'!S71+'Chick-fil-A'!S71+Dunkin!S71+Chipotle!S71+Sergios!S71+'Moes PG5'!S71+'Papa Johns'!S71+Salad!S71+'Half Moon &amp; Tropical Smoothie'!S71+'Athletic Concessions - Kitchen'!S71+'Starbucks BBC'!S71+'Moes BBC'!S71+'Grille Works BBC'!S71+'Subway BBC'!S71+'Market Pavillion'!S71+'Chic Fil A BBC'!S71+Panera!S71+'Heritage Market'!S71</f>
        <v>0</v>
      </c>
      <c r="T71" s="80">
        <f t="shared" si="28"/>
        <v>0</v>
      </c>
      <c r="U71" s="134">
        <f>'POD Breezeway'!U71+'Express GL'!U71+'Starbucks GL-SBX Truck'!U71+'Miro''s'!U71+'Faculty Club'!U71+'Almazar  &amp; Brand X'!U71+'Burger King'!U71+Bustelo!U71+Chilis!U71+Einstein!U71+Jamba!U71+'Pollo Tropical'!U71+'Subway GC'!U71+'Sushi Maki'!U71+Panda!U71+'Starbucks Mango'!U71+'Taco Bell'!U71+'Chick-fil-A'!U71+Dunkin!U71+Chipotle!U71+Sergios!U71+'Moes PG5'!U71+'Papa Johns'!U71+Salad!U71+'Half Moon &amp; Tropical Smoothie'!U71+'Athletic Concessions - Kitchen'!U71+'Starbucks BBC'!U71+'Moes BBC'!U71+'Grille Works BBC'!U71+'Subway BBC'!U71+'Market Pavillion'!U71+'Chic Fil A BBC'!U71+Panera!U71+'Heritage Market'!U71</f>
        <v>0</v>
      </c>
      <c r="V71" s="80">
        <f t="shared" si="29"/>
        <v>0</v>
      </c>
    </row>
    <row r="72" spans="1:22" ht="12.75" customHeight="1">
      <c r="A72" s="2" t="s">
        <v>403</v>
      </c>
      <c r="B72" s="35"/>
      <c r="C72" s="134">
        <f>'POD Breezeway'!C72+'Express GL'!C72+'Starbucks GL-SBX Truck'!C72+'Miro''s'!C72+'Faculty Club'!C72+'Almazar  &amp; Brand X'!C72+'Burger King'!C72+Bustelo!C72+Chilis!C72+Einstein!C72+Jamba!C72+'Pollo Tropical'!C72+'Subway GC'!C72+'Sushi Maki'!C72+Panda!C72+'Starbucks Mango'!C72+'Taco Bell'!C72+'Chick-fil-A'!C72+Dunkin!C72+Chipotle!C72+Sergios!C72+'Moes PG5'!C72+'Papa Johns'!C72+Salad!C72+'Half Moon &amp; Tropical Smoothie'!C72+'Athletic Concessions - Kitchen'!C72+'Starbucks BBC'!C72+'Moes BBC'!C72+'Grille Works BBC'!C72+'Subway BBC'!C72+'Market Pavillion'!C72+'Chic Fil A BBC'!C72+Panera!C72+'Heritage Market'!C72</f>
        <v>0</v>
      </c>
      <c r="D72" s="80">
        <f t="shared" si="20"/>
        <v>0</v>
      </c>
      <c r="E72" s="134">
        <f>'POD Breezeway'!E72+'Express GL'!E72+'Starbucks GL-SBX Truck'!E72+'Miro''s'!E72+'Faculty Club'!E72+'Almazar  &amp; Brand X'!E72+'Burger King'!E72+Bustelo!E72+Chilis!E72+Einstein!E72+Jamba!E72+'Pollo Tropical'!E72+'Subway GC'!E72+'Sushi Maki'!E72+Panda!E72+'Starbucks Mango'!E72+'Taco Bell'!E72+'Chick-fil-A'!E72+Dunkin!E72+Chipotle!E72+Sergios!E72+'Moes PG5'!E72+'Papa Johns'!E72+Salad!E72+'Half Moon &amp; Tropical Smoothie'!E72+'Athletic Concessions - Kitchen'!E72+'Starbucks BBC'!E72+'Moes BBC'!E72+'Grille Works BBC'!E72+'Subway BBC'!E72+'Market Pavillion'!E72+'Chic Fil A BBC'!E72+Panera!E72+'Heritage Market'!E72</f>
        <v>0</v>
      </c>
      <c r="F72" s="80">
        <f t="shared" si="21"/>
        <v>0</v>
      </c>
      <c r="G72" s="134">
        <f>'POD Breezeway'!G72+'Express GL'!G72+'Starbucks GL-SBX Truck'!G72+'Miro''s'!G72+'Faculty Club'!G72+'Almazar  &amp; Brand X'!G72+'Burger King'!G72+Bustelo!G72+Chilis!G72+Einstein!G72+Jamba!G72+'Pollo Tropical'!G72+'Subway GC'!G72+'Sushi Maki'!G72+Panda!G72+'Starbucks Mango'!G72+'Taco Bell'!G72+'Chick-fil-A'!G72+Dunkin!G72+Chipotle!G72+Sergios!G72+'Moes PG5'!G72+'Papa Johns'!G72+Salad!G72+'Half Moon &amp; Tropical Smoothie'!G72+'Athletic Concessions - Kitchen'!G72+'Starbucks BBC'!G72+'Moes BBC'!G72+'Grille Works BBC'!G72+'Subway BBC'!G72+'Market Pavillion'!G72+'Chic Fil A BBC'!G72+Panera!G72+'Heritage Market'!G72</f>
        <v>0</v>
      </c>
      <c r="H72" s="80">
        <f t="shared" si="22"/>
        <v>0</v>
      </c>
      <c r="I72" s="134">
        <f>'POD Breezeway'!I72+'Express GL'!I72+'Starbucks GL-SBX Truck'!I72+'Miro''s'!I72+'Faculty Club'!I72+'Almazar  &amp; Brand X'!I72+'Burger King'!I72+Bustelo!I72+Chilis!I72+Einstein!I72+Jamba!I72+'Pollo Tropical'!I72+'Subway GC'!I72+'Sushi Maki'!I72+Panda!I72+'Starbucks Mango'!I72+'Taco Bell'!I72+'Chick-fil-A'!I72+Dunkin!I72+Chipotle!I72+Sergios!I72+'Moes PG5'!I72+'Papa Johns'!I72+Salad!I72+'Half Moon &amp; Tropical Smoothie'!I72+'Athletic Concessions - Kitchen'!I72+'Starbucks BBC'!I72+'Moes BBC'!I72+'Grille Works BBC'!I72+'Subway BBC'!I72+'Market Pavillion'!I72+'Chic Fil A BBC'!I72+Panera!I72+'Heritage Market'!I72</f>
        <v>0</v>
      </c>
      <c r="J72" s="80">
        <f t="shared" si="23"/>
        <v>0</v>
      </c>
      <c r="K72" s="134">
        <f>'POD Breezeway'!K72+'Express GL'!K72+'Starbucks GL-SBX Truck'!K72+'Miro''s'!K72+'Faculty Club'!K72+'Almazar  &amp; Brand X'!K72+'Burger King'!K72+Bustelo!K72+Chilis!K72+Einstein!K72+Jamba!K72+'Pollo Tropical'!K72+'Subway GC'!K72+'Sushi Maki'!K72+Panda!K72+'Starbucks Mango'!K72+'Taco Bell'!K72+'Chick-fil-A'!K72+Dunkin!K72+Chipotle!K72+Sergios!K72+'Moes PG5'!K72+'Papa Johns'!K72+Salad!K72+'Half Moon &amp; Tropical Smoothie'!K72+'Athletic Concessions - Kitchen'!K72+'Starbucks BBC'!K72+'Moes BBC'!K72+'Grille Works BBC'!K72+'Subway BBC'!K72+'Market Pavillion'!K72+'Chic Fil A BBC'!K72+Panera!K72+'Heritage Market'!K72</f>
        <v>0</v>
      </c>
      <c r="L72" s="80">
        <f t="shared" si="24"/>
        <v>0</v>
      </c>
      <c r="M72" s="134">
        <f>'POD Breezeway'!M72+'Express GL'!M72+'Starbucks GL-SBX Truck'!M72+'Miro''s'!M72+'Faculty Club'!M72+'Almazar  &amp; Brand X'!M72+'Burger King'!M72+Bustelo!M72+Chilis!M72+Einstein!M72+Jamba!M72+'Pollo Tropical'!M72+'Subway GC'!M72+'Sushi Maki'!M72+Panda!M72+'Starbucks Mango'!M72+'Taco Bell'!M72+'Chick-fil-A'!M72+Dunkin!M72+Chipotle!M72+Sergios!M72+'Moes PG5'!M72+'Papa Johns'!M72+Salad!M72+'Half Moon &amp; Tropical Smoothie'!M72+'Athletic Concessions - Kitchen'!M72+'Starbucks BBC'!M72+'Moes BBC'!M72+'Grille Works BBC'!M72+'Subway BBC'!M72+'Market Pavillion'!M72+'Chic Fil A BBC'!M72+Panera!M72+'Heritage Market'!M72</f>
        <v>0</v>
      </c>
      <c r="N72" s="80">
        <f t="shared" si="25"/>
        <v>0</v>
      </c>
      <c r="O72" s="134">
        <f>'POD Breezeway'!O72+'Express GL'!O72+'Starbucks GL-SBX Truck'!O72+'Miro''s'!O72+'Faculty Club'!O72+'Almazar  &amp; Brand X'!O72+'Burger King'!O72+Bustelo!O72+Chilis!O72+Einstein!O72+Jamba!O72+'Pollo Tropical'!O72+'Subway GC'!O72+'Sushi Maki'!O72+Panda!O72+'Starbucks Mango'!O72+'Taco Bell'!O72+'Chick-fil-A'!O72+Dunkin!O72+Chipotle!O72+Sergios!O72+'Moes PG5'!O72+'Papa Johns'!O72+Salad!O72+'Half Moon &amp; Tropical Smoothie'!O72+'Athletic Concessions - Kitchen'!O72+'Starbucks BBC'!O72+'Moes BBC'!O72+'Grille Works BBC'!O72+'Subway BBC'!O72+'Market Pavillion'!O72+'Chic Fil A BBC'!O72+Panera!O72+'Heritage Market'!O72</f>
        <v>0</v>
      </c>
      <c r="P72" s="80">
        <f t="shared" si="26"/>
        <v>0</v>
      </c>
      <c r="Q72" s="134">
        <f>'POD Breezeway'!Q72+'Express GL'!Q72+'Starbucks GL-SBX Truck'!Q72+'Miro''s'!Q72+'Faculty Club'!Q72+'Almazar  &amp; Brand X'!Q72+'Burger King'!Q72+Bustelo!Q72+Chilis!Q72+Einstein!Q72+Jamba!Q72+'Pollo Tropical'!Q72+'Subway GC'!Q72+'Sushi Maki'!Q72+Panda!Q72+'Starbucks Mango'!Q72+'Taco Bell'!Q72+'Chick-fil-A'!Q72+Dunkin!Q72+Chipotle!Q72+Sergios!Q72+'Moes PG5'!Q72+'Papa Johns'!Q72+Salad!Q72+'Half Moon &amp; Tropical Smoothie'!Q72+'Athletic Concessions - Kitchen'!Q72+'Starbucks BBC'!Q72+'Moes BBC'!Q72+'Grille Works BBC'!Q72+'Subway BBC'!Q72+'Market Pavillion'!Q72+'Chic Fil A BBC'!Q72+Panera!Q72+'Heritage Market'!Q72</f>
        <v>0</v>
      </c>
      <c r="R72" s="80">
        <f t="shared" si="27"/>
        <v>0</v>
      </c>
      <c r="S72" s="134">
        <f>'POD Breezeway'!S72+'Express GL'!S72+'Starbucks GL-SBX Truck'!S72+'Miro''s'!S72+'Faculty Club'!S72+'Almazar  &amp; Brand X'!S72+'Burger King'!S72+Bustelo!S72+Chilis!S72+Einstein!S72+Jamba!S72+'Pollo Tropical'!S72+'Subway GC'!S72+'Sushi Maki'!S72+Panda!S72+'Starbucks Mango'!S72+'Taco Bell'!S72+'Chick-fil-A'!S72+Dunkin!S72+Chipotle!S72+Sergios!S72+'Moes PG5'!S72+'Papa Johns'!S72+Salad!S72+'Half Moon &amp; Tropical Smoothie'!S72+'Athletic Concessions - Kitchen'!S72+'Starbucks BBC'!S72+'Moes BBC'!S72+'Grille Works BBC'!S72+'Subway BBC'!S72+'Market Pavillion'!S72+'Chic Fil A BBC'!S72+Panera!S72+'Heritage Market'!S72</f>
        <v>0</v>
      </c>
      <c r="T72" s="80">
        <f t="shared" si="28"/>
        <v>0</v>
      </c>
      <c r="U72" s="134">
        <f>'POD Breezeway'!U72+'Express GL'!U72+'Starbucks GL-SBX Truck'!U72+'Miro''s'!U72+'Faculty Club'!U72+'Almazar  &amp; Brand X'!U72+'Burger King'!U72+Bustelo!U72+Chilis!U72+Einstein!U72+Jamba!U72+'Pollo Tropical'!U72+'Subway GC'!U72+'Sushi Maki'!U72+Panda!U72+'Starbucks Mango'!U72+'Taco Bell'!U72+'Chick-fil-A'!U72+Dunkin!U72+Chipotle!U72+Sergios!U72+'Moes PG5'!U72+'Papa Johns'!U72+Salad!U72+'Half Moon &amp; Tropical Smoothie'!U72+'Athletic Concessions - Kitchen'!U72+'Starbucks BBC'!U72+'Moes BBC'!U72+'Grille Works BBC'!U72+'Subway BBC'!U72+'Market Pavillion'!U72+'Chic Fil A BBC'!U72+Panera!U72+'Heritage Market'!U72</f>
        <v>0</v>
      </c>
      <c r="V72" s="80">
        <f t="shared" si="29"/>
        <v>0</v>
      </c>
    </row>
    <row r="73" spans="1:22" ht="12.75" customHeight="1">
      <c r="A73" s="2" t="s">
        <v>404</v>
      </c>
      <c r="B73" s="35"/>
      <c r="C73" s="134">
        <f>'POD Breezeway'!C73+'Express GL'!C73+'Starbucks GL-SBX Truck'!C73+'Miro''s'!C73+'Faculty Club'!C73+'Almazar  &amp; Brand X'!C73+'Burger King'!C73+Bustelo!C73+Chilis!C73+Einstein!C73+Jamba!C73+'Pollo Tropical'!C73+'Subway GC'!C73+'Sushi Maki'!C73+Panda!C73+'Starbucks Mango'!C73+'Taco Bell'!C73+'Chick-fil-A'!C73+Dunkin!C73+Chipotle!C73+Sergios!C73+'Moes PG5'!C73+'Papa Johns'!C73+Salad!C73+'Half Moon &amp; Tropical Smoothie'!C73+'Athletic Concessions - Kitchen'!C73+'Starbucks BBC'!C73+'Moes BBC'!C73+'Grille Works BBC'!C73+'Subway BBC'!C73+'Market Pavillion'!C73+'Chic Fil A BBC'!C73+Panera!C73+'Heritage Market'!C73</f>
        <v>0</v>
      </c>
      <c r="D73" s="80">
        <f t="shared" si="20"/>
        <v>0</v>
      </c>
      <c r="E73" s="134">
        <f>'POD Breezeway'!E73+'Express GL'!E73+'Starbucks GL-SBX Truck'!E73+'Miro''s'!E73+'Faculty Club'!E73+'Almazar  &amp; Brand X'!E73+'Burger King'!E73+Bustelo!E73+Chilis!E73+Einstein!E73+Jamba!E73+'Pollo Tropical'!E73+'Subway GC'!E73+'Sushi Maki'!E73+Panda!E73+'Starbucks Mango'!E73+'Taco Bell'!E73+'Chick-fil-A'!E73+Dunkin!E73+Chipotle!E73+Sergios!E73+'Moes PG5'!E73+'Papa Johns'!E73+Salad!E73+'Half Moon &amp; Tropical Smoothie'!E73+'Athletic Concessions - Kitchen'!E73+'Starbucks BBC'!E73+'Moes BBC'!E73+'Grille Works BBC'!E73+'Subway BBC'!E73+'Market Pavillion'!E73+'Chic Fil A BBC'!E73+Panera!E73+'Heritage Market'!E73</f>
        <v>0</v>
      </c>
      <c r="F73" s="80">
        <f t="shared" si="21"/>
        <v>0</v>
      </c>
      <c r="G73" s="134">
        <f>'POD Breezeway'!G73+'Express GL'!G73+'Starbucks GL-SBX Truck'!G73+'Miro''s'!G73+'Faculty Club'!G73+'Almazar  &amp; Brand X'!G73+'Burger King'!G73+Bustelo!G73+Chilis!G73+Einstein!G73+Jamba!G73+'Pollo Tropical'!G73+'Subway GC'!G73+'Sushi Maki'!G73+Panda!G73+'Starbucks Mango'!G73+'Taco Bell'!G73+'Chick-fil-A'!G73+Dunkin!G73+Chipotle!G73+Sergios!G73+'Moes PG5'!G73+'Papa Johns'!G73+Salad!G73+'Half Moon &amp; Tropical Smoothie'!G73+'Athletic Concessions - Kitchen'!G73+'Starbucks BBC'!G73+'Moes BBC'!G73+'Grille Works BBC'!G73+'Subway BBC'!G73+'Market Pavillion'!G73+'Chic Fil A BBC'!G73+Panera!G73+'Heritage Market'!G73</f>
        <v>0</v>
      </c>
      <c r="H73" s="80">
        <f t="shared" si="22"/>
        <v>0</v>
      </c>
      <c r="I73" s="134">
        <f>'POD Breezeway'!I73+'Express GL'!I73+'Starbucks GL-SBX Truck'!I73+'Miro''s'!I73+'Faculty Club'!I73+'Almazar  &amp; Brand X'!I73+'Burger King'!I73+Bustelo!I73+Chilis!I73+Einstein!I73+Jamba!I73+'Pollo Tropical'!I73+'Subway GC'!I73+'Sushi Maki'!I73+Panda!I73+'Starbucks Mango'!I73+'Taco Bell'!I73+'Chick-fil-A'!I73+Dunkin!I73+Chipotle!I73+Sergios!I73+'Moes PG5'!I73+'Papa Johns'!I73+Salad!I73+'Half Moon &amp; Tropical Smoothie'!I73+'Athletic Concessions - Kitchen'!I73+'Starbucks BBC'!I73+'Moes BBC'!I73+'Grille Works BBC'!I73+'Subway BBC'!I73+'Market Pavillion'!I73+'Chic Fil A BBC'!I73+Panera!I73+'Heritage Market'!I73</f>
        <v>0</v>
      </c>
      <c r="J73" s="80">
        <f t="shared" si="23"/>
        <v>0</v>
      </c>
      <c r="K73" s="134">
        <f>'POD Breezeway'!K73+'Express GL'!K73+'Starbucks GL-SBX Truck'!K73+'Miro''s'!K73+'Faculty Club'!K73+'Almazar  &amp; Brand X'!K73+'Burger King'!K73+Bustelo!K73+Chilis!K73+Einstein!K73+Jamba!K73+'Pollo Tropical'!K73+'Subway GC'!K73+'Sushi Maki'!K73+Panda!K73+'Starbucks Mango'!K73+'Taco Bell'!K73+'Chick-fil-A'!K73+Dunkin!K73+Chipotle!K73+Sergios!K73+'Moes PG5'!K73+'Papa Johns'!K73+Salad!K73+'Half Moon &amp; Tropical Smoothie'!K73+'Athletic Concessions - Kitchen'!K73+'Starbucks BBC'!K73+'Moes BBC'!K73+'Grille Works BBC'!K73+'Subway BBC'!K73+'Market Pavillion'!K73+'Chic Fil A BBC'!K73+Panera!K73+'Heritage Market'!K73</f>
        <v>0</v>
      </c>
      <c r="L73" s="80">
        <f t="shared" si="24"/>
        <v>0</v>
      </c>
      <c r="M73" s="134">
        <f>'POD Breezeway'!M73+'Express GL'!M73+'Starbucks GL-SBX Truck'!M73+'Miro''s'!M73+'Faculty Club'!M73+'Almazar  &amp; Brand X'!M73+'Burger King'!M73+Bustelo!M73+Chilis!M73+Einstein!M73+Jamba!M73+'Pollo Tropical'!M73+'Subway GC'!M73+'Sushi Maki'!M73+Panda!M73+'Starbucks Mango'!M73+'Taco Bell'!M73+'Chick-fil-A'!M73+Dunkin!M73+Chipotle!M73+Sergios!M73+'Moes PG5'!M73+'Papa Johns'!M73+Salad!M73+'Half Moon &amp; Tropical Smoothie'!M73+'Athletic Concessions - Kitchen'!M73+'Starbucks BBC'!M73+'Moes BBC'!M73+'Grille Works BBC'!M73+'Subway BBC'!M73+'Market Pavillion'!M73+'Chic Fil A BBC'!M73+Panera!M73+'Heritage Market'!M73</f>
        <v>0</v>
      </c>
      <c r="N73" s="80">
        <f t="shared" si="25"/>
        <v>0</v>
      </c>
      <c r="O73" s="134">
        <f>'POD Breezeway'!O73+'Express GL'!O73+'Starbucks GL-SBX Truck'!O73+'Miro''s'!O73+'Faculty Club'!O73+'Almazar  &amp; Brand X'!O73+'Burger King'!O73+Bustelo!O73+Chilis!O73+Einstein!O73+Jamba!O73+'Pollo Tropical'!O73+'Subway GC'!O73+'Sushi Maki'!O73+Panda!O73+'Starbucks Mango'!O73+'Taco Bell'!O73+'Chick-fil-A'!O73+Dunkin!O73+Chipotle!O73+Sergios!O73+'Moes PG5'!O73+'Papa Johns'!O73+Salad!O73+'Half Moon &amp; Tropical Smoothie'!O73+'Athletic Concessions - Kitchen'!O73+'Starbucks BBC'!O73+'Moes BBC'!O73+'Grille Works BBC'!O73+'Subway BBC'!O73+'Market Pavillion'!O73+'Chic Fil A BBC'!O73+Panera!O73+'Heritage Market'!O73</f>
        <v>0</v>
      </c>
      <c r="P73" s="80">
        <f t="shared" si="26"/>
        <v>0</v>
      </c>
      <c r="Q73" s="134">
        <f>'POD Breezeway'!Q73+'Express GL'!Q73+'Starbucks GL-SBX Truck'!Q73+'Miro''s'!Q73+'Faculty Club'!Q73+'Almazar  &amp; Brand X'!Q73+'Burger King'!Q73+Bustelo!Q73+Chilis!Q73+Einstein!Q73+Jamba!Q73+'Pollo Tropical'!Q73+'Subway GC'!Q73+'Sushi Maki'!Q73+Panda!Q73+'Starbucks Mango'!Q73+'Taco Bell'!Q73+'Chick-fil-A'!Q73+Dunkin!Q73+Chipotle!Q73+Sergios!Q73+'Moes PG5'!Q73+'Papa Johns'!Q73+Salad!Q73+'Half Moon &amp; Tropical Smoothie'!Q73+'Athletic Concessions - Kitchen'!Q73+'Starbucks BBC'!Q73+'Moes BBC'!Q73+'Grille Works BBC'!Q73+'Subway BBC'!Q73+'Market Pavillion'!Q73+'Chic Fil A BBC'!Q73+Panera!Q73+'Heritage Market'!Q73</f>
        <v>0</v>
      </c>
      <c r="R73" s="80">
        <f t="shared" si="27"/>
        <v>0</v>
      </c>
      <c r="S73" s="134">
        <f>'POD Breezeway'!S73+'Express GL'!S73+'Starbucks GL-SBX Truck'!S73+'Miro''s'!S73+'Faculty Club'!S73+'Almazar  &amp; Brand X'!S73+'Burger King'!S73+Bustelo!S73+Chilis!S73+Einstein!S73+Jamba!S73+'Pollo Tropical'!S73+'Subway GC'!S73+'Sushi Maki'!S73+Panda!S73+'Starbucks Mango'!S73+'Taco Bell'!S73+'Chick-fil-A'!S73+Dunkin!S73+Chipotle!S73+Sergios!S73+'Moes PG5'!S73+'Papa Johns'!S73+Salad!S73+'Half Moon &amp; Tropical Smoothie'!S73+'Athletic Concessions - Kitchen'!S73+'Starbucks BBC'!S73+'Moes BBC'!S73+'Grille Works BBC'!S73+'Subway BBC'!S73+'Market Pavillion'!S73+'Chic Fil A BBC'!S73+Panera!S73+'Heritage Market'!S73</f>
        <v>0</v>
      </c>
      <c r="T73" s="80">
        <f t="shared" si="28"/>
        <v>0</v>
      </c>
      <c r="U73" s="134">
        <f>'POD Breezeway'!U73+'Express GL'!U73+'Starbucks GL-SBX Truck'!U73+'Miro''s'!U73+'Faculty Club'!U73+'Almazar  &amp; Brand X'!U73+'Burger King'!U73+Bustelo!U73+Chilis!U73+Einstein!U73+Jamba!U73+'Pollo Tropical'!U73+'Subway GC'!U73+'Sushi Maki'!U73+Panda!U73+'Starbucks Mango'!U73+'Taco Bell'!U73+'Chick-fil-A'!U73+Dunkin!U73+Chipotle!U73+Sergios!U73+'Moes PG5'!U73+'Papa Johns'!U73+Salad!U73+'Half Moon &amp; Tropical Smoothie'!U73+'Athletic Concessions - Kitchen'!U73+'Starbucks BBC'!U73+'Moes BBC'!U73+'Grille Works BBC'!U73+'Subway BBC'!U73+'Market Pavillion'!U73+'Chic Fil A BBC'!U73+Panera!U73+'Heritage Market'!U73</f>
        <v>0</v>
      </c>
      <c r="V73" s="80">
        <f t="shared" si="29"/>
        <v>0</v>
      </c>
    </row>
    <row r="74" spans="1:22" ht="12.75" customHeight="1">
      <c r="A74" s="2" t="s">
        <v>405</v>
      </c>
      <c r="B74" s="35"/>
      <c r="C74" s="134">
        <f>'POD Breezeway'!C74+'Express GL'!C74+'Starbucks GL-SBX Truck'!C74+'Miro''s'!C74+'Faculty Club'!C74+'Almazar  &amp; Brand X'!C74+'Burger King'!C74+Bustelo!C74+Chilis!C74+Einstein!C74+Jamba!C74+'Pollo Tropical'!C74+'Subway GC'!C74+'Sushi Maki'!C74+Panda!C74+'Starbucks Mango'!C74+'Taco Bell'!C74+'Chick-fil-A'!C74+Dunkin!C74+Chipotle!C74+Sergios!C74+'Moes PG5'!C74+'Papa Johns'!C74+Salad!C74+'Half Moon &amp; Tropical Smoothie'!C74+'Athletic Concessions - Kitchen'!C74+'Starbucks BBC'!C74+'Moes BBC'!C74+'Grille Works BBC'!C74+'Subway BBC'!C74+'Market Pavillion'!C74+'Chic Fil A BBC'!C74+Panera!C74+'Heritage Market'!C74</f>
        <v>0</v>
      </c>
      <c r="D74" s="80">
        <f t="shared" si="20"/>
        <v>0</v>
      </c>
      <c r="E74" s="134">
        <f>'POD Breezeway'!E74+'Express GL'!E74+'Starbucks GL-SBX Truck'!E74+'Miro''s'!E74+'Faculty Club'!E74+'Almazar  &amp; Brand X'!E74+'Burger King'!E74+Bustelo!E74+Chilis!E74+Einstein!E74+Jamba!E74+'Pollo Tropical'!E74+'Subway GC'!E74+'Sushi Maki'!E74+Panda!E74+'Starbucks Mango'!E74+'Taco Bell'!E74+'Chick-fil-A'!E74+Dunkin!E74+Chipotle!E74+Sergios!E74+'Moes PG5'!E74+'Papa Johns'!E74+Salad!E74+'Half Moon &amp; Tropical Smoothie'!E74+'Athletic Concessions - Kitchen'!E74+'Starbucks BBC'!E74+'Moes BBC'!E74+'Grille Works BBC'!E74+'Subway BBC'!E74+'Market Pavillion'!E74+'Chic Fil A BBC'!E74+Panera!E74+'Heritage Market'!E74</f>
        <v>0</v>
      </c>
      <c r="F74" s="80">
        <f t="shared" si="21"/>
        <v>0</v>
      </c>
      <c r="G74" s="134">
        <f>'POD Breezeway'!G74+'Express GL'!G74+'Starbucks GL-SBX Truck'!G74+'Miro''s'!G74+'Faculty Club'!G74+'Almazar  &amp; Brand X'!G74+'Burger King'!G74+Bustelo!G74+Chilis!G74+Einstein!G74+Jamba!G74+'Pollo Tropical'!G74+'Subway GC'!G74+'Sushi Maki'!G74+Panda!G74+'Starbucks Mango'!G74+'Taco Bell'!G74+'Chick-fil-A'!G74+Dunkin!G74+Chipotle!G74+Sergios!G74+'Moes PG5'!G74+'Papa Johns'!G74+Salad!G74+'Half Moon &amp; Tropical Smoothie'!G74+'Athletic Concessions - Kitchen'!G74+'Starbucks BBC'!G74+'Moes BBC'!G74+'Grille Works BBC'!G74+'Subway BBC'!G74+'Market Pavillion'!G74+'Chic Fil A BBC'!G74+Panera!G74+'Heritage Market'!G74</f>
        <v>0</v>
      </c>
      <c r="H74" s="80">
        <f t="shared" si="22"/>
        <v>0</v>
      </c>
      <c r="I74" s="134">
        <f>'POD Breezeway'!I74+'Express GL'!I74+'Starbucks GL-SBX Truck'!I74+'Miro''s'!I74+'Faculty Club'!I74+'Almazar  &amp; Brand X'!I74+'Burger King'!I74+Bustelo!I74+Chilis!I74+Einstein!I74+Jamba!I74+'Pollo Tropical'!I74+'Subway GC'!I74+'Sushi Maki'!I74+Panda!I74+'Starbucks Mango'!I74+'Taco Bell'!I74+'Chick-fil-A'!I74+Dunkin!I74+Chipotle!I74+Sergios!I74+'Moes PG5'!I74+'Papa Johns'!I74+Salad!I74+'Half Moon &amp; Tropical Smoothie'!I74+'Athletic Concessions - Kitchen'!I74+'Starbucks BBC'!I74+'Moes BBC'!I74+'Grille Works BBC'!I74+'Subway BBC'!I74+'Market Pavillion'!I74+'Chic Fil A BBC'!I74+Panera!I74+'Heritage Market'!I74</f>
        <v>0</v>
      </c>
      <c r="J74" s="80">
        <f t="shared" si="23"/>
        <v>0</v>
      </c>
      <c r="K74" s="134">
        <f>'POD Breezeway'!K74+'Express GL'!K74+'Starbucks GL-SBX Truck'!K74+'Miro''s'!K74+'Faculty Club'!K74+'Almazar  &amp; Brand X'!K74+'Burger King'!K74+Bustelo!K74+Chilis!K74+Einstein!K74+Jamba!K74+'Pollo Tropical'!K74+'Subway GC'!K74+'Sushi Maki'!K74+Panda!K74+'Starbucks Mango'!K74+'Taco Bell'!K74+'Chick-fil-A'!K74+Dunkin!K74+Chipotle!K74+Sergios!K74+'Moes PG5'!K74+'Papa Johns'!K74+Salad!K74+'Half Moon &amp; Tropical Smoothie'!K74+'Athletic Concessions - Kitchen'!K74+'Starbucks BBC'!K74+'Moes BBC'!K74+'Grille Works BBC'!K74+'Subway BBC'!K74+'Market Pavillion'!K74+'Chic Fil A BBC'!K74+Panera!K74+'Heritage Market'!K74</f>
        <v>0</v>
      </c>
      <c r="L74" s="80">
        <f t="shared" si="24"/>
        <v>0</v>
      </c>
      <c r="M74" s="134">
        <f>'POD Breezeway'!M74+'Express GL'!M74+'Starbucks GL-SBX Truck'!M74+'Miro''s'!M74+'Faculty Club'!M74+'Almazar  &amp; Brand X'!M74+'Burger King'!M74+Bustelo!M74+Chilis!M74+Einstein!M74+Jamba!M74+'Pollo Tropical'!M74+'Subway GC'!M74+'Sushi Maki'!M74+Panda!M74+'Starbucks Mango'!M74+'Taco Bell'!M74+'Chick-fil-A'!M74+Dunkin!M74+Chipotle!M74+Sergios!M74+'Moes PG5'!M74+'Papa Johns'!M74+Salad!M74+'Half Moon &amp; Tropical Smoothie'!M74+'Athletic Concessions - Kitchen'!M74+'Starbucks BBC'!M74+'Moes BBC'!M74+'Grille Works BBC'!M74+'Subway BBC'!M74+'Market Pavillion'!M74+'Chic Fil A BBC'!M74+Panera!M74+'Heritage Market'!M74</f>
        <v>0</v>
      </c>
      <c r="N74" s="80">
        <f t="shared" si="25"/>
        <v>0</v>
      </c>
      <c r="O74" s="134">
        <f>'POD Breezeway'!O74+'Express GL'!O74+'Starbucks GL-SBX Truck'!O74+'Miro''s'!O74+'Faculty Club'!O74+'Almazar  &amp; Brand X'!O74+'Burger King'!O74+Bustelo!O74+Chilis!O74+Einstein!O74+Jamba!O74+'Pollo Tropical'!O74+'Subway GC'!O74+'Sushi Maki'!O74+Panda!O74+'Starbucks Mango'!O74+'Taco Bell'!O74+'Chick-fil-A'!O74+Dunkin!O74+Chipotle!O74+Sergios!O74+'Moes PG5'!O74+'Papa Johns'!O74+Salad!O74+'Half Moon &amp; Tropical Smoothie'!O74+'Athletic Concessions - Kitchen'!O74+'Starbucks BBC'!O74+'Moes BBC'!O74+'Grille Works BBC'!O74+'Subway BBC'!O74+'Market Pavillion'!O74+'Chic Fil A BBC'!O74+Panera!O74+'Heritage Market'!O74</f>
        <v>0</v>
      </c>
      <c r="P74" s="80">
        <f t="shared" si="26"/>
        <v>0</v>
      </c>
      <c r="Q74" s="134">
        <f>'POD Breezeway'!Q74+'Express GL'!Q74+'Starbucks GL-SBX Truck'!Q74+'Miro''s'!Q74+'Faculty Club'!Q74+'Almazar  &amp; Brand X'!Q74+'Burger King'!Q74+Bustelo!Q74+Chilis!Q74+Einstein!Q74+Jamba!Q74+'Pollo Tropical'!Q74+'Subway GC'!Q74+'Sushi Maki'!Q74+Panda!Q74+'Starbucks Mango'!Q74+'Taco Bell'!Q74+'Chick-fil-A'!Q74+Dunkin!Q74+Chipotle!Q74+Sergios!Q74+'Moes PG5'!Q74+'Papa Johns'!Q74+Salad!Q74+'Half Moon &amp; Tropical Smoothie'!Q74+'Athletic Concessions - Kitchen'!Q74+'Starbucks BBC'!Q74+'Moes BBC'!Q74+'Grille Works BBC'!Q74+'Subway BBC'!Q74+'Market Pavillion'!Q74+'Chic Fil A BBC'!Q74+Panera!Q74+'Heritage Market'!Q74</f>
        <v>0</v>
      </c>
      <c r="R74" s="80">
        <f t="shared" si="27"/>
        <v>0</v>
      </c>
      <c r="S74" s="134">
        <f>'POD Breezeway'!S74+'Express GL'!S74+'Starbucks GL-SBX Truck'!S74+'Miro''s'!S74+'Faculty Club'!S74+'Almazar  &amp; Brand X'!S74+'Burger King'!S74+Bustelo!S74+Chilis!S74+Einstein!S74+Jamba!S74+'Pollo Tropical'!S74+'Subway GC'!S74+'Sushi Maki'!S74+Panda!S74+'Starbucks Mango'!S74+'Taco Bell'!S74+'Chick-fil-A'!S74+Dunkin!S74+Chipotle!S74+Sergios!S74+'Moes PG5'!S74+'Papa Johns'!S74+Salad!S74+'Half Moon &amp; Tropical Smoothie'!S74+'Athletic Concessions - Kitchen'!S74+'Starbucks BBC'!S74+'Moes BBC'!S74+'Grille Works BBC'!S74+'Subway BBC'!S74+'Market Pavillion'!S74+'Chic Fil A BBC'!S74+Panera!S74+'Heritage Market'!S74</f>
        <v>0</v>
      </c>
      <c r="T74" s="80">
        <f t="shared" si="28"/>
        <v>0</v>
      </c>
      <c r="U74" s="134">
        <f>'POD Breezeway'!U74+'Express GL'!U74+'Starbucks GL-SBX Truck'!U74+'Miro''s'!U74+'Faculty Club'!U74+'Almazar  &amp; Brand X'!U74+'Burger King'!U74+Bustelo!U74+Chilis!U74+Einstein!U74+Jamba!U74+'Pollo Tropical'!U74+'Subway GC'!U74+'Sushi Maki'!U74+Panda!U74+'Starbucks Mango'!U74+'Taco Bell'!U74+'Chick-fil-A'!U74+Dunkin!U74+Chipotle!U74+Sergios!U74+'Moes PG5'!U74+'Papa Johns'!U74+Salad!U74+'Half Moon &amp; Tropical Smoothie'!U74+'Athletic Concessions - Kitchen'!U74+'Starbucks BBC'!U74+'Moes BBC'!U74+'Grille Works BBC'!U74+'Subway BBC'!U74+'Market Pavillion'!U74+'Chic Fil A BBC'!U74+Panera!U74+'Heritage Market'!U74</f>
        <v>0</v>
      </c>
      <c r="V74" s="80">
        <f t="shared" si="29"/>
        <v>0</v>
      </c>
    </row>
    <row r="75" spans="1:22" ht="12.75" customHeight="1">
      <c r="A75" s="221" t="s">
        <v>406</v>
      </c>
      <c r="B75" s="222"/>
      <c r="C75" s="134">
        <f>'POD Breezeway'!C75+'Express GL'!C75+'Starbucks GL-SBX Truck'!C75+'Miro''s'!C75+'Faculty Club'!C75+'Almazar  &amp; Brand X'!C75+'Burger King'!C75+Bustelo!C75+Chilis!C75+Einstein!C75+Jamba!C75+'Pollo Tropical'!C75+'Subway GC'!C75+'Sushi Maki'!C75+Panda!C75+'Starbucks Mango'!C75+'Taco Bell'!C75+'Chick-fil-A'!C75+Dunkin!C75+Chipotle!C75+Sergios!C75+'Moes PG5'!C75+'Papa Johns'!C75+Salad!C75+'Half Moon &amp; Tropical Smoothie'!C75+'Athletic Concessions - Kitchen'!C75+'Starbucks BBC'!C75+'Moes BBC'!C75+'Grille Works BBC'!C75+'Subway BBC'!C75+'Market Pavillion'!C75+'Chic Fil A BBC'!C75+Panera!C75+'Heritage Market'!C75</f>
        <v>77876.496899999998</v>
      </c>
      <c r="D75" s="80">
        <f t="shared" si="20"/>
        <v>4.8994954285481529E-3</v>
      </c>
      <c r="E75" s="134">
        <f>'POD Breezeway'!E75+'Express GL'!E75+'Starbucks GL-SBX Truck'!E75+'Miro''s'!E75+'Faculty Club'!E75+'Almazar  &amp; Brand X'!E75+'Burger King'!E75+Bustelo!E75+Chilis!E75+Einstein!E75+Jamba!E75+'Pollo Tropical'!E75+'Subway GC'!E75+'Sushi Maki'!E75+Panda!E75+'Starbucks Mango'!E75+'Taco Bell'!E75+'Chick-fil-A'!E75+Dunkin!E75+Chipotle!E75+Sergios!E75+'Moes PG5'!E75+'Papa Johns'!E75+Salad!E75+'Half Moon &amp; Tropical Smoothie'!E75+'Athletic Concessions - Kitchen'!E75+'Starbucks BBC'!E75+'Moes BBC'!E75+'Grille Works BBC'!E75+'Subway BBC'!E75+'Market Pavillion'!E75+'Chic Fil A BBC'!E75+Panera!E75+'Heritage Market'!E75</f>
        <v>84981.25</v>
      </c>
      <c r="F75" s="80">
        <f t="shared" si="21"/>
        <v>4.9046300688992848E-3</v>
      </c>
      <c r="G75" s="134">
        <f>'POD Breezeway'!G75+'Express GL'!G75+'Starbucks GL-SBX Truck'!G75+'Miro''s'!G75+'Faculty Club'!G75+'Almazar  &amp; Brand X'!G75+'Burger King'!G75+Bustelo!G75+Chilis!G75+Einstein!G75+Jamba!G75+'Pollo Tropical'!G75+'Subway GC'!G75+'Sushi Maki'!G75+Panda!G75+'Starbucks Mango'!G75+'Taco Bell'!G75+'Chick-fil-A'!G75+Dunkin!G75+Chipotle!G75+Sergios!G75+'Moes PG5'!G75+'Papa Johns'!G75+Salad!G75+'Half Moon &amp; Tropical Smoothie'!G75+'Athletic Concessions - Kitchen'!G75+'Starbucks BBC'!G75+'Moes BBC'!G75+'Grille Works BBC'!G75+'Subway BBC'!G75+'Market Pavillion'!G75+'Chic Fil A BBC'!G75+Panera!G75+'Heritage Market'!G75</f>
        <v>93917.900000000009</v>
      </c>
      <c r="H75" s="80">
        <f t="shared" si="22"/>
        <v>4.911849420751244E-3</v>
      </c>
      <c r="I75" s="134">
        <f>'POD Breezeway'!I75+'Express GL'!I75+'Starbucks GL-SBX Truck'!I75+'Miro''s'!I75+'Faculty Club'!I75+'Almazar  &amp; Brand X'!I75+'Burger King'!I75+Bustelo!I75+Chilis!I75+Einstein!I75+Jamba!I75+'Pollo Tropical'!I75+'Subway GC'!I75+'Sushi Maki'!I75+Panda!I75+'Starbucks Mango'!I75+'Taco Bell'!I75+'Chick-fil-A'!I75+Dunkin!I75+Chipotle!I75+Sergios!I75+'Moes PG5'!I75+'Papa Johns'!I75+Salad!I75+'Half Moon &amp; Tropical Smoothie'!I75+'Athletic Concessions - Kitchen'!I75+'Starbucks BBC'!I75+'Moes BBC'!I75+'Grille Works BBC'!I75+'Subway BBC'!I75+'Market Pavillion'!I75+'Chic Fil A BBC'!I75+Panera!I75+'Heritage Market'!I75</f>
        <v>95841.681000000011</v>
      </c>
      <c r="J75" s="80">
        <f t="shared" si="23"/>
        <v>4.9118904624408178E-3</v>
      </c>
      <c r="K75" s="134">
        <f>'POD Breezeway'!K75+'Express GL'!K75+'Starbucks GL-SBX Truck'!K75+'Miro''s'!K75+'Faculty Club'!K75+'Almazar  &amp; Brand X'!K75+'Burger King'!K75+Bustelo!K75+Chilis!K75+Einstein!K75+Jamba!K75+'Pollo Tropical'!K75+'Subway GC'!K75+'Sushi Maki'!K75+Panda!K75+'Starbucks Mango'!K75+'Taco Bell'!K75+'Chick-fil-A'!K75+Dunkin!K75+Chipotle!K75+Sergios!K75+'Moes PG5'!K75+'Papa Johns'!K75+Salad!K75+'Half Moon &amp; Tropical Smoothie'!K75+'Athletic Concessions - Kitchen'!K75+'Starbucks BBC'!K75+'Moes BBC'!K75+'Grille Works BBC'!K75+'Subway BBC'!K75+'Market Pavillion'!K75+'Chic Fil A BBC'!K75+Panera!K75+'Heritage Market'!K75</f>
        <v>97570.254930000025</v>
      </c>
      <c r="L75" s="80">
        <f t="shared" si="24"/>
        <v>4.9117234584982019E-3</v>
      </c>
      <c r="M75" s="134">
        <f>'POD Breezeway'!M75+'Express GL'!M75+'Starbucks GL-SBX Truck'!M75+'Miro''s'!M75+'Faculty Club'!M75+'Almazar  &amp; Brand X'!M75+'Burger King'!M75+Bustelo!M75+Chilis!M75+Einstein!M75+Jamba!M75+'Pollo Tropical'!M75+'Subway GC'!M75+'Sushi Maki'!M75+Panda!M75+'Starbucks Mango'!M75+'Taco Bell'!M75+'Chick-fil-A'!M75+Dunkin!M75+Chipotle!M75+Sergios!M75+'Moes PG5'!M75+'Papa Johns'!M75+Salad!M75+'Half Moon &amp; Tropical Smoothie'!M75+'Athletic Concessions - Kitchen'!M75+'Starbucks BBC'!M75+'Moes BBC'!M75+'Grille Works BBC'!M75+'Subway BBC'!M75+'Market Pavillion'!M75+'Chic Fil A BBC'!M75+Panera!M75+'Heritage Market'!M75</f>
        <v>99331.517741700009</v>
      </c>
      <c r="N75" s="80">
        <f t="shared" si="25"/>
        <v>4.9115574668729704E-3</v>
      </c>
      <c r="O75" s="134">
        <f>'POD Breezeway'!O75+'Express GL'!O75+'Starbucks GL-SBX Truck'!O75+'Miro''s'!O75+'Faculty Club'!O75+'Almazar  &amp; Brand X'!O75+'Burger King'!O75+Bustelo!O75+Chilis!O75+Einstein!O75+Jamba!O75+'Pollo Tropical'!O75+'Subway GC'!O75+'Sushi Maki'!O75+Panda!O75+'Starbucks Mango'!O75+'Taco Bell'!O75+'Chick-fil-A'!O75+Dunkin!O75+Chipotle!O75+Sergios!O75+'Moes PG5'!O75+'Papa Johns'!O75+Salad!O75+'Half Moon &amp; Tropical Smoothie'!O75+'Athletic Concessions - Kitchen'!O75+'Starbucks BBC'!O75+'Moes BBC'!O75+'Grille Works BBC'!O75+'Subway BBC'!O75+'Market Pavillion'!O75+'Chic Fil A BBC'!O75+Panera!O75+'Heritage Market'!O75</f>
        <v>101126.104386765</v>
      </c>
      <c r="P75" s="80">
        <f t="shared" si="26"/>
        <v>4.9113924863714966E-3</v>
      </c>
      <c r="Q75" s="134">
        <f>'POD Breezeway'!Q75+'Express GL'!Q75+'Starbucks GL-SBX Truck'!Q75+'Miro''s'!Q75+'Faculty Club'!Q75+'Almazar  &amp; Brand X'!Q75+'Burger King'!Q75+Bustelo!Q75+Chilis!Q75+Einstein!Q75+Jamba!Q75+'Pollo Tropical'!Q75+'Subway GC'!Q75+'Sushi Maki'!Q75+Panda!Q75+'Starbucks Mango'!Q75+'Taco Bell'!Q75+'Chick-fil-A'!Q75+Dunkin!Q75+Chipotle!Q75+Sergios!Q75+'Moes PG5'!Q75+'Papa Johns'!Q75+Salad!Q75+'Half Moon &amp; Tropical Smoothie'!Q75+'Athletic Concessions - Kitchen'!Q75+'Starbucks BBC'!Q75+'Moes BBC'!Q75+'Grille Works BBC'!Q75+'Subway BBC'!Q75+'Market Pavillion'!Q75+'Chic Fil A BBC'!Q75+Panera!Q75+'Heritage Market'!Q75</f>
        <v>102954.66232763363</v>
      </c>
      <c r="R75" s="80">
        <f t="shared" si="27"/>
        <v>4.9112285157171089E-3</v>
      </c>
      <c r="S75" s="134">
        <f>'POD Breezeway'!S75+'Express GL'!S75+'Starbucks GL-SBX Truck'!S75+'Miro''s'!S75+'Faculty Club'!S75+'Almazar  &amp; Brand X'!S75+'Burger King'!S75+Bustelo!S75+Chilis!S75+Einstein!S75+Jamba!S75+'Pollo Tropical'!S75+'Subway GC'!S75+'Sushi Maki'!S75+Panda!S75+'Starbucks Mango'!S75+'Taco Bell'!S75+'Chick-fil-A'!S75+Dunkin!S75+Chipotle!S75+Sergios!S75+'Moes PG5'!S75+'Papa Johns'!S75+Salad!S75+'Half Moon &amp; Tropical Smoothie'!S75+'Athletic Concessions - Kitchen'!S75+'Starbucks BBC'!S75+'Moes BBC'!S75+'Grille Works BBC'!S75+'Subway BBC'!S75+'Market Pavillion'!S75+'Chic Fil A BBC'!S75+Panera!S75+'Heritage Market'!S75</f>
        <v>104817.85178585094</v>
      </c>
      <c r="T75" s="80">
        <f t="shared" si="28"/>
        <v>4.9110655535512847E-3</v>
      </c>
      <c r="U75" s="134">
        <f>'POD Breezeway'!U75+'Express GL'!U75+'Starbucks GL-SBX Truck'!U75+'Miro''s'!U75+'Faculty Club'!U75+'Almazar  &amp; Brand X'!U75+'Burger King'!U75+Bustelo!U75+Chilis!U75+Einstein!U75+Jamba!U75+'Pollo Tropical'!U75+'Subway GC'!U75+'Sushi Maki'!U75+Panda!U75+'Starbucks Mango'!U75+'Taco Bell'!U75+'Chick-fil-A'!U75+Dunkin!U75+Chipotle!U75+Sergios!U75+'Moes PG5'!U75+'Papa Johns'!U75+Salad!U75+'Half Moon &amp; Tropical Smoothie'!U75+'Athletic Concessions - Kitchen'!U75+'Starbucks BBC'!U75+'Moes BBC'!U75+'Grille Works BBC'!U75+'Subway BBC'!U75+'Market Pavillion'!U75+'Chic Fil A BBC'!U75+Panera!U75+'Heritage Market'!U75</f>
        <v>110534.70847134019</v>
      </c>
      <c r="V75" s="80">
        <f t="shared" si="29"/>
        <v>4.9139284040289853E-3</v>
      </c>
    </row>
    <row r="76" spans="1:22" ht="12.75" customHeight="1">
      <c r="A76" s="221" t="s">
        <v>407</v>
      </c>
      <c r="B76" s="222"/>
      <c r="C76" s="134">
        <f>'POD Breezeway'!C76+'Express GL'!C76+'Starbucks GL-SBX Truck'!C76+'Miro''s'!C76+'Faculty Club'!C76+'Almazar  &amp; Brand X'!C76+'Burger King'!C76+Bustelo!C76+Chilis!C76+Einstein!C76+Jamba!C76+'Pollo Tropical'!C76+'Subway GC'!C76+'Sushi Maki'!C76+Panda!C76+'Starbucks Mango'!C76+'Taco Bell'!C76+'Chick-fil-A'!C76+Dunkin!C76+Chipotle!C76+Sergios!C76+'Moes PG5'!C76+'Papa Johns'!C76+Salad!C76+'Half Moon &amp; Tropical Smoothie'!C76+'Athletic Concessions - Kitchen'!C76+'Starbucks BBC'!C76+'Moes BBC'!C76+'Grille Works BBC'!C76+'Subway BBC'!C76+'Market Pavillion'!C76+'Chic Fil A BBC'!C76+Panera!C76+'Heritage Market'!C76</f>
        <v>6230.1197519999996</v>
      </c>
      <c r="D76" s="80">
        <f t="shared" si="20"/>
        <v>3.9195963428385221E-4</v>
      </c>
      <c r="E76" s="134">
        <f>'POD Breezeway'!E76+'Express GL'!E76+'Starbucks GL-SBX Truck'!E76+'Miro''s'!E76+'Faculty Club'!E76+'Almazar  &amp; Brand X'!E76+'Burger King'!E76+Bustelo!E76+Chilis!E76+Einstein!E76+Jamba!E76+'Pollo Tropical'!E76+'Subway GC'!E76+'Sushi Maki'!E76+Panda!E76+'Starbucks Mango'!E76+'Taco Bell'!E76+'Chick-fil-A'!E76+Dunkin!E76+Chipotle!E76+Sergios!E76+'Moes PG5'!E76+'Papa Johns'!E76+Salad!E76+'Half Moon &amp; Tropical Smoothie'!E76+'Athletic Concessions - Kitchen'!E76+'Starbucks BBC'!E76+'Moes BBC'!E76+'Grille Works BBC'!E76+'Subway BBC'!E76+'Market Pavillion'!E76+'Chic Fil A BBC'!E76+Panera!E76+'Heritage Market'!E76</f>
        <v>6798.5000000000018</v>
      </c>
      <c r="F76" s="80">
        <f t="shared" si="21"/>
        <v>3.9237040551194294E-4</v>
      </c>
      <c r="G76" s="134">
        <f>'POD Breezeway'!G76+'Express GL'!G76+'Starbucks GL-SBX Truck'!G76+'Miro''s'!G76+'Faculty Club'!G76+'Almazar  &amp; Brand X'!G76+'Burger King'!G76+Bustelo!G76+Chilis!G76+Einstein!G76+Jamba!G76+'Pollo Tropical'!G76+'Subway GC'!G76+'Sushi Maki'!G76+Panda!G76+'Starbucks Mango'!G76+'Taco Bell'!G76+'Chick-fil-A'!G76+Dunkin!G76+Chipotle!G76+Sergios!G76+'Moes PG5'!G76+'Papa Johns'!G76+Salad!G76+'Half Moon &amp; Tropical Smoothie'!G76+'Athletic Concessions - Kitchen'!G76+'Starbucks BBC'!G76+'Moes BBC'!G76+'Grille Works BBC'!G76+'Subway BBC'!G76+'Market Pavillion'!G76+'Chic Fil A BBC'!G76+Panera!G76+'Heritage Market'!G76</f>
        <v>7513.4320000000016</v>
      </c>
      <c r="H76" s="80">
        <f t="shared" si="22"/>
        <v>3.9294795366009956E-4</v>
      </c>
      <c r="I76" s="134">
        <f>'POD Breezeway'!I76+'Express GL'!I76+'Starbucks GL-SBX Truck'!I76+'Miro''s'!I76+'Faculty Club'!I76+'Almazar  &amp; Brand X'!I76+'Burger King'!I76+Bustelo!I76+Chilis!I76+Einstein!I76+Jamba!I76+'Pollo Tropical'!I76+'Subway GC'!I76+'Sushi Maki'!I76+Panda!I76+'Starbucks Mango'!I76+'Taco Bell'!I76+'Chick-fil-A'!I76+Dunkin!I76+Chipotle!I76+Sergios!I76+'Moes PG5'!I76+'Papa Johns'!I76+Salad!I76+'Half Moon &amp; Tropical Smoothie'!I76+'Athletic Concessions - Kitchen'!I76+'Starbucks BBC'!I76+'Moes BBC'!I76+'Grille Works BBC'!I76+'Subway BBC'!I76+'Market Pavillion'!I76+'Chic Fil A BBC'!I76+Panera!I76+'Heritage Market'!I76</f>
        <v>7667.3344800000013</v>
      </c>
      <c r="J76" s="80">
        <f t="shared" si="23"/>
        <v>3.9295123699526548E-4</v>
      </c>
      <c r="K76" s="134">
        <f>'POD Breezeway'!K76+'Express GL'!K76+'Starbucks GL-SBX Truck'!K76+'Miro''s'!K76+'Faculty Club'!K76+'Almazar  &amp; Brand X'!K76+'Burger King'!K76+Bustelo!K76+Chilis!K76+Einstein!K76+Jamba!K76+'Pollo Tropical'!K76+'Subway GC'!K76+'Sushi Maki'!K76+Panda!K76+'Starbucks Mango'!K76+'Taco Bell'!K76+'Chick-fil-A'!K76+Dunkin!K76+Chipotle!K76+Sergios!K76+'Moes PG5'!K76+'Papa Johns'!K76+Salad!K76+'Half Moon &amp; Tropical Smoothie'!K76+'Athletic Concessions - Kitchen'!K76+'Starbucks BBC'!K76+'Moes BBC'!K76+'Grille Works BBC'!K76+'Subway BBC'!K76+'Market Pavillion'!K76+'Chic Fil A BBC'!K76+Panera!K76+'Heritage Market'!K76</f>
        <v>7805.6203944000008</v>
      </c>
      <c r="L76" s="80">
        <f t="shared" si="24"/>
        <v>3.9293787667985609E-4</v>
      </c>
      <c r="M76" s="134">
        <f>'POD Breezeway'!M76+'Express GL'!M76+'Starbucks GL-SBX Truck'!M76+'Miro''s'!M76+'Faculty Club'!M76+'Almazar  &amp; Brand X'!M76+'Burger King'!M76+Bustelo!M76+Chilis!M76+Einstein!M76+Jamba!M76+'Pollo Tropical'!M76+'Subway GC'!M76+'Sushi Maki'!M76+Panda!M76+'Starbucks Mango'!M76+'Taco Bell'!M76+'Chick-fil-A'!M76+Dunkin!M76+Chipotle!M76+Sergios!M76+'Moes PG5'!M76+'Papa Johns'!M76+Salad!M76+'Half Moon &amp; Tropical Smoothie'!M76+'Athletic Concessions - Kitchen'!M76+'Starbucks BBC'!M76+'Moes BBC'!M76+'Grille Works BBC'!M76+'Subway BBC'!M76+'Market Pavillion'!M76+'Chic Fil A BBC'!M76+Panera!M76+'Heritage Market'!M76</f>
        <v>7946.5214193360007</v>
      </c>
      <c r="N76" s="80">
        <f t="shared" si="25"/>
        <v>3.9292459734983763E-4</v>
      </c>
      <c r="O76" s="134">
        <f>'POD Breezeway'!O76+'Express GL'!O76+'Starbucks GL-SBX Truck'!O76+'Miro''s'!O76+'Faculty Club'!O76+'Almazar  &amp; Brand X'!O76+'Burger King'!O76+Bustelo!O76+Chilis!O76+Einstein!O76+Jamba!O76+'Pollo Tropical'!O76+'Subway GC'!O76+'Sushi Maki'!O76+Panda!O76+'Starbucks Mango'!O76+'Taco Bell'!O76+'Chick-fil-A'!O76+Dunkin!O76+Chipotle!O76+Sergios!O76+'Moes PG5'!O76+'Papa Johns'!O76+Salad!O76+'Half Moon &amp; Tropical Smoothie'!O76+'Athletic Concessions - Kitchen'!O76+'Starbucks BBC'!O76+'Moes BBC'!O76+'Grille Works BBC'!O76+'Subway BBC'!O76+'Market Pavillion'!O76+'Chic Fil A BBC'!O76+Panera!O76+'Heritage Market'!O76</f>
        <v>8090.0883509411979</v>
      </c>
      <c r="P76" s="80">
        <f t="shared" si="26"/>
        <v>3.9291139890971968E-4</v>
      </c>
      <c r="Q76" s="134">
        <f>'POD Breezeway'!Q76+'Express GL'!Q76+'Starbucks GL-SBX Truck'!Q76+'Miro''s'!Q76+'Faculty Club'!Q76+'Almazar  &amp; Brand X'!Q76+'Burger King'!Q76+Bustelo!Q76+Chilis!Q76+Einstein!Q76+Jamba!Q76+'Pollo Tropical'!Q76+'Subway GC'!Q76+'Sushi Maki'!Q76+Panda!Q76+'Starbucks Mango'!Q76+'Taco Bell'!Q76+'Chick-fil-A'!Q76+Dunkin!Q76+Chipotle!Q76+Sergios!Q76+'Moes PG5'!Q76+'Papa Johns'!Q76+Salad!Q76+'Half Moon &amp; Tropical Smoothie'!Q76+'Athletic Concessions - Kitchen'!Q76+'Starbucks BBC'!Q76+'Moes BBC'!Q76+'Grille Works BBC'!Q76+'Subway BBC'!Q76+'Market Pavillion'!Q76+'Chic Fil A BBC'!Q76+Panera!Q76+'Heritage Market'!Q76</f>
        <v>8236.3729862106902</v>
      </c>
      <c r="R76" s="80">
        <f t="shared" si="27"/>
        <v>3.9289828125736872E-4</v>
      </c>
      <c r="S76" s="134">
        <f>'POD Breezeway'!S76+'Express GL'!S76+'Starbucks GL-SBX Truck'!S76+'Miro''s'!S76+'Faculty Club'!S76+'Almazar  &amp; Brand X'!S76+'Burger King'!S76+Bustelo!S76+Chilis!S76+Einstein!S76+Jamba!S76+'Pollo Tropical'!S76+'Subway GC'!S76+'Sushi Maki'!S76+Panda!S76+'Starbucks Mango'!S76+'Taco Bell'!S76+'Chick-fil-A'!S76+Dunkin!S76+Chipotle!S76+Sergios!S76+'Moes PG5'!S76+'Papa Johns'!S76+Salad!S76+'Half Moon &amp; Tropical Smoothie'!S76+'Athletic Concessions - Kitchen'!S76+'Starbucks BBC'!S76+'Moes BBC'!S76+'Grille Works BBC'!S76+'Subway BBC'!S76+'Market Pavillion'!S76+'Chic Fil A BBC'!S76+Panera!S76+'Heritage Market'!S76</f>
        <v>8385.428142868077</v>
      </c>
      <c r="T76" s="80">
        <f t="shared" si="28"/>
        <v>3.9288524428410286E-4</v>
      </c>
      <c r="U76" s="134">
        <f>'POD Breezeway'!U76+'Express GL'!U76+'Starbucks GL-SBX Truck'!U76+'Miro''s'!U76+'Faculty Club'!U76+'Almazar  &amp; Brand X'!U76+'Burger King'!U76+Bustelo!U76+Chilis!U76+Einstein!U76+Jamba!U76+'Pollo Tropical'!U76+'Subway GC'!U76+'Sushi Maki'!U76+Panda!U76+'Starbucks Mango'!U76+'Taco Bell'!U76+'Chick-fil-A'!U76+Dunkin!U76+Chipotle!U76+Sergios!U76+'Moes PG5'!U76+'Papa Johns'!U76+Salad!U76+'Half Moon &amp; Tropical Smoothie'!U76+'Athletic Concessions - Kitchen'!U76+'Starbucks BBC'!U76+'Moes BBC'!U76+'Grille Works BBC'!U76+'Subway BBC'!U76+'Market Pavillion'!U76+'Chic Fil A BBC'!U76+Panera!U76+'Heritage Market'!U76</f>
        <v>8842.7766777072156</v>
      </c>
      <c r="V76" s="80">
        <f t="shared" si="29"/>
        <v>3.931142723223189E-4</v>
      </c>
    </row>
    <row r="77" spans="1:22" ht="12.75" customHeight="1">
      <c r="A77" s="221" t="s">
        <v>408</v>
      </c>
      <c r="B77" s="222"/>
      <c r="C77" s="134">
        <f>'POD Breezeway'!C77+'Express GL'!C77+'Starbucks GL-SBX Truck'!C77+'Miro''s'!C77+'Faculty Club'!C77+'Almazar  &amp; Brand X'!C77+'Burger King'!C77+Bustelo!C77+Chilis!C77+Einstein!C77+Jamba!C77+'Pollo Tropical'!C77+'Subway GC'!C77+'Sushi Maki'!C77+Panda!C77+'Starbucks Mango'!C77+'Taco Bell'!C77+'Chick-fil-A'!C77+Dunkin!C77+Chipotle!C77+Sergios!C77+'Moes PG5'!C77+'Papa Johns'!C77+Salad!C77+'Half Moon &amp; Tropical Smoothie'!C77+'Athletic Concessions - Kitchen'!C77+'Starbucks BBC'!C77+'Moes BBC'!C77+'Grille Works BBC'!C77+'Subway BBC'!C77+'Market Pavillion'!C77+'Chic Fil A BBC'!C77+Panera!C77+'Heritage Market'!C77</f>
        <v>20247.889194000003</v>
      </c>
      <c r="D77" s="80">
        <f t="shared" si="20"/>
        <v>1.2738688114225199E-3</v>
      </c>
      <c r="E77" s="134">
        <f>'POD Breezeway'!E77+'Express GL'!E77+'Starbucks GL-SBX Truck'!E77+'Miro''s'!E77+'Faculty Club'!E77+'Almazar  &amp; Brand X'!E77+'Burger King'!E77+Bustelo!E77+Chilis!E77+Einstein!E77+Jamba!E77+'Pollo Tropical'!E77+'Subway GC'!E77+'Sushi Maki'!E77+Panda!E77+'Starbucks Mango'!E77+'Taco Bell'!E77+'Chick-fil-A'!E77+Dunkin!E77+Chipotle!E77+Sergios!E77+'Moes PG5'!E77+'Papa Johns'!E77+Salad!E77+'Half Moon &amp; Tropical Smoothie'!E77+'Athletic Concessions - Kitchen'!E77+'Starbucks BBC'!E77+'Moes BBC'!E77+'Grille Works BBC'!E77+'Subway BBC'!E77+'Market Pavillion'!E77+'Chic Fil A BBC'!E77+Panera!E77+'Heritage Market'!E77</f>
        <v>22095.125</v>
      </c>
      <c r="F77" s="80">
        <f t="shared" si="21"/>
        <v>1.2752038179138141E-3</v>
      </c>
      <c r="G77" s="134">
        <f>'POD Breezeway'!G77+'Express GL'!G77+'Starbucks GL-SBX Truck'!G77+'Miro''s'!G77+'Faculty Club'!G77+'Almazar  &amp; Brand X'!G77+'Burger King'!G77+Bustelo!G77+Chilis!G77+Einstein!G77+Jamba!G77+'Pollo Tropical'!G77+'Subway GC'!G77+'Sushi Maki'!G77+Panda!G77+'Starbucks Mango'!G77+'Taco Bell'!G77+'Chick-fil-A'!G77+Dunkin!G77+Chipotle!G77+Sergios!G77+'Moes PG5'!G77+'Papa Johns'!G77+Salad!G77+'Half Moon &amp; Tropical Smoothie'!G77+'Athletic Concessions - Kitchen'!G77+'Starbucks BBC'!G77+'Moes BBC'!G77+'Grille Works BBC'!G77+'Subway BBC'!G77+'Market Pavillion'!G77+'Chic Fil A BBC'!G77+Panera!G77+'Heritage Market'!G77</f>
        <v>24418.653999999991</v>
      </c>
      <c r="H77" s="80">
        <f t="shared" si="22"/>
        <v>1.2770808493953228E-3</v>
      </c>
      <c r="I77" s="134">
        <f>'POD Breezeway'!I77+'Express GL'!I77+'Starbucks GL-SBX Truck'!I77+'Miro''s'!I77+'Faculty Club'!I77+'Almazar  &amp; Brand X'!I77+'Burger King'!I77+Bustelo!I77+Chilis!I77+Einstein!I77+Jamba!I77+'Pollo Tropical'!I77+'Subway GC'!I77+'Sushi Maki'!I77+Panda!I77+'Starbucks Mango'!I77+'Taco Bell'!I77+'Chick-fil-A'!I77+Dunkin!I77+Chipotle!I77+Sergios!I77+'Moes PG5'!I77+'Papa Johns'!I77+Salad!I77+'Half Moon &amp; Tropical Smoothie'!I77+'Athletic Concessions - Kitchen'!I77+'Starbucks BBC'!I77+'Moes BBC'!I77+'Grille Works BBC'!I77+'Subway BBC'!I77+'Market Pavillion'!I77+'Chic Fil A BBC'!I77+Panera!I77+'Heritage Market'!I77</f>
        <v>24918.837059999998</v>
      </c>
      <c r="J77" s="80">
        <f t="shared" si="23"/>
        <v>1.2770915202346125E-3</v>
      </c>
      <c r="K77" s="134">
        <f>'POD Breezeway'!K77+'Express GL'!K77+'Starbucks GL-SBX Truck'!K77+'Miro''s'!K77+'Faculty Club'!K77+'Almazar  &amp; Brand X'!K77+'Burger King'!K77+Bustelo!K77+Chilis!K77+Einstein!K77+Jamba!K77+'Pollo Tropical'!K77+'Subway GC'!K77+'Sushi Maki'!K77+Panda!K77+'Starbucks Mango'!K77+'Taco Bell'!K77+'Chick-fil-A'!K77+Dunkin!K77+Chipotle!K77+Sergios!K77+'Moes PG5'!K77+'Papa Johns'!K77+Salad!K77+'Half Moon &amp; Tropical Smoothie'!K77+'Athletic Concessions - Kitchen'!K77+'Starbucks BBC'!K77+'Moes BBC'!K77+'Grille Works BBC'!K77+'Subway BBC'!K77+'Market Pavillion'!K77+'Chic Fil A BBC'!K77+Panera!K77+'Heritage Market'!K77</f>
        <v>25368.266281799992</v>
      </c>
      <c r="L77" s="80">
        <f t="shared" si="24"/>
        <v>1.2770480992095317E-3</v>
      </c>
      <c r="M77" s="134">
        <f>'POD Breezeway'!M77+'Express GL'!M77+'Starbucks GL-SBX Truck'!M77+'Miro''s'!M77+'Faculty Club'!M77+'Almazar  &amp; Brand X'!M77+'Burger King'!M77+Bustelo!M77+Chilis!M77+Einstein!M77+Jamba!M77+'Pollo Tropical'!M77+'Subway GC'!M77+'Sushi Maki'!M77+Panda!M77+'Starbucks Mango'!M77+'Taco Bell'!M77+'Chick-fil-A'!M77+Dunkin!M77+Chipotle!M77+Sergios!M77+'Moes PG5'!M77+'Papa Johns'!M77+Salad!M77+'Half Moon &amp; Tropical Smoothie'!M77+'Athletic Concessions - Kitchen'!M77+'Starbucks BBC'!M77+'Moes BBC'!M77+'Grille Works BBC'!M77+'Subway BBC'!M77+'Market Pavillion'!M77+'Chic Fil A BBC'!M77+Panera!M77+'Heritage Market'!M77</f>
        <v>25826.194612841999</v>
      </c>
      <c r="N77" s="80">
        <f t="shared" si="25"/>
        <v>1.2770049413869723E-3</v>
      </c>
      <c r="O77" s="134">
        <f>'POD Breezeway'!O77+'Express GL'!O77+'Starbucks GL-SBX Truck'!O77+'Miro''s'!O77+'Faculty Club'!O77+'Almazar  &amp; Brand X'!O77+'Burger King'!O77+Bustelo!O77+Chilis!O77+Einstein!O77+Jamba!O77+'Pollo Tropical'!O77+'Subway GC'!O77+'Sushi Maki'!O77+Panda!O77+'Starbucks Mango'!O77+'Taco Bell'!O77+'Chick-fil-A'!O77+Dunkin!O77+Chipotle!O77+Sergios!O77+'Moes PG5'!O77+'Papa Johns'!O77+Salad!O77+'Half Moon &amp; Tropical Smoothie'!O77+'Athletic Concessions - Kitchen'!O77+'Starbucks BBC'!O77+'Moes BBC'!O77+'Grille Works BBC'!O77+'Subway BBC'!O77+'Market Pavillion'!O77+'Chic Fil A BBC'!O77+Panera!O77+'Heritage Market'!O77</f>
        <v>26292.787140558896</v>
      </c>
      <c r="P77" s="80">
        <f t="shared" si="26"/>
        <v>1.276962046456589E-3</v>
      </c>
      <c r="Q77" s="134">
        <f>'POD Breezeway'!Q77+'Express GL'!Q77+'Starbucks GL-SBX Truck'!Q77+'Miro''s'!Q77+'Faculty Club'!Q77+'Almazar  &amp; Brand X'!Q77+'Burger King'!Q77+Bustelo!Q77+Chilis!Q77+Einstein!Q77+Jamba!Q77+'Pollo Tropical'!Q77+'Subway GC'!Q77+'Sushi Maki'!Q77+Panda!Q77+'Starbucks Mango'!Q77+'Taco Bell'!Q77+'Chick-fil-A'!Q77+Dunkin!Q77+Chipotle!Q77+Sergios!Q77+'Moes PG5'!Q77+'Papa Johns'!Q77+Salad!Q77+'Half Moon &amp; Tropical Smoothie'!Q77+'Athletic Concessions - Kitchen'!Q77+'Starbucks BBC'!Q77+'Moes BBC'!Q77+'Grille Works BBC'!Q77+'Subway BBC'!Q77+'Market Pavillion'!Q77+'Chic Fil A BBC'!Q77+Panera!Q77+'Heritage Market'!Q77</f>
        <v>26768.212205184744</v>
      </c>
      <c r="R77" s="80">
        <f t="shared" si="27"/>
        <v>1.2769194140864483E-3</v>
      </c>
      <c r="S77" s="134">
        <f>'POD Breezeway'!S77+'Express GL'!S77+'Starbucks GL-SBX Truck'!S77+'Miro''s'!S77+'Faculty Club'!S77+'Almazar  &amp; Brand X'!S77+'Burger King'!S77+Bustelo!S77+Chilis!S77+Einstein!S77+Jamba!S77+'Pollo Tropical'!S77+'Subway GC'!S77+'Sushi Maki'!S77+Panda!S77+'Starbucks Mango'!S77+'Taco Bell'!S77+'Chick-fil-A'!S77+Dunkin!S77+Chipotle!S77+Sergios!S77+'Moes PG5'!S77+'Papa Johns'!S77+Salad!S77+'Half Moon &amp; Tropical Smoothie'!S77+'Athletic Concessions - Kitchen'!S77+'Starbucks BBC'!S77+'Moes BBC'!S77+'Grille Works BBC'!S77+'Subway BBC'!S77+'Market Pavillion'!S77+'Chic Fil A BBC'!S77+Panera!S77+'Heritage Market'!S77</f>
        <v>27252.641464321237</v>
      </c>
      <c r="T77" s="80">
        <f t="shared" si="28"/>
        <v>1.2768770439233338E-3</v>
      </c>
      <c r="U77" s="134">
        <f>'POD Breezeway'!U77+'Express GL'!U77+'Starbucks GL-SBX Truck'!U77+'Miro''s'!U77+'Faculty Club'!U77+'Almazar  &amp; Brand X'!U77+'Burger King'!U77+Bustelo!U77+Chilis!U77+Einstein!U77+Jamba!U77+'Pollo Tropical'!U77+'Subway GC'!U77+'Sushi Maki'!U77+Panda!U77+'Starbucks Mango'!U77+'Taco Bell'!U77+'Chick-fil-A'!U77+Dunkin!U77+Chipotle!U77+Sergios!U77+'Moes PG5'!U77+'Papa Johns'!U77+Salad!U77+'Half Moon &amp; Tropical Smoothie'!U77+'Athletic Concessions - Kitchen'!U77+'Starbucks BBC'!U77+'Moes BBC'!U77+'Grille Works BBC'!U77+'Subway BBC'!U77+'Market Pavillion'!U77+'Chic Fil A BBC'!U77+Panera!U77+'Heritage Market'!U77</f>
        <v>28739.024202548444</v>
      </c>
      <c r="V77" s="80">
        <f t="shared" si="29"/>
        <v>1.277621385047536E-3</v>
      </c>
    </row>
    <row r="78" spans="1:22" ht="12.75" customHeight="1">
      <c r="A78" s="221" t="s">
        <v>409</v>
      </c>
      <c r="B78" s="222"/>
      <c r="C78" s="134">
        <f>'POD Breezeway'!C78+'Express GL'!C78+'Starbucks GL-SBX Truck'!C78+'Miro''s'!C78+'Faculty Club'!C78+'Almazar  &amp; Brand X'!C78+'Burger King'!C78+Bustelo!C78+Chilis!C78+Einstein!C78+Jamba!C78+'Pollo Tropical'!C78+'Subway GC'!C78+'Sushi Maki'!C78+Panda!C78+'Starbucks Mango'!C78+'Taco Bell'!C78+'Chick-fil-A'!C78+Dunkin!C78+Chipotle!C78+Sergios!C78+'Moes PG5'!C78+'Papa Johns'!C78+Salad!C78+'Half Moon &amp; Tropical Smoothie'!C78+'Athletic Concessions - Kitchen'!C78+'Starbucks BBC'!C78+'Moes BBC'!C78+'Grille Works BBC'!C78+'Subway BBC'!C78+'Market Pavillion'!C78+'Chic Fil A BBC'!C78+Panera!C78+'Heritage Market'!C78</f>
        <v>342656.58636000002</v>
      </c>
      <c r="D78" s="80">
        <f t="shared" si="20"/>
        <v>2.1557779885611875E-2</v>
      </c>
      <c r="E78" s="134">
        <f>'POD Breezeway'!E78+'Express GL'!E78+'Starbucks GL-SBX Truck'!E78+'Miro''s'!E78+'Faculty Club'!E78+'Almazar  &amp; Brand X'!E78+'Burger King'!E78+Bustelo!E78+Chilis!E78+Einstein!E78+Jamba!E78+'Pollo Tropical'!E78+'Subway GC'!E78+'Sushi Maki'!E78+Panda!E78+'Starbucks Mango'!E78+'Taco Bell'!E78+'Chick-fil-A'!E78+Dunkin!E78+Chipotle!E78+Sergios!E78+'Moes PG5'!E78+'Papa Johns'!E78+Salad!E78+'Half Moon &amp; Tropical Smoothie'!E78+'Athletic Concessions - Kitchen'!E78+'Starbucks BBC'!E78+'Moes BBC'!E78+'Grille Works BBC'!E78+'Subway BBC'!E78+'Market Pavillion'!E78+'Chic Fil A BBC'!E78+Panera!E78+'Heritage Market'!E78</f>
        <v>373917.5</v>
      </c>
      <c r="F78" s="80">
        <f t="shared" si="21"/>
        <v>2.1580372303156854E-2</v>
      </c>
      <c r="G78" s="134">
        <f>'POD Breezeway'!G78+'Express GL'!G78+'Starbucks GL-SBX Truck'!G78+'Miro''s'!G78+'Faculty Club'!G78+'Almazar  &amp; Brand X'!G78+'Burger King'!G78+Bustelo!G78+Chilis!G78+Einstein!G78+Jamba!G78+'Pollo Tropical'!G78+'Subway GC'!G78+'Sushi Maki'!G78+Panda!G78+'Starbucks Mango'!G78+'Taco Bell'!G78+'Chick-fil-A'!G78+Dunkin!G78+Chipotle!G78+Sergios!G78+'Moes PG5'!G78+'Papa Johns'!G78+Salad!G78+'Half Moon &amp; Tropical Smoothie'!G78+'Athletic Concessions - Kitchen'!G78+'Starbucks BBC'!G78+'Moes BBC'!G78+'Grille Works BBC'!G78+'Subway BBC'!G78+'Market Pavillion'!G78+'Chic Fil A BBC'!G78+Panera!G78+'Heritage Market'!G78</f>
        <v>413238.76</v>
      </c>
      <c r="H78" s="80">
        <f t="shared" si="22"/>
        <v>2.1612137451305472E-2</v>
      </c>
      <c r="I78" s="134">
        <f>'POD Breezeway'!I78+'Express GL'!I78+'Starbucks GL-SBX Truck'!I78+'Miro''s'!I78+'Faculty Club'!I78+'Almazar  &amp; Brand X'!I78+'Burger King'!I78+Bustelo!I78+Chilis!I78+Einstein!I78+Jamba!I78+'Pollo Tropical'!I78+'Subway GC'!I78+'Sushi Maki'!I78+Panda!I78+'Starbucks Mango'!I78+'Taco Bell'!I78+'Chick-fil-A'!I78+Dunkin!I78+Chipotle!I78+Sergios!I78+'Moes PG5'!I78+'Papa Johns'!I78+Salad!I78+'Half Moon &amp; Tropical Smoothie'!I78+'Athletic Concessions - Kitchen'!I78+'Starbucks BBC'!I78+'Moes BBC'!I78+'Grille Works BBC'!I78+'Subway BBC'!I78+'Market Pavillion'!I78+'Chic Fil A BBC'!I78+Panera!I78+'Heritage Market'!I78</f>
        <v>421703.39639999997</v>
      </c>
      <c r="J78" s="80">
        <f t="shared" si="23"/>
        <v>2.1612318034739595E-2</v>
      </c>
      <c r="K78" s="134">
        <f>'POD Breezeway'!K78+'Express GL'!K78+'Starbucks GL-SBX Truck'!K78+'Miro''s'!K78+'Faculty Club'!K78+'Almazar  &amp; Brand X'!K78+'Burger King'!K78+Bustelo!K78+Chilis!K78+Einstein!K78+Jamba!K78+'Pollo Tropical'!K78+'Subway GC'!K78+'Sushi Maki'!K78+Panda!K78+'Starbucks Mango'!K78+'Taco Bell'!K78+'Chick-fil-A'!K78+Dunkin!K78+Chipotle!K78+Sergios!K78+'Moes PG5'!K78+'Papa Johns'!K78+Salad!K78+'Half Moon &amp; Tropical Smoothie'!K78+'Athletic Concessions - Kitchen'!K78+'Starbucks BBC'!K78+'Moes BBC'!K78+'Grille Works BBC'!K78+'Subway BBC'!K78+'Market Pavillion'!K78+'Chic Fil A BBC'!K78+Panera!K78+'Heritage Market'!K78</f>
        <v>429309.12169200002</v>
      </c>
      <c r="L78" s="80">
        <f t="shared" si="24"/>
        <v>2.1611583217392084E-2</v>
      </c>
      <c r="M78" s="134">
        <f>'POD Breezeway'!M78+'Express GL'!M78+'Starbucks GL-SBX Truck'!M78+'Miro''s'!M78+'Faculty Club'!M78+'Almazar  &amp; Brand X'!M78+'Burger King'!M78+Bustelo!M78+Chilis!M78+Einstein!M78+Jamba!M78+'Pollo Tropical'!M78+'Subway GC'!M78+'Sushi Maki'!M78+Panda!M78+'Starbucks Mango'!M78+'Taco Bell'!M78+'Chick-fil-A'!M78+Dunkin!M78+Chipotle!M78+Sergios!M78+'Moes PG5'!M78+'Papa Johns'!M78+Salad!M78+'Half Moon &amp; Tropical Smoothie'!M78+'Athletic Concessions - Kitchen'!M78+'Starbucks BBC'!M78+'Moes BBC'!M78+'Grille Works BBC'!M78+'Subway BBC'!M78+'Market Pavillion'!M78+'Chic Fil A BBC'!M78+Panera!M78+'Heritage Market'!M78</f>
        <v>437058.67806348001</v>
      </c>
      <c r="N78" s="80">
        <f t="shared" si="25"/>
        <v>2.161085285424107E-2</v>
      </c>
      <c r="O78" s="134">
        <f>'POD Breezeway'!O78+'Express GL'!O78+'Starbucks GL-SBX Truck'!O78+'Miro''s'!O78+'Faculty Club'!O78+'Almazar  &amp; Brand X'!O78+'Burger King'!O78+Bustelo!O78+Chilis!O78+Einstein!O78+Jamba!O78+'Pollo Tropical'!O78+'Subway GC'!O78+'Sushi Maki'!O78+Panda!O78+'Starbucks Mango'!O78+'Taco Bell'!O78+'Chick-fil-A'!O78+Dunkin!O78+Chipotle!O78+Sergios!O78+'Moes PG5'!O78+'Papa Johns'!O78+Salad!O78+'Half Moon &amp; Tropical Smoothie'!O78+'Athletic Concessions - Kitchen'!O78+'Starbucks BBC'!O78+'Moes BBC'!O78+'Grille Works BBC'!O78+'Subway BBC'!O78+'Market Pavillion'!O78+'Chic Fil A BBC'!O78+Panera!O78+'Heritage Market'!O78</f>
        <v>444954.85930176603</v>
      </c>
      <c r="P78" s="80">
        <f t="shared" si="26"/>
        <v>2.1610126940034589E-2</v>
      </c>
      <c r="Q78" s="134">
        <f>'POD Breezeway'!Q78+'Express GL'!Q78+'Starbucks GL-SBX Truck'!Q78+'Miro''s'!Q78+'Faculty Club'!Q78+'Almazar  &amp; Brand X'!Q78+'Burger King'!Q78+Bustelo!Q78+Chilis!Q78+Einstein!Q78+Jamba!Q78+'Pollo Tropical'!Q78+'Subway GC'!Q78+'Sushi Maki'!Q78+Panda!Q78+'Starbucks Mango'!Q78+'Taco Bell'!Q78+'Chick-fil-A'!Q78+Dunkin!Q78+Chipotle!Q78+Sergios!Q78+'Moes PG5'!Q78+'Papa Johns'!Q78+Salad!Q78+'Half Moon &amp; Tropical Smoothie'!Q78+'Athletic Concessions - Kitchen'!Q78+'Starbucks BBC'!Q78+'Moes BBC'!Q78+'Grille Works BBC'!Q78+'Subway BBC'!Q78+'Market Pavillion'!Q78+'Chic Fil A BBC'!Q78+Panera!Q78+'Heritage Market'!Q78</f>
        <v>453000.51424158784</v>
      </c>
      <c r="R78" s="80">
        <f t="shared" si="27"/>
        <v>2.1609405469155272E-2</v>
      </c>
      <c r="S78" s="134">
        <f>'POD Breezeway'!S78+'Express GL'!S78+'Starbucks GL-SBX Truck'!S78+'Miro''s'!S78+'Faculty Club'!S78+'Almazar  &amp; Brand X'!S78+'Burger King'!S78+Bustelo!S78+Chilis!S78+Einstein!S78+Jamba!S78+'Pollo Tropical'!S78+'Subway GC'!S78+'Sushi Maki'!S78+Panda!S78+'Starbucks Mango'!S78+'Taco Bell'!S78+'Chick-fil-A'!S78+Dunkin!S78+Chipotle!S78+Sergios!S78+'Moes PG5'!S78+'Papa Johns'!S78+Salad!S78+'Half Moon &amp; Tropical Smoothie'!S78+'Athletic Concessions - Kitchen'!S78+'Starbucks BBC'!S78+'Moes BBC'!S78+'Grille Works BBC'!S78+'Subway BBC'!S78+'Market Pavillion'!S78+'Chic Fil A BBC'!S78+Panera!S78+'Heritage Market'!S78</f>
        <v>461198.5478577441</v>
      </c>
      <c r="T78" s="80">
        <f t="shared" si="28"/>
        <v>2.1608688435625651E-2</v>
      </c>
      <c r="U78" s="134">
        <f>'POD Breezeway'!U78+'Express GL'!U78+'Starbucks GL-SBX Truck'!U78+'Miro''s'!U78+'Faculty Club'!U78+'Almazar  &amp; Brand X'!U78+'Burger King'!U78+Bustelo!U78+Chilis!U78+Einstein!U78+Jamba!U78+'Pollo Tropical'!U78+'Subway GC'!U78+'Sushi Maki'!U78+Panda!U78+'Starbucks Mango'!U78+'Taco Bell'!U78+'Chick-fil-A'!U78+Dunkin!U78+Chipotle!U78+Sergios!U78+'Moes PG5'!U78+'Papa Johns'!U78+Salad!U78+'Half Moon &amp; Tropical Smoothie'!U78+'Athletic Concessions - Kitchen'!U78+'Starbucks BBC'!U78+'Moes BBC'!U78+'Grille Works BBC'!U78+'Subway BBC'!U78+'Market Pavillion'!U78+'Chic Fil A BBC'!U78+Panera!U78+'Heritage Market'!U78</f>
        <v>486352.71727389691</v>
      </c>
      <c r="V78" s="80">
        <f t="shared" si="29"/>
        <v>2.1621284977727539E-2</v>
      </c>
    </row>
    <row r="79" spans="1:22" ht="12.75" customHeight="1">
      <c r="A79" s="2" t="s">
        <v>410</v>
      </c>
      <c r="B79" s="35"/>
      <c r="C79" s="134">
        <f>'POD Breezeway'!C79+'Express GL'!C79+'Starbucks GL-SBX Truck'!C79+'Miro''s'!C79+'Faculty Club'!C79+'Almazar  &amp; Brand X'!C79+'Burger King'!C79+Bustelo!C79+Chilis!C79+Einstein!C79+Jamba!C79+'Pollo Tropical'!C79+'Subway GC'!C79+'Sushi Maki'!C79+Panda!C79+'Starbucks Mango'!C79+'Taco Bell'!C79+'Chick-fil-A'!C79+Dunkin!C79+Chipotle!C79+Sergios!C79+'Moes PG5'!C79+'Papa Johns'!C79+Salad!C79+'Half Moon &amp; Tropical Smoothie'!C79+'Athletic Concessions - Kitchen'!C79+'Starbucks BBC'!C79+'Moes BBC'!C79+'Grille Works BBC'!C79+'Subway BBC'!C79+'Market Pavillion'!C79+'Chic Fil A BBC'!C79+Panera!C79+'Heritage Market'!C79</f>
        <v>0</v>
      </c>
      <c r="D79" s="80">
        <f t="shared" si="20"/>
        <v>0</v>
      </c>
      <c r="E79" s="134">
        <f>'POD Breezeway'!E79+'Express GL'!E79+'Starbucks GL-SBX Truck'!E79+'Miro''s'!E79+'Faculty Club'!E79+'Almazar  &amp; Brand X'!E79+'Burger King'!E79+Bustelo!E79+Chilis!E79+Einstein!E79+Jamba!E79+'Pollo Tropical'!E79+'Subway GC'!E79+'Sushi Maki'!E79+Panda!E79+'Starbucks Mango'!E79+'Taco Bell'!E79+'Chick-fil-A'!E79+Dunkin!E79+Chipotle!E79+Sergios!E79+'Moes PG5'!E79+'Papa Johns'!E79+Salad!E79+'Half Moon &amp; Tropical Smoothie'!E79+'Athletic Concessions - Kitchen'!E79+'Starbucks BBC'!E79+'Moes BBC'!E79+'Grille Works BBC'!E79+'Subway BBC'!E79+'Market Pavillion'!E79+'Chic Fil A BBC'!E79+Panera!E79+'Heritage Market'!E79</f>
        <v>0</v>
      </c>
      <c r="F79" s="80">
        <f t="shared" si="21"/>
        <v>0</v>
      </c>
      <c r="G79" s="134">
        <f>'POD Breezeway'!G79+'Express GL'!G79+'Starbucks GL-SBX Truck'!G79+'Miro''s'!G79+'Faculty Club'!G79+'Almazar  &amp; Brand X'!G79+'Burger King'!G79+Bustelo!G79+Chilis!G79+Einstein!G79+Jamba!G79+'Pollo Tropical'!G79+'Subway GC'!G79+'Sushi Maki'!G79+Panda!G79+'Starbucks Mango'!G79+'Taco Bell'!G79+'Chick-fil-A'!G79+Dunkin!G79+Chipotle!G79+Sergios!G79+'Moes PG5'!G79+'Papa Johns'!G79+Salad!G79+'Half Moon &amp; Tropical Smoothie'!G79+'Athletic Concessions - Kitchen'!G79+'Starbucks BBC'!G79+'Moes BBC'!G79+'Grille Works BBC'!G79+'Subway BBC'!G79+'Market Pavillion'!G79+'Chic Fil A BBC'!G79+Panera!G79+'Heritage Market'!G79</f>
        <v>0</v>
      </c>
      <c r="H79" s="80">
        <f t="shared" si="22"/>
        <v>0</v>
      </c>
      <c r="I79" s="134">
        <f>'POD Breezeway'!I79+'Express GL'!I79+'Starbucks GL-SBX Truck'!I79+'Miro''s'!I79+'Faculty Club'!I79+'Almazar  &amp; Brand X'!I79+'Burger King'!I79+Bustelo!I79+Chilis!I79+Einstein!I79+Jamba!I79+'Pollo Tropical'!I79+'Subway GC'!I79+'Sushi Maki'!I79+Panda!I79+'Starbucks Mango'!I79+'Taco Bell'!I79+'Chick-fil-A'!I79+Dunkin!I79+Chipotle!I79+Sergios!I79+'Moes PG5'!I79+'Papa Johns'!I79+Salad!I79+'Half Moon &amp; Tropical Smoothie'!I79+'Athletic Concessions - Kitchen'!I79+'Starbucks BBC'!I79+'Moes BBC'!I79+'Grille Works BBC'!I79+'Subway BBC'!I79+'Market Pavillion'!I79+'Chic Fil A BBC'!I79+Panera!I79+'Heritage Market'!I79</f>
        <v>0</v>
      </c>
      <c r="J79" s="80">
        <f t="shared" si="23"/>
        <v>0</v>
      </c>
      <c r="K79" s="134">
        <f>'POD Breezeway'!K79+'Express GL'!K79+'Starbucks GL-SBX Truck'!K79+'Miro''s'!K79+'Faculty Club'!K79+'Almazar  &amp; Brand X'!K79+'Burger King'!K79+Bustelo!K79+Chilis!K79+Einstein!K79+Jamba!K79+'Pollo Tropical'!K79+'Subway GC'!K79+'Sushi Maki'!K79+Panda!K79+'Starbucks Mango'!K79+'Taco Bell'!K79+'Chick-fil-A'!K79+Dunkin!K79+Chipotle!K79+Sergios!K79+'Moes PG5'!K79+'Papa Johns'!K79+Salad!K79+'Half Moon &amp; Tropical Smoothie'!K79+'Athletic Concessions - Kitchen'!K79+'Starbucks BBC'!K79+'Moes BBC'!K79+'Grille Works BBC'!K79+'Subway BBC'!K79+'Market Pavillion'!K79+'Chic Fil A BBC'!K79+Panera!K79+'Heritage Market'!K79</f>
        <v>0</v>
      </c>
      <c r="L79" s="80">
        <f t="shared" si="24"/>
        <v>0</v>
      </c>
      <c r="M79" s="134">
        <f>'POD Breezeway'!M79+'Express GL'!M79+'Starbucks GL-SBX Truck'!M79+'Miro''s'!M79+'Faculty Club'!M79+'Almazar  &amp; Brand X'!M79+'Burger King'!M79+Bustelo!M79+Chilis!M79+Einstein!M79+Jamba!M79+'Pollo Tropical'!M79+'Subway GC'!M79+'Sushi Maki'!M79+Panda!M79+'Starbucks Mango'!M79+'Taco Bell'!M79+'Chick-fil-A'!M79+Dunkin!M79+Chipotle!M79+Sergios!M79+'Moes PG5'!M79+'Papa Johns'!M79+Salad!M79+'Half Moon &amp; Tropical Smoothie'!M79+'Athletic Concessions - Kitchen'!M79+'Starbucks BBC'!M79+'Moes BBC'!M79+'Grille Works BBC'!M79+'Subway BBC'!M79+'Market Pavillion'!M79+'Chic Fil A BBC'!M79+Panera!M79+'Heritage Market'!M79</f>
        <v>0</v>
      </c>
      <c r="N79" s="80">
        <f t="shared" si="25"/>
        <v>0</v>
      </c>
      <c r="O79" s="134">
        <f>'POD Breezeway'!O79+'Express GL'!O79+'Starbucks GL-SBX Truck'!O79+'Miro''s'!O79+'Faculty Club'!O79+'Almazar  &amp; Brand X'!O79+'Burger King'!O79+Bustelo!O79+Chilis!O79+Einstein!O79+Jamba!O79+'Pollo Tropical'!O79+'Subway GC'!O79+'Sushi Maki'!O79+Panda!O79+'Starbucks Mango'!O79+'Taco Bell'!O79+'Chick-fil-A'!O79+Dunkin!O79+Chipotle!O79+Sergios!O79+'Moes PG5'!O79+'Papa Johns'!O79+Salad!O79+'Half Moon &amp; Tropical Smoothie'!O79+'Athletic Concessions - Kitchen'!O79+'Starbucks BBC'!O79+'Moes BBC'!O79+'Grille Works BBC'!O79+'Subway BBC'!O79+'Market Pavillion'!O79+'Chic Fil A BBC'!O79+Panera!O79+'Heritage Market'!O79</f>
        <v>0</v>
      </c>
      <c r="P79" s="80">
        <f t="shared" si="26"/>
        <v>0</v>
      </c>
      <c r="Q79" s="134">
        <f>'POD Breezeway'!Q79+'Express GL'!Q79+'Starbucks GL-SBX Truck'!Q79+'Miro''s'!Q79+'Faculty Club'!Q79+'Almazar  &amp; Brand X'!Q79+'Burger King'!Q79+Bustelo!Q79+Chilis!Q79+Einstein!Q79+Jamba!Q79+'Pollo Tropical'!Q79+'Subway GC'!Q79+'Sushi Maki'!Q79+Panda!Q79+'Starbucks Mango'!Q79+'Taco Bell'!Q79+'Chick-fil-A'!Q79+Dunkin!Q79+Chipotle!Q79+Sergios!Q79+'Moes PG5'!Q79+'Papa Johns'!Q79+Salad!Q79+'Half Moon &amp; Tropical Smoothie'!Q79+'Athletic Concessions - Kitchen'!Q79+'Starbucks BBC'!Q79+'Moes BBC'!Q79+'Grille Works BBC'!Q79+'Subway BBC'!Q79+'Market Pavillion'!Q79+'Chic Fil A BBC'!Q79+Panera!Q79+'Heritage Market'!Q79</f>
        <v>0</v>
      </c>
      <c r="R79" s="80">
        <f t="shared" si="27"/>
        <v>0</v>
      </c>
      <c r="S79" s="134">
        <f>'POD Breezeway'!S79+'Express GL'!S79+'Starbucks GL-SBX Truck'!S79+'Miro''s'!S79+'Faculty Club'!S79+'Almazar  &amp; Brand X'!S79+'Burger King'!S79+Bustelo!S79+Chilis!S79+Einstein!S79+Jamba!S79+'Pollo Tropical'!S79+'Subway GC'!S79+'Sushi Maki'!S79+Panda!S79+'Starbucks Mango'!S79+'Taco Bell'!S79+'Chick-fil-A'!S79+Dunkin!S79+Chipotle!S79+Sergios!S79+'Moes PG5'!S79+'Papa Johns'!S79+Salad!S79+'Half Moon &amp; Tropical Smoothie'!S79+'Athletic Concessions - Kitchen'!S79+'Starbucks BBC'!S79+'Moes BBC'!S79+'Grille Works BBC'!S79+'Subway BBC'!S79+'Market Pavillion'!S79+'Chic Fil A BBC'!S79+Panera!S79+'Heritage Market'!S79</f>
        <v>0</v>
      </c>
      <c r="T79" s="80">
        <f t="shared" si="28"/>
        <v>0</v>
      </c>
      <c r="U79" s="134">
        <f>'POD Breezeway'!U79+'Express GL'!U79+'Starbucks GL-SBX Truck'!U79+'Miro''s'!U79+'Faculty Club'!U79+'Almazar  &amp; Brand X'!U79+'Burger King'!U79+Bustelo!U79+Chilis!U79+Einstein!U79+Jamba!U79+'Pollo Tropical'!U79+'Subway GC'!U79+'Sushi Maki'!U79+Panda!U79+'Starbucks Mango'!U79+'Taco Bell'!U79+'Chick-fil-A'!U79+Dunkin!U79+Chipotle!U79+Sergios!U79+'Moes PG5'!U79+'Papa Johns'!U79+Salad!U79+'Half Moon &amp; Tropical Smoothie'!U79+'Athletic Concessions - Kitchen'!U79+'Starbucks BBC'!U79+'Moes BBC'!U79+'Grille Works BBC'!U79+'Subway BBC'!U79+'Market Pavillion'!U79+'Chic Fil A BBC'!U79+Panera!U79+'Heritage Market'!U79</f>
        <v>0</v>
      </c>
      <c r="V79" s="80">
        <f t="shared" si="29"/>
        <v>0</v>
      </c>
    </row>
    <row r="80" spans="1:22" ht="12.75" customHeight="1">
      <c r="A80" s="2" t="s">
        <v>411</v>
      </c>
      <c r="B80" s="35"/>
      <c r="C80" s="134">
        <f>'POD Breezeway'!C80+'Express GL'!C80+'Starbucks GL-SBX Truck'!C80+'Miro''s'!C80+'Faculty Club'!C80+'Almazar  &amp; Brand X'!C80+'Burger King'!C80+Bustelo!C80+Chilis!C80+Einstein!C80+Jamba!C80+'Pollo Tropical'!C80+'Subway GC'!C80+'Sushi Maki'!C80+Panda!C80+'Starbucks Mango'!C80+'Taco Bell'!C80+'Chick-fil-A'!C80+Dunkin!C80+Chipotle!C80+Sergios!C80+'Moes PG5'!C80+'Papa Johns'!C80+Salad!C80+'Half Moon &amp; Tropical Smoothie'!C80+'Athletic Concessions - Kitchen'!C80+'Starbucks BBC'!C80+'Moes BBC'!C80+'Grille Works BBC'!C80+'Subway BBC'!C80+'Market Pavillion'!C80+'Chic Fil A BBC'!C80+Panera!C80+'Heritage Market'!C80</f>
        <v>0</v>
      </c>
      <c r="D80" s="80">
        <f t="shared" si="20"/>
        <v>0</v>
      </c>
      <c r="E80" s="134">
        <f>'POD Breezeway'!E80+'Express GL'!E80+'Starbucks GL-SBX Truck'!E80+'Miro''s'!E80+'Faculty Club'!E80+'Almazar  &amp; Brand X'!E80+'Burger King'!E80+Bustelo!E80+Chilis!E80+Einstein!E80+Jamba!E80+'Pollo Tropical'!E80+'Subway GC'!E80+'Sushi Maki'!E80+Panda!E80+'Starbucks Mango'!E80+'Taco Bell'!E80+'Chick-fil-A'!E80+Dunkin!E80+Chipotle!E80+Sergios!E80+'Moes PG5'!E80+'Papa Johns'!E80+Salad!E80+'Half Moon &amp; Tropical Smoothie'!E80+'Athletic Concessions - Kitchen'!E80+'Starbucks BBC'!E80+'Moes BBC'!E80+'Grille Works BBC'!E80+'Subway BBC'!E80+'Market Pavillion'!E80+'Chic Fil A BBC'!E80+Panera!E80+'Heritage Market'!E80</f>
        <v>0</v>
      </c>
      <c r="F80" s="80">
        <f t="shared" si="21"/>
        <v>0</v>
      </c>
      <c r="G80" s="134">
        <f>'POD Breezeway'!G80+'Express GL'!G80+'Starbucks GL-SBX Truck'!G80+'Miro''s'!G80+'Faculty Club'!G80+'Almazar  &amp; Brand X'!G80+'Burger King'!G80+Bustelo!G80+Chilis!G80+Einstein!G80+Jamba!G80+'Pollo Tropical'!G80+'Subway GC'!G80+'Sushi Maki'!G80+Panda!G80+'Starbucks Mango'!G80+'Taco Bell'!G80+'Chick-fil-A'!G80+Dunkin!G80+Chipotle!G80+Sergios!G80+'Moes PG5'!G80+'Papa Johns'!G80+Salad!G80+'Half Moon &amp; Tropical Smoothie'!G80+'Athletic Concessions - Kitchen'!G80+'Starbucks BBC'!G80+'Moes BBC'!G80+'Grille Works BBC'!G80+'Subway BBC'!G80+'Market Pavillion'!G80+'Chic Fil A BBC'!G80+Panera!G80+'Heritage Market'!G80</f>
        <v>0</v>
      </c>
      <c r="H80" s="80">
        <f t="shared" si="22"/>
        <v>0</v>
      </c>
      <c r="I80" s="134">
        <f>'POD Breezeway'!I80+'Express GL'!I80+'Starbucks GL-SBX Truck'!I80+'Miro''s'!I80+'Faculty Club'!I80+'Almazar  &amp; Brand X'!I80+'Burger King'!I80+Bustelo!I80+Chilis!I80+Einstein!I80+Jamba!I80+'Pollo Tropical'!I80+'Subway GC'!I80+'Sushi Maki'!I80+Panda!I80+'Starbucks Mango'!I80+'Taco Bell'!I80+'Chick-fil-A'!I80+Dunkin!I80+Chipotle!I80+Sergios!I80+'Moes PG5'!I80+'Papa Johns'!I80+Salad!I80+'Half Moon &amp; Tropical Smoothie'!I80+'Athletic Concessions - Kitchen'!I80+'Starbucks BBC'!I80+'Moes BBC'!I80+'Grille Works BBC'!I80+'Subway BBC'!I80+'Market Pavillion'!I80+'Chic Fil A BBC'!I80+Panera!I80+'Heritage Market'!I80</f>
        <v>0</v>
      </c>
      <c r="J80" s="80">
        <f t="shared" si="23"/>
        <v>0</v>
      </c>
      <c r="K80" s="134">
        <f>'POD Breezeway'!K80+'Express GL'!K80+'Starbucks GL-SBX Truck'!K80+'Miro''s'!K80+'Faculty Club'!K80+'Almazar  &amp; Brand X'!K80+'Burger King'!K80+Bustelo!K80+Chilis!K80+Einstein!K80+Jamba!K80+'Pollo Tropical'!K80+'Subway GC'!K80+'Sushi Maki'!K80+Panda!K80+'Starbucks Mango'!K80+'Taco Bell'!K80+'Chick-fil-A'!K80+Dunkin!K80+Chipotle!K80+Sergios!K80+'Moes PG5'!K80+'Papa Johns'!K80+Salad!K80+'Half Moon &amp; Tropical Smoothie'!K80+'Athletic Concessions - Kitchen'!K80+'Starbucks BBC'!K80+'Moes BBC'!K80+'Grille Works BBC'!K80+'Subway BBC'!K80+'Market Pavillion'!K80+'Chic Fil A BBC'!K80+Panera!K80+'Heritage Market'!K80</f>
        <v>0</v>
      </c>
      <c r="L80" s="80">
        <f t="shared" si="24"/>
        <v>0</v>
      </c>
      <c r="M80" s="134">
        <f>'POD Breezeway'!M80+'Express GL'!M80+'Starbucks GL-SBX Truck'!M80+'Miro''s'!M80+'Faculty Club'!M80+'Almazar  &amp; Brand X'!M80+'Burger King'!M80+Bustelo!M80+Chilis!M80+Einstein!M80+Jamba!M80+'Pollo Tropical'!M80+'Subway GC'!M80+'Sushi Maki'!M80+Panda!M80+'Starbucks Mango'!M80+'Taco Bell'!M80+'Chick-fil-A'!M80+Dunkin!M80+Chipotle!M80+Sergios!M80+'Moes PG5'!M80+'Papa Johns'!M80+Salad!M80+'Half Moon &amp; Tropical Smoothie'!M80+'Athletic Concessions - Kitchen'!M80+'Starbucks BBC'!M80+'Moes BBC'!M80+'Grille Works BBC'!M80+'Subway BBC'!M80+'Market Pavillion'!M80+'Chic Fil A BBC'!M80+Panera!M80+'Heritage Market'!M80</f>
        <v>0</v>
      </c>
      <c r="N80" s="80">
        <f t="shared" si="25"/>
        <v>0</v>
      </c>
      <c r="O80" s="134">
        <f>'POD Breezeway'!O80+'Express GL'!O80+'Starbucks GL-SBX Truck'!O80+'Miro''s'!O80+'Faculty Club'!O80+'Almazar  &amp; Brand X'!O80+'Burger King'!O80+Bustelo!O80+Chilis!O80+Einstein!O80+Jamba!O80+'Pollo Tropical'!O80+'Subway GC'!O80+'Sushi Maki'!O80+Panda!O80+'Starbucks Mango'!O80+'Taco Bell'!O80+'Chick-fil-A'!O80+Dunkin!O80+Chipotle!O80+Sergios!O80+'Moes PG5'!O80+'Papa Johns'!O80+Salad!O80+'Half Moon &amp; Tropical Smoothie'!O80+'Athletic Concessions - Kitchen'!O80+'Starbucks BBC'!O80+'Moes BBC'!O80+'Grille Works BBC'!O80+'Subway BBC'!O80+'Market Pavillion'!O80+'Chic Fil A BBC'!O80+Panera!O80+'Heritage Market'!O80</f>
        <v>0</v>
      </c>
      <c r="P80" s="80">
        <f t="shared" si="26"/>
        <v>0</v>
      </c>
      <c r="Q80" s="134">
        <f>'POD Breezeway'!Q80+'Express GL'!Q80+'Starbucks GL-SBX Truck'!Q80+'Miro''s'!Q80+'Faculty Club'!Q80+'Almazar  &amp; Brand X'!Q80+'Burger King'!Q80+Bustelo!Q80+Chilis!Q80+Einstein!Q80+Jamba!Q80+'Pollo Tropical'!Q80+'Subway GC'!Q80+'Sushi Maki'!Q80+Panda!Q80+'Starbucks Mango'!Q80+'Taco Bell'!Q80+'Chick-fil-A'!Q80+Dunkin!Q80+Chipotle!Q80+Sergios!Q80+'Moes PG5'!Q80+'Papa Johns'!Q80+Salad!Q80+'Half Moon &amp; Tropical Smoothie'!Q80+'Athletic Concessions - Kitchen'!Q80+'Starbucks BBC'!Q80+'Moes BBC'!Q80+'Grille Works BBC'!Q80+'Subway BBC'!Q80+'Market Pavillion'!Q80+'Chic Fil A BBC'!Q80+Panera!Q80+'Heritage Market'!Q80</f>
        <v>0</v>
      </c>
      <c r="R80" s="80">
        <f t="shared" si="27"/>
        <v>0</v>
      </c>
      <c r="S80" s="134">
        <f>'POD Breezeway'!S80+'Express GL'!S80+'Starbucks GL-SBX Truck'!S80+'Miro''s'!S80+'Faculty Club'!S80+'Almazar  &amp; Brand X'!S80+'Burger King'!S80+Bustelo!S80+Chilis!S80+Einstein!S80+Jamba!S80+'Pollo Tropical'!S80+'Subway GC'!S80+'Sushi Maki'!S80+Panda!S80+'Starbucks Mango'!S80+'Taco Bell'!S80+'Chick-fil-A'!S80+Dunkin!S80+Chipotle!S80+Sergios!S80+'Moes PG5'!S80+'Papa Johns'!S80+Salad!S80+'Half Moon &amp; Tropical Smoothie'!S80+'Athletic Concessions - Kitchen'!S80+'Starbucks BBC'!S80+'Moes BBC'!S80+'Grille Works BBC'!S80+'Subway BBC'!S80+'Market Pavillion'!S80+'Chic Fil A BBC'!S80+Panera!S80+'Heritage Market'!S80</f>
        <v>0</v>
      </c>
      <c r="T80" s="80">
        <f t="shared" si="28"/>
        <v>0</v>
      </c>
      <c r="U80" s="134">
        <f>'POD Breezeway'!U80+'Express GL'!U80+'Starbucks GL-SBX Truck'!U80+'Miro''s'!U80+'Faculty Club'!U80+'Almazar  &amp; Brand X'!U80+'Burger King'!U80+Bustelo!U80+Chilis!U80+Einstein!U80+Jamba!U80+'Pollo Tropical'!U80+'Subway GC'!U80+'Sushi Maki'!U80+Panda!U80+'Starbucks Mango'!U80+'Taco Bell'!U80+'Chick-fil-A'!U80+Dunkin!U80+Chipotle!U80+Sergios!U80+'Moes PG5'!U80+'Papa Johns'!U80+Salad!U80+'Half Moon &amp; Tropical Smoothie'!U80+'Athletic Concessions - Kitchen'!U80+'Starbucks BBC'!U80+'Moes BBC'!U80+'Grille Works BBC'!U80+'Subway BBC'!U80+'Market Pavillion'!U80+'Chic Fil A BBC'!U80+Panera!U80+'Heritage Market'!U80</f>
        <v>0</v>
      </c>
      <c r="V80" s="80">
        <f t="shared" si="29"/>
        <v>0</v>
      </c>
    </row>
    <row r="81" spans="1:22" ht="12.75" customHeight="1">
      <c r="A81" s="2" t="s">
        <v>412</v>
      </c>
      <c r="B81" s="35"/>
      <c r="C81" s="134">
        <f>'POD Breezeway'!C81+'Express GL'!C81+'Starbucks GL-SBX Truck'!C81+'Miro''s'!C81+'Faculty Club'!C81+'Almazar  &amp; Brand X'!C81+'Burger King'!C81+Bustelo!C81+Chilis!C81+Einstein!C81+Jamba!C81+'Pollo Tropical'!C81+'Subway GC'!C81+'Sushi Maki'!C81+Panda!C81+'Starbucks Mango'!C81+'Taco Bell'!C81+'Chick-fil-A'!C81+Dunkin!C81+Chipotle!C81+Sergios!C81+'Moes PG5'!C81+'Papa Johns'!C81+Salad!C81+'Half Moon &amp; Tropical Smoothie'!C81+'Athletic Concessions - Kitchen'!C81+'Starbucks BBC'!C81+'Moes BBC'!C81+'Grille Works BBC'!C81+'Subway BBC'!C81+'Market Pavillion'!C81+'Chic Fil A BBC'!C81+Panera!C81+'Heritage Market'!C81</f>
        <v>0</v>
      </c>
      <c r="D81" s="80">
        <f t="shared" si="20"/>
        <v>0</v>
      </c>
      <c r="E81" s="134">
        <f>'POD Breezeway'!E81+'Express GL'!E81+'Starbucks GL-SBX Truck'!E81+'Miro''s'!E81+'Faculty Club'!E81+'Almazar  &amp; Brand X'!E81+'Burger King'!E81+Bustelo!E81+Chilis!E81+Einstein!E81+Jamba!E81+'Pollo Tropical'!E81+'Subway GC'!E81+'Sushi Maki'!E81+Panda!E81+'Starbucks Mango'!E81+'Taco Bell'!E81+'Chick-fil-A'!E81+Dunkin!E81+Chipotle!E81+Sergios!E81+'Moes PG5'!E81+'Papa Johns'!E81+Salad!E81+'Half Moon &amp; Tropical Smoothie'!E81+'Athletic Concessions - Kitchen'!E81+'Starbucks BBC'!E81+'Moes BBC'!E81+'Grille Works BBC'!E81+'Subway BBC'!E81+'Market Pavillion'!E81+'Chic Fil A BBC'!E81+Panera!E81+'Heritage Market'!E81</f>
        <v>0</v>
      </c>
      <c r="F81" s="80">
        <f t="shared" si="21"/>
        <v>0</v>
      </c>
      <c r="G81" s="134">
        <f>'POD Breezeway'!G81+'Express GL'!G81+'Starbucks GL-SBX Truck'!G81+'Miro''s'!G81+'Faculty Club'!G81+'Almazar  &amp; Brand X'!G81+'Burger King'!G81+Bustelo!G81+Chilis!G81+Einstein!G81+Jamba!G81+'Pollo Tropical'!G81+'Subway GC'!G81+'Sushi Maki'!G81+Panda!G81+'Starbucks Mango'!G81+'Taco Bell'!G81+'Chick-fil-A'!G81+Dunkin!G81+Chipotle!G81+Sergios!G81+'Moes PG5'!G81+'Papa Johns'!G81+Salad!G81+'Half Moon &amp; Tropical Smoothie'!G81+'Athletic Concessions - Kitchen'!G81+'Starbucks BBC'!G81+'Moes BBC'!G81+'Grille Works BBC'!G81+'Subway BBC'!G81+'Market Pavillion'!G81+'Chic Fil A BBC'!G81+Panera!G81+'Heritage Market'!G81</f>
        <v>0</v>
      </c>
      <c r="H81" s="80">
        <f t="shared" si="22"/>
        <v>0</v>
      </c>
      <c r="I81" s="134">
        <f>'POD Breezeway'!I81+'Express GL'!I81+'Starbucks GL-SBX Truck'!I81+'Miro''s'!I81+'Faculty Club'!I81+'Almazar  &amp; Brand X'!I81+'Burger King'!I81+Bustelo!I81+Chilis!I81+Einstein!I81+Jamba!I81+'Pollo Tropical'!I81+'Subway GC'!I81+'Sushi Maki'!I81+Panda!I81+'Starbucks Mango'!I81+'Taco Bell'!I81+'Chick-fil-A'!I81+Dunkin!I81+Chipotle!I81+Sergios!I81+'Moes PG5'!I81+'Papa Johns'!I81+Salad!I81+'Half Moon &amp; Tropical Smoothie'!I81+'Athletic Concessions - Kitchen'!I81+'Starbucks BBC'!I81+'Moes BBC'!I81+'Grille Works BBC'!I81+'Subway BBC'!I81+'Market Pavillion'!I81+'Chic Fil A BBC'!I81+Panera!I81+'Heritage Market'!I81</f>
        <v>0</v>
      </c>
      <c r="J81" s="80">
        <f t="shared" si="23"/>
        <v>0</v>
      </c>
      <c r="K81" s="134">
        <f>'POD Breezeway'!K81+'Express GL'!K81+'Starbucks GL-SBX Truck'!K81+'Miro''s'!K81+'Faculty Club'!K81+'Almazar  &amp; Brand X'!K81+'Burger King'!K81+Bustelo!K81+Chilis!K81+Einstein!K81+Jamba!K81+'Pollo Tropical'!K81+'Subway GC'!K81+'Sushi Maki'!K81+Panda!K81+'Starbucks Mango'!K81+'Taco Bell'!K81+'Chick-fil-A'!K81+Dunkin!K81+Chipotle!K81+Sergios!K81+'Moes PG5'!K81+'Papa Johns'!K81+Salad!K81+'Half Moon &amp; Tropical Smoothie'!K81+'Athletic Concessions - Kitchen'!K81+'Starbucks BBC'!K81+'Moes BBC'!K81+'Grille Works BBC'!K81+'Subway BBC'!K81+'Market Pavillion'!K81+'Chic Fil A BBC'!K81+Panera!K81+'Heritage Market'!K81</f>
        <v>0</v>
      </c>
      <c r="L81" s="80">
        <f t="shared" si="24"/>
        <v>0</v>
      </c>
      <c r="M81" s="134">
        <f>'POD Breezeway'!M81+'Express GL'!M81+'Starbucks GL-SBX Truck'!M81+'Miro''s'!M81+'Faculty Club'!M81+'Almazar  &amp; Brand X'!M81+'Burger King'!M81+Bustelo!M81+Chilis!M81+Einstein!M81+Jamba!M81+'Pollo Tropical'!M81+'Subway GC'!M81+'Sushi Maki'!M81+Panda!M81+'Starbucks Mango'!M81+'Taco Bell'!M81+'Chick-fil-A'!M81+Dunkin!M81+Chipotle!M81+Sergios!M81+'Moes PG5'!M81+'Papa Johns'!M81+Salad!M81+'Half Moon &amp; Tropical Smoothie'!M81+'Athletic Concessions - Kitchen'!M81+'Starbucks BBC'!M81+'Moes BBC'!M81+'Grille Works BBC'!M81+'Subway BBC'!M81+'Market Pavillion'!M81+'Chic Fil A BBC'!M81+Panera!M81+'Heritage Market'!M81</f>
        <v>0</v>
      </c>
      <c r="N81" s="80">
        <f t="shared" si="25"/>
        <v>0</v>
      </c>
      <c r="O81" s="134">
        <f>'POD Breezeway'!O81+'Express GL'!O81+'Starbucks GL-SBX Truck'!O81+'Miro''s'!O81+'Faculty Club'!O81+'Almazar  &amp; Brand X'!O81+'Burger King'!O81+Bustelo!O81+Chilis!O81+Einstein!O81+Jamba!O81+'Pollo Tropical'!O81+'Subway GC'!O81+'Sushi Maki'!O81+Panda!O81+'Starbucks Mango'!O81+'Taco Bell'!O81+'Chick-fil-A'!O81+Dunkin!O81+Chipotle!O81+Sergios!O81+'Moes PG5'!O81+'Papa Johns'!O81+Salad!O81+'Half Moon &amp; Tropical Smoothie'!O81+'Athletic Concessions - Kitchen'!O81+'Starbucks BBC'!O81+'Moes BBC'!O81+'Grille Works BBC'!O81+'Subway BBC'!O81+'Market Pavillion'!O81+'Chic Fil A BBC'!O81+Panera!O81+'Heritage Market'!O81</f>
        <v>0</v>
      </c>
      <c r="P81" s="80">
        <f t="shared" si="26"/>
        <v>0</v>
      </c>
      <c r="Q81" s="134">
        <f>'POD Breezeway'!Q81+'Express GL'!Q81+'Starbucks GL-SBX Truck'!Q81+'Miro''s'!Q81+'Faculty Club'!Q81+'Almazar  &amp; Brand X'!Q81+'Burger King'!Q81+Bustelo!Q81+Chilis!Q81+Einstein!Q81+Jamba!Q81+'Pollo Tropical'!Q81+'Subway GC'!Q81+'Sushi Maki'!Q81+Panda!Q81+'Starbucks Mango'!Q81+'Taco Bell'!Q81+'Chick-fil-A'!Q81+Dunkin!Q81+Chipotle!Q81+Sergios!Q81+'Moes PG5'!Q81+'Papa Johns'!Q81+Salad!Q81+'Half Moon &amp; Tropical Smoothie'!Q81+'Athletic Concessions - Kitchen'!Q81+'Starbucks BBC'!Q81+'Moes BBC'!Q81+'Grille Works BBC'!Q81+'Subway BBC'!Q81+'Market Pavillion'!Q81+'Chic Fil A BBC'!Q81+Panera!Q81+'Heritage Market'!Q81</f>
        <v>0</v>
      </c>
      <c r="R81" s="80">
        <f t="shared" si="27"/>
        <v>0</v>
      </c>
      <c r="S81" s="134">
        <f>'POD Breezeway'!S81+'Express GL'!S81+'Starbucks GL-SBX Truck'!S81+'Miro''s'!S81+'Faculty Club'!S81+'Almazar  &amp; Brand X'!S81+'Burger King'!S81+Bustelo!S81+Chilis!S81+Einstein!S81+Jamba!S81+'Pollo Tropical'!S81+'Subway GC'!S81+'Sushi Maki'!S81+Panda!S81+'Starbucks Mango'!S81+'Taco Bell'!S81+'Chick-fil-A'!S81+Dunkin!S81+Chipotle!S81+Sergios!S81+'Moes PG5'!S81+'Papa Johns'!S81+Salad!S81+'Half Moon &amp; Tropical Smoothie'!S81+'Athletic Concessions - Kitchen'!S81+'Starbucks BBC'!S81+'Moes BBC'!S81+'Grille Works BBC'!S81+'Subway BBC'!S81+'Market Pavillion'!S81+'Chic Fil A BBC'!S81+Panera!S81+'Heritage Market'!S81</f>
        <v>0</v>
      </c>
      <c r="T81" s="80">
        <f t="shared" si="28"/>
        <v>0</v>
      </c>
      <c r="U81" s="134">
        <f>'POD Breezeway'!U81+'Express GL'!U81+'Starbucks GL-SBX Truck'!U81+'Miro''s'!U81+'Faculty Club'!U81+'Almazar  &amp; Brand X'!U81+'Burger King'!U81+Bustelo!U81+Chilis!U81+Einstein!U81+Jamba!U81+'Pollo Tropical'!U81+'Subway GC'!U81+'Sushi Maki'!U81+Panda!U81+'Starbucks Mango'!U81+'Taco Bell'!U81+'Chick-fil-A'!U81+Dunkin!U81+Chipotle!U81+Sergios!U81+'Moes PG5'!U81+'Papa Johns'!U81+Salad!U81+'Half Moon &amp; Tropical Smoothie'!U81+'Athletic Concessions - Kitchen'!U81+'Starbucks BBC'!U81+'Moes BBC'!U81+'Grille Works BBC'!U81+'Subway BBC'!U81+'Market Pavillion'!U81+'Chic Fil A BBC'!U81+Panera!U81+'Heritage Market'!U81</f>
        <v>0</v>
      </c>
      <c r="V81" s="80">
        <f t="shared" si="29"/>
        <v>0</v>
      </c>
    </row>
    <row r="82" spans="1:22" ht="12.75" customHeight="1">
      <c r="A82" s="2" t="s">
        <v>413</v>
      </c>
      <c r="B82" s="35"/>
      <c r="C82" s="134">
        <f>'POD Breezeway'!C82+'Express GL'!C82+'Starbucks GL-SBX Truck'!C82+'Miro''s'!C82+'Faculty Club'!C82+'Almazar  &amp; Brand X'!C82+'Burger King'!C82+Bustelo!C82+Chilis!C82+Einstein!C82+Jamba!C82+'Pollo Tropical'!C82+'Subway GC'!C82+'Sushi Maki'!C82+Panda!C82+'Starbucks Mango'!C82+'Taco Bell'!C82+'Chick-fil-A'!C82+Dunkin!C82+Chipotle!C82+Sergios!C82+'Moes PG5'!C82+'Papa Johns'!C82+Salad!C82+'Half Moon &amp; Tropical Smoothie'!C82+'Athletic Concessions - Kitchen'!C82+'Starbucks BBC'!C82+'Moes BBC'!C82+'Grille Works BBC'!C82+'Subway BBC'!C82+'Market Pavillion'!C82+'Chic Fil A BBC'!C82+Panera!C82+'Heritage Market'!C82</f>
        <v>0</v>
      </c>
      <c r="D82" s="80">
        <f t="shared" si="20"/>
        <v>0</v>
      </c>
      <c r="E82" s="134">
        <f>'POD Breezeway'!E82+'Express GL'!E82+'Starbucks GL-SBX Truck'!E82+'Miro''s'!E82+'Faculty Club'!E82+'Almazar  &amp; Brand X'!E82+'Burger King'!E82+Bustelo!E82+Chilis!E82+Einstein!E82+Jamba!E82+'Pollo Tropical'!E82+'Subway GC'!E82+'Sushi Maki'!E82+Panda!E82+'Starbucks Mango'!E82+'Taco Bell'!E82+'Chick-fil-A'!E82+Dunkin!E82+Chipotle!E82+Sergios!E82+'Moes PG5'!E82+'Papa Johns'!E82+Salad!E82+'Half Moon &amp; Tropical Smoothie'!E82+'Athletic Concessions - Kitchen'!E82+'Starbucks BBC'!E82+'Moes BBC'!E82+'Grille Works BBC'!E82+'Subway BBC'!E82+'Market Pavillion'!E82+'Chic Fil A BBC'!E82+Panera!E82+'Heritage Market'!E82</f>
        <v>0</v>
      </c>
      <c r="F82" s="80">
        <f t="shared" si="21"/>
        <v>0</v>
      </c>
      <c r="G82" s="134">
        <f>'POD Breezeway'!G82+'Express GL'!G82+'Starbucks GL-SBX Truck'!G82+'Miro''s'!G82+'Faculty Club'!G82+'Almazar  &amp; Brand X'!G82+'Burger King'!G82+Bustelo!G82+Chilis!G82+Einstein!G82+Jamba!G82+'Pollo Tropical'!G82+'Subway GC'!G82+'Sushi Maki'!G82+Panda!G82+'Starbucks Mango'!G82+'Taco Bell'!G82+'Chick-fil-A'!G82+Dunkin!G82+Chipotle!G82+Sergios!G82+'Moes PG5'!G82+'Papa Johns'!G82+Salad!G82+'Half Moon &amp; Tropical Smoothie'!G82+'Athletic Concessions - Kitchen'!G82+'Starbucks BBC'!G82+'Moes BBC'!G82+'Grille Works BBC'!G82+'Subway BBC'!G82+'Market Pavillion'!G82+'Chic Fil A BBC'!G82+Panera!G82+'Heritage Market'!G82</f>
        <v>0</v>
      </c>
      <c r="H82" s="80">
        <f t="shared" si="22"/>
        <v>0</v>
      </c>
      <c r="I82" s="134">
        <f>'POD Breezeway'!I82+'Express GL'!I82+'Starbucks GL-SBX Truck'!I82+'Miro''s'!I82+'Faculty Club'!I82+'Almazar  &amp; Brand X'!I82+'Burger King'!I82+Bustelo!I82+Chilis!I82+Einstein!I82+Jamba!I82+'Pollo Tropical'!I82+'Subway GC'!I82+'Sushi Maki'!I82+Panda!I82+'Starbucks Mango'!I82+'Taco Bell'!I82+'Chick-fil-A'!I82+Dunkin!I82+Chipotle!I82+Sergios!I82+'Moes PG5'!I82+'Papa Johns'!I82+Salad!I82+'Half Moon &amp; Tropical Smoothie'!I82+'Athletic Concessions - Kitchen'!I82+'Starbucks BBC'!I82+'Moes BBC'!I82+'Grille Works BBC'!I82+'Subway BBC'!I82+'Market Pavillion'!I82+'Chic Fil A BBC'!I82+Panera!I82+'Heritage Market'!I82</f>
        <v>0</v>
      </c>
      <c r="J82" s="80">
        <f t="shared" si="23"/>
        <v>0</v>
      </c>
      <c r="K82" s="134">
        <f>'POD Breezeway'!K82+'Express GL'!K82+'Starbucks GL-SBX Truck'!K82+'Miro''s'!K82+'Faculty Club'!K82+'Almazar  &amp; Brand X'!K82+'Burger King'!K82+Bustelo!K82+Chilis!K82+Einstein!K82+Jamba!K82+'Pollo Tropical'!K82+'Subway GC'!K82+'Sushi Maki'!K82+Panda!K82+'Starbucks Mango'!K82+'Taco Bell'!K82+'Chick-fil-A'!K82+Dunkin!K82+Chipotle!K82+Sergios!K82+'Moes PG5'!K82+'Papa Johns'!K82+Salad!K82+'Half Moon &amp; Tropical Smoothie'!K82+'Athletic Concessions - Kitchen'!K82+'Starbucks BBC'!K82+'Moes BBC'!K82+'Grille Works BBC'!K82+'Subway BBC'!K82+'Market Pavillion'!K82+'Chic Fil A BBC'!K82+Panera!K82+'Heritage Market'!K82</f>
        <v>0</v>
      </c>
      <c r="L82" s="80">
        <f t="shared" si="24"/>
        <v>0</v>
      </c>
      <c r="M82" s="134">
        <f>'POD Breezeway'!M82+'Express GL'!M82+'Starbucks GL-SBX Truck'!M82+'Miro''s'!M82+'Faculty Club'!M82+'Almazar  &amp; Brand X'!M82+'Burger King'!M82+Bustelo!M82+Chilis!M82+Einstein!M82+Jamba!M82+'Pollo Tropical'!M82+'Subway GC'!M82+'Sushi Maki'!M82+Panda!M82+'Starbucks Mango'!M82+'Taco Bell'!M82+'Chick-fil-A'!M82+Dunkin!M82+Chipotle!M82+Sergios!M82+'Moes PG5'!M82+'Papa Johns'!M82+Salad!M82+'Half Moon &amp; Tropical Smoothie'!M82+'Athletic Concessions - Kitchen'!M82+'Starbucks BBC'!M82+'Moes BBC'!M82+'Grille Works BBC'!M82+'Subway BBC'!M82+'Market Pavillion'!M82+'Chic Fil A BBC'!M82+Panera!M82+'Heritage Market'!M82</f>
        <v>0</v>
      </c>
      <c r="N82" s="80">
        <f t="shared" si="25"/>
        <v>0</v>
      </c>
      <c r="O82" s="134">
        <f>'POD Breezeway'!O82+'Express GL'!O82+'Starbucks GL-SBX Truck'!O82+'Miro''s'!O82+'Faculty Club'!O82+'Almazar  &amp; Brand X'!O82+'Burger King'!O82+Bustelo!O82+Chilis!O82+Einstein!O82+Jamba!O82+'Pollo Tropical'!O82+'Subway GC'!O82+'Sushi Maki'!O82+Panda!O82+'Starbucks Mango'!O82+'Taco Bell'!O82+'Chick-fil-A'!O82+Dunkin!O82+Chipotle!O82+Sergios!O82+'Moes PG5'!O82+'Papa Johns'!O82+Salad!O82+'Half Moon &amp; Tropical Smoothie'!O82+'Athletic Concessions - Kitchen'!O82+'Starbucks BBC'!O82+'Moes BBC'!O82+'Grille Works BBC'!O82+'Subway BBC'!O82+'Market Pavillion'!O82+'Chic Fil A BBC'!O82+Panera!O82+'Heritage Market'!O82</f>
        <v>0</v>
      </c>
      <c r="P82" s="80">
        <f t="shared" si="26"/>
        <v>0</v>
      </c>
      <c r="Q82" s="134">
        <f>'POD Breezeway'!Q82+'Express GL'!Q82+'Starbucks GL-SBX Truck'!Q82+'Miro''s'!Q82+'Faculty Club'!Q82+'Almazar  &amp; Brand X'!Q82+'Burger King'!Q82+Bustelo!Q82+Chilis!Q82+Einstein!Q82+Jamba!Q82+'Pollo Tropical'!Q82+'Subway GC'!Q82+'Sushi Maki'!Q82+Panda!Q82+'Starbucks Mango'!Q82+'Taco Bell'!Q82+'Chick-fil-A'!Q82+Dunkin!Q82+Chipotle!Q82+Sergios!Q82+'Moes PG5'!Q82+'Papa Johns'!Q82+Salad!Q82+'Half Moon &amp; Tropical Smoothie'!Q82+'Athletic Concessions - Kitchen'!Q82+'Starbucks BBC'!Q82+'Moes BBC'!Q82+'Grille Works BBC'!Q82+'Subway BBC'!Q82+'Market Pavillion'!Q82+'Chic Fil A BBC'!Q82+Panera!Q82+'Heritage Market'!Q82</f>
        <v>0</v>
      </c>
      <c r="R82" s="80">
        <f t="shared" si="27"/>
        <v>0</v>
      </c>
      <c r="S82" s="134">
        <f>'POD Breezeway'!S82+'Express GL'!S82+'Starbucks GL-SBX Truck'!S82+'Miro''s'!S82+'Faculty Club'!S82+'Almazar  &amp; Brand X'!S82+'Burger King'!S82+Bustelo!S82+Chilis!S82+Einstein!S82+Jamba!S82+'Pollo Tropical'!S82+'Subway GC'!S82+'Sushi Maki'!S82+Panda!S82+'Starbucks Mango'!S82+'Taco Bell'!S82+'Chick-fil-A'!S82+Dunkin!S82+Chipotle!S82+Sergios!S82+'Moes PG5'!S82+'Papa Johns'!S82+Salad!S82+'Half Moon &amp; Tropical Smoothie'!S82+'Athletic Concessions - Kitchen'!S82+'Starbucks BBC'!S82+'Moes BBC'!S82+'Grille Works BBC'!S82+'Subway BBC'!S82+'Market Pavillion'!S82+'Chic Fil A BBC'!S82+Panera!S82+'Heritage Market'!S82</f>
        <v>0</v>
      </c>
      <c r="T82" s="80">
        <f t="shared" si="28"/>
        <v>0</v>
      </c>
      <c r="U82" s="134">
        <f>'POD Breezeway'!U82+'Express GL'!U82+'Starbucks GL-SBX Truck'!U82+'Miro''s'!U82+'Faculty Club'!U82+'Almazar  &amp; Brand X'!U82+'Burger King'!U82+Bustelo!U82+Chilis!U82+Einstein!U82+Jamba!U82+'Pollo Tropical'!U82+'Subway GC'!U82+'Sushi Maki'!U82+Panda!U82+'Starbucks Mango'!U82+'Taco Bell'!U82+'Chick-fil-A'!U82+Dunkin!U82+Chipotle!U82+Sergios!U82+'Moes PG5'!U82+'Papa Johns'!U82+Salad!U82+'Half Moon &amp; Tropical Smoothie'!U82+'Athletic Concessions - Kitchen'!U82+'Starbucks BBC'!U82+'Moes BBC'!U82+'Grille Works BBC'!U82+'Subway BBC'!U82+'Market Pavillion'!U82+'Chic Fil A BBC'!U82+Panera!U82+'Heritage Market'!U82</f>
        <v>0</v>
      </c>
      <c r="V82" s="80">
        <f t="shared" si="29"/>
        <v>0</v>
      </c>
    </row>
    <row r="83" spans="1:22" ht="12.75" customHeight="1">
      <c r="A83" s="2" t="s">
        <v>414</v>
      </c>
      <c r="B83" s="35"/>
      <c r="C83" s="134">
        <f>'POD Breezeway'!C83+'Express GL'!C83+'Starbucks GL-SBX Truck'!C83+'Miro''s'!C83+'Faculty Club'!C83+'Almazar  &amp; Brand X'!C83+'Burger King'!C83+Bustelo!C83+Chilis!C83+Einstein!C83+Jamba!C83+'Pollo Tropical'!C83+'Subway GC'!C83+'Sushi Maki'!C83+Panda!C83+'Starbucks Mango'!C83+'Taco Bell'!C83+'Chick-fil-A'!C83+Dunkin!C83+Chipotle!C83+Sergios!C83+'Moes PG5'!C83+'Papa Johns'!C83+Salad!C83+'Half Moon &amp; Tropical Smoothie'!C83+'Athletic Concessions - Kitchen'!C83+'Starbucks BBC'!C83+'Moes BBC'!C83+'Grille Works BBC'!C83+'Subway BBC'!C83+'Market Pavillion'!C83+'Chic Fil A BBC'!C83+Panera!C83+'Heritage Market'!C83</f>
        <v>0</v>
      </c>
      <c r="D83" s="80">
        <f t="shared" si="20"/>
        <v>0</v>
      </c>
      <c r="E83" s="134">
        <f>'POD Breezeway'!E83+'Express GL'!E83+'Starbucks GL-SBX Truck'!E83+'Miro''s'!E83+'Faculty Club'!E83+'Almazar  &amp; Brand X'!E83+'Burger King'!E83+Bustelo!E83+Chilis!E83+Einstein!E83+Jamba!E83+'Pollo Tropical'!E83+'Subway GC'!E83+'Sushi Maki'!E83+Panda!E83+'Starbucks Mango'!E83+'Taco Bell'!E83+'Chick-fil-A'!E83+Dunkin!E83+Chipotle!E83+Sergios!E83+'Moes PG5'!E83+'Papa Johns'!E83+Salad!E83+'Half Moon &amp; Tropical Smoothie'!E83+'Athletic Concessions - Kitchen'!E83+'Starbucks BBC'!E83+'Moes BBC'!E83+'Grille Works BBC'!E83+'Subway BBC'!E83+'Market Pavillion'!E83+'Chic Fil A BBC'!E83+Panera!E83+'Heritage Market'!E83</f>
        <v>0</v>
      </c>
      <c r="F83" s="80">
        <f t="shared" si="21"/>
        <v>0</v>
      </c>
      <c r="G83" s="134">
        <f>'POD Breezeway'!G83+'Express GL'!G83+'Starbucks GL-SBX Truck'!G83+'Miro''s'!G83+'Faculty Club'!G83+'Almazar  &amp; Brand X'!G83+'Burger King'!G83+Bustelo!G83+Chilis!G83+Einstein!G83+Jamba!G83+'Pollo Tropical'!G83+'Subway GC'!G83+'Sushi Maki'!G83+Panda!G83+'Starbucks Mango'!G83+'Taco Bell'!G83+'Chick-fil-A'!G83+Dunkin!G83+Chipotle!G83+Sergios!G83+'Moes PG5'!G83+'Papa Johns'!G83+Salad!G83+'Half Moon &amp; Tropical Smoothie'!G83+'Athletic Concessions - Kitchen'!G83+'Starbucks BBC'!G83+'Moes BBC'!G83+'Grille Works BBC'!G83+'Subway BBC'!G83+'Market Pavillion'!G83+'Chic Fil A BBC'!G83+Panera!G83+'Heritage Market'!G83</f>
        <v>0</v>
      </c>
      <c r="H83" s="80">
        <f t="shared" si="22"/>
        <v>0</v>
      </c>
      <c r="I83" s="134">
        <f>'POD Breezeway'!I83+'Express GL'!I83+'Starbucks GL-SBX Truck'!I83+'Miro''s'!I83+'Faculty Club'!I83+'Almazar  &amp; Brand X'!I83+'Burger King'!I83+Bustelo!I83+Chilis!I83+Einstein!I83+Jamba!I83+'Pollo Tropical'!I83+'Subway GC'!I83+'Sushi Maki'!I83+Panda!I83+'Starbucks Mango'!I83+'Taco Bell'!I83+'Chick-fil-A'!I83+Dunkin!I83+Chipotle!I83+Sergios!I83+'Moes PG5'!I83+'Papa Johns'!I83+Salad!I83+'Half Moon &amp; Tropical Smoothie'!I83+'Athletic Concessions - Kitchen'!I83+'Starbucks BBC'!I83+'Moes BBC'!I83+'Grille Works BBC'!I83+'Subway BBC'!I83+'Market Pavillion'!I83+'Chic Fil A BBC'!I83+Panera!I83+'Heritage Market'!I83</f>
        <v>0</v>
      </c>
      <c r="J83" s="80">
        <f t="shared" si="23"/>
        <v>0</v>
      </c>
      <c r="K83" s="134">
        <f>'POD Breezeway'!K83+'Express GL'!K83+'Starbucks GL-SBX Truck'!K83+'Miro''s'!K83+'Faculty Club'!K83+'Almazar  &amp; Brand X'!K83+'Burger King'!K83+Bustelo!K83+Chilis!K83+Einstein!K83+Jamba!K83+'Pollo Tropical'!K83+'Subway GC'!K83+'Sushi Maki'!K83+Panda!K83+'Starbucks Mango'!K83+'Taco Bell'!K83+'Chick-fil-A'!K83+Dunkin!K83+Chipotle!K83+Sergios!K83+'Moes PG5'!K83+'Papa Johns'!K83+Salad!K83+'Half Moon &amp; Tropical Smoothie'!K83+'Athletic Concessions - Kitchen'!K83+'Starbucks BBC'!K83+'Moes BBC'!K83+'Grille Works BBC'!K83+'Subway BBC'!K83+'Market Pavillion'!K83+'Chic Fil A BBC'!K83+Panera!K83+'Heritage Market'!K83</f>
        <v>0</v>
      </c>
      <c r="L83" s="80">
        <f t="shared" si="24"/>
        <v>0</v>
      </c>
      <c r="M83" s="134">
        <f>'POD Breezeway'!M83+'Express GL'!M83+'Starbucks GL-SBX Truck'!M83+'Miro''s'!M83+'Faculty Club'!M83+'Almazar  &amp; Brand X'!M83+'Burger King'!M83+Bustelo!M83+Chilis!M83+Einstein!M83+Jamba!M83+'Pollo Tropical'!M83+'Subway GC'!M83+'Sushi Maki'!M83+Panda!M83+'Starbucks Mango'!M83+'Taco Bell'!M83+'Chick-fil-A'!M83+Dunkin!M83+Chipotle!M83+Sergios!M83+'Moes PG5'!M83+'Papa Johns'!M83+Salad!M83+'Half Moon &amp; Tropical Smoothie'!M83+'Athletic Concessions - Kitchen'!M83+'Starbucks BBC'!M83+'Moes BBC'!M83+'Grille Works BBC'!M83+'Subway BBC'!M83+'Market Pavillion'!M83+'Chic Fil A BBC'!M83+Panera!M83+'Heritage Market'!M83</f>
        <v>0</v>
      </c>
      <c r="N83" s="80">
        <f t="shared" si="25"/>
        <v>0</v>
      </c>
      <c r="O83" s="134">
        <f>'POD Breezeway'!O83+'Express GL'!O83+'Starbucks GL-SBX Truck'!O83+'Miro''s'!O83+'Faculty Club'!O83+'Almazar  &amp; Brand X'!O83+'Burger King'!O83+Bustelo!O83+Chilis!O83+Einstein!O83+Jamba!O83+'Pollo Tropical'!O83+'Subway GC'!O83+'Sushi Maki'!O83+Panda!O83+'Starbucks Mango'!O83+'Taco Bell'!O83+'Chick-fil-A'!O83+Dunkin!O83+Chipotle!O83+Sergios!O83+'Moes PG5'!O83+'Papa Johns'!O83+Salad!O83+'Half Moon &amp; Tropical Smoothie'!O83+'Athletic Concessions - Kitchen'!O83+'Starbucks BBC'!O83+'Moes BBC'!O83+'Grille Works BBC'!O83+'Subway BBC'!O83+'Market Pavillion'!O83+'Chic Fil A BBC'!O83+Panera!O83+'Heritage Market'!O83</f>
        <v>0</v>
      </c>
      <c r="P83" s="80">
        <f t="shared" si="26"/>
        <v>0</v>
      </c>
      <c r="Q83" s="134">
        <f>'POD Breezeway'!Q83+'Express GL'!Q83+'Starbucks GL-SBX Truck'!Q83+'Miro''s'!Q83+'Faculty Club'!Q83+'Almazar  &amp; Brand X'!Q83+'Burger King'!Q83+Bustelo!Q83+Chilis!Q83+Einstein!Q83+Jamba!Q83+'Pollo Tropical'!Q83+'Subway GC'!Q83+'Sushi Maki'!Q83+Panda!Q83+'Starbucks Mango'!Q83+'Taco Bell'!Q83+'Chick-fil-A'!Q83+Dunkin!Q83+Chipotle!Q83+Sergios!Q83+'Moes PG5'!Q83+'Papa Johns'!Q83+Salad!Q83+'Half Moon &amp; Tropical Smoothie'!Q83+'Athletic Concessions - Kitchen'!Q83+'Starbucks BBC'!Q83+'Moes BBC'!Q83+'Grille Works BBC'!Q83+'Subway BBC'!Q83+'Market Pavillion'!Q83+'Chic Fil A BBC'!Q83+Panera!Q83+'Heritage Market'!Q83</f>
        <v>0</v>
      </c>
      <c r="R83" s="80">
        <f t="shared" si="27"/>
        <v>0</v>
      </c>
      <c r="S83" s="134">
        <f>'POD Breezeway'!S83+'Express GL'!S83+'Starbucks GL-SBX Truck'!S83+'Miro''s'!S83+'Faculty Club'!S83+'Almazar  &amp; Brand X'!S83+'Burger King'!S83+Bustelo!S83+Chilis!S83+Einstein!S83+Jamba!S83+'Pollo Tropical'!S83+'Subway GC'!S83+'Sushi Maki'!S83+Panda!S83+'Starbucks Mango'!S83+'Taco Bell'!S83+'Chick-fil-A'!S83+Dunkin!S83+Chipotle!S83+Sergios!S83+'Moes PG5'!S83+'Papa Johns'!S83+Salad!S83+'Half Moon &amp; Tropical Smoothie'!S83+'Athletic Concessions - Kitchen'!S83+'Starbucks BBC'!S83+'Moes BBC'!S83+'Grille Works BBC'!S83+'Subway BBC'!S83+'Market Pavillion'!S83+'Chic Fil A BBC'!S83+Panera!S83+'Heritage Market'!S83</f>
        <v>0</v>
      </c>
      <c r="T83" s="80">
        <f t="shared" si="28"/>
        <v>0</v>
      </c>
      <c r="U83" s="134">
        <f>'POD Breezeway'!U83+'Express GL'!U83+'Starbucks GL-SBX Truck'!U83+'Miro''s'!U83+'Faculty Club'!U83+'Almazar  &amp; Brand X'!U83+'Burger King'!U83+Bustelo!U83+Chilis!U83+Einstein!U83+Jamba!U83+'Pollo Tropical'!U83+'Subway GC'!U83+'Sushi Maki'!U83+Panda!U83+'Starbucks Mango'!U83+'Taco Bell'!U83+'Chick-fil-A'!U83+Dunkin!U83+Chipotle!U83+Sergios!U83+'Moes PG5'!U83+'Papa Johns'!U83+Salad!U83+'Half Moon &amp; Tropical Smoothie'!U83+'Athletic Concessions - Kitchen'!U83+'Starbucks BBC'!U83+'Moes BBC'!U83+'Grille Works BBC'!U83+'Subway BBC'!U83+'Market Pavillion'!U83+'Chic Fil A BBC'!U83+Panera!U83+'Heritage Market'!U83</f>
        <v>0</v>
      </c>
      <c r="V83" s="80">
        <f t="shared" si="29"/>
        <v>0</v>
      </c>
    </row>
    <row r="84" spans="1:22" ht="12.75" customHeight="1">
      <c r="A84" s="2" t="s">
        <v>415</v>
      </c>
      <c r="B84" s="35"/>
      <c r="C84" s="134">
        <f>'POD Breezeway'!C84+'Express GL'!C84+'Starbucks GL-SBX Truck'!C84+'Miro''s'!C84+'Faculty Club'!C84+'Almazar  &amp; Brand X'!C84+'Burger King'!C84+Bustelo!C84+Chilis!C84+Einstein!C84+Jamba!C84+'Pollo Tropical'!C84+'Subway GC'!C84+'Sushi Maki'!C84+Panda!C84+'Starbucks Mango'!C84+'Taco Bell'!C84+'Chick-fil-A'!C84+Dunkin!C84+Chipotle!C84+Sergios!C84+'Moes PG5'!C84+'Papa Johns'!C84+Salad!C84+'Half Moon &amp; Tropical Smoothie'!C84+'Athletic Concessions - Kitchen'!C84+'Starbucks BBC'!C84+'Moes BBC'!C84+'Grille Works BBC'!C84+'Subway BBC'!C84+'Market Pavillion'!C84+'Chic Fil A BBC'!C84+Panera!C84+'Heritage Market'!C84</f>
        <v>0</v>
      </c>
      <c r="D84" s="80">
        <f t="shared" ref="D84:D105" si="30">IFERROR(C84/C$28,0)</f>
        <v>0</v>
      </c>
      <c r="E84" s="134">
        <f>'POD Breezeway'!E84+'Express GL'!E84+'Starbucks GL-SBX Truck'!E84+'Miro''s'!E84+'Faculty Club'!E84+'Almazar  &amp; Brand X'!E84+'Burger King'!E84+Bustelo!E84+Chilis!E84+Einstein!E84+Jamba!E84+'Pollo Tropical'!E84+'Subway GC'!E84+'Sushi Maki'!E84+Panda!E84+'Starbucks Mango'!E84+'Taco Bell'!E84+'Chick-fil-A'!E84+Dunkin!E84+Chipotle!E84+Sergios!E84+'Moes PG5'!E84+'Papa Johns'!E84+Salad!E84+'Half Moon &amp; Tropical Smoothie'!E84+'Athletic Concessions - Kitchen'!E84+'Starbucks BBC'!E84+'Moes BBC'!E84+'Grille Works BBC'!E84+'Subway BBC'!E84+'Market Pavillion'!E84+'Chic Fil A BBC'!E84+Panera!E84+'Heritage Market'!E84</f>
        <v>0</v>
      </c>
      <c r="F84" s="80">
        <f t="shared" ref="F84:F105" si="31">IFERROR(E84/E$28,0)</f>
        <v>0</v>
      </c>
      <c r="G84" s="134">
        <f>'POD Breezeway'!G84+'Express GL'!G84+'Starbucks GL-SBX Truck'!G84+'Miro''s'!G84+'Faculty Club'!G84+'Almazar  &amp; Brand X'!G84+'Burger King'!G84+Bustelo!G84+Chilis!G84+Einstein!G84+Jamba!G84+'Pollo Tropical'!G84+'Subway GC'!G84+'Sushi Maki'!G84+Panda!G84+'Starbucks Mango'!G84+'Taco Bell'!G84+'Chick-fil-A'!G84+Dunkin!G84+Chipotle!G84+Sergios!G84+'Moes PG5'!G84+'Papa Johns'!G84+Salad!G84+'Half Moon &amp; Tropical Smoothie'!G84+'Athletic Concessions - Kitchen'!G84+'Starbucks BBC'!G84+'Moes BBC'!G84+'Grille Works BBC'!G84+'Subway BBC'!G84+'Market Pavillion'!G84+'Chic Fil A BBC'!G84+Panera!G84+'Heritage Market'!G84</f>
        <v>0</v>
      </c>
      <c r="H84" s="80">
        <f t="shared" ref="H84:H105" si="32">IFERROR(G84/G$28,0)</f>
        <v>0</v>
      </c>
      <c r="I84" s="134">
        <f>'POD Breezeway'!I84+'Express GL'!I84+'Starbucks GL-SBX Truck'!I84+'Miro''s'!I84+'Faculty Club'!I84+'Almazar  &amp; Brand X'!I84+'Burger King'!I84+Bustelo!I84+Chilis!I84+Einstein!I84+Jamba!I84+'Pollo Tropical'!I84+'Subway GC'!I84+'Sushi Maki'!I84+Panda!I84+'Starbucks Mango'!I84+'Taco Bell'!I84+'Chick-fil-A'!I84+Dunkin!I84+Chipotle!I84+Sergios!I84+'Moes PG5'!I84+'Papa Johns'!I84+Salad!I84+'Half Moon &amp; Tropical Smoothie'!I84+'Athletic Concessions - Kitchen'!I84+'Starbucks BBC'!I84+'Moes BBC'!I84+'Grille Works BBC'!I84+'Subway BBC'!I84+'Market Pavillion'!I84+'Chic Fil A BBC'!I84+Panera!I84+'Heritage Market'!I84</f>
        <v>0</v>
      </c>
      <c r="J84" s="80">
        <f t="shared" ref="J84:J105" si="33">IFERROR(I84/I$28,0)</f>
        <v>0</v>
      </c>
      <c r="K84" s="134">
        <f>'POD Breezeway'!K84+'Express GL'!K84+'Starbucks GL-SBX Truck'!K84+'Miro''s'!K84+'Faculty Club'!K84+'Almazar  &amp; Brand X'!K84+'Burger King'!K84+Bustelo!K84+Chilis!K84+Einstein!K84+Jamba!K84+'Pollo Tropical'!K84+'Subway GC'!K84+'Sushi Maki'!K84+Panda!K84+'Starbucks Mango'!K84+'Taco Bell'!K84+'Chick-fil-A'!K84+Dunkin!K84+Chipotle!K84+Sergios!K84+'Moes PG5'!K84+'Papa Johns'!K84+Salad!K84+'Half Moon &amp; Tropical Smoothie'!K84+'Athletic Concessions - Kitchen'!K84+'Starbucks BBC'!K84+'Moes BBC'!K84+'Grille Works BBC'!K84+'Subway BBC'!K84+'Market Pavillion'!K84+'Chic Fil A BBC'!K84+Panera!K84+'Heritage Market'!K84</f>
        <v>0</v>
      </c>
      <c r="L84" s="80">
        <f t="shared" ref="L84:L105" si="34">IFERROR(K84/K$28,0)</f>
        <v>0</v>
      </c>
      <c r="M84" s="134">
        <f>'POD Breezeway'!M84+'Express GL'!M84+'Starbucks GL-SBX Truck'!M84+'Miro''s'!M84+'Faculty Club'!M84+'Almazar  &amp; Brand X'!M84+'Burger King'!M84+Bustelo!M84+Chilis!M84+Einstein!M84+Jamba!M84+'Pollo Tropical'!M84+'Subway GC'!M84+'Sushi Maki'!M84+Panda!M84+'Starbucks Mango'!M84+'Taco Bell'!M84+'Chick-fil-A'!M84+Dunkin!M84+Chipotle!M84+Sergios!M84+'Moes PG5'!M84+'Papa Johns'!M84+Salad!M84+'Half Moon &amp; Tropical Smoothie'!M84+'Athletic Concessions - Kitchen'!M84+'Starbucks BBC'!M84+'Moes BBC'!M84+'Grille Works BBC'!M84+'Subway BBC'!M84+'Market Pavillion'!M84+'Chic Fil A BBC'!M84+Panera!M84+'Heritage Market'!M84</f>
        <v>0</v>
      </c>
      <c r="N84" s="80">
        <f t="shared" ref="N84:N105" si="35">IFERROR(M84/M$28,0)</f>
        <v>0</v>
      </c>
      <c r="O84" s="134">
        <f>'POD Breezeway'!O84+'Express GL'!O84+'Starbucks GL-SBX Truck'!O84+'Miro''s'!O84+'Faculty Club'!O84+'Almazar  &amp; Brand X'!O84+'Burger King'!O84+Bustelo!O84+Chilis!O84+Einstein!O84+Jamba!O84+'Pollo Tropical'!O84+'Subway GC'!O84+'Sushi Maki'!O84+Panda!O84+'Starbucks Mango'!O84+'Taco Bell'!O84+'Chick-fil-A'!O84+Dunkin!O84+Chipotle!O84+Sergios!O84+'Moes PG5'!O84+'Papa Johns'!O84+Salad!O84+'Half Moon &amp; Tropical Smoothie'!O84+'Athletic Concessions - Kitchen'!O84+'Starbucks BBC'!O84+'Moes BBC'!O84+'Grille Works BBC'!O84+'Subway BBC'!O84+'Market Pavillion'!O84+'Chic Fil A BBC'!O84+Panera!O84+'Heritage Market'!O84</f>
        <v>0</v>
      </c>
      <c r="P84" s="80">
        <f t="shared" ref="P84:P105" si="36">IFERROR(O84/O$28,0)</f>
        <v>0</v>
      </c>
      <c r="Q84" s="134">
        <f>'POD Breezeway'!Q84+'Express GL'!Q84+'Starbucks GL-SBX Truck'!Q84+'Miro''s'!Q84+'Faculty Club'!Q84+'Almazar  &amp; Brand X'!Q84+'Burger King'!Q84+Bustelo!Q84+Chilis!Q84+Einstein!Q84+Jamba!Q84+'Pollo Tropical'!Q84+'Subway GC'!Q84+'Sushi Maki'!Q84+Panda!Q84+'Starbucks Mango'!Q84+'Taco Bell'!Q84+'Chick-fil-A'!Q84+Dunkin!Q84+Chipotle!Q84+Sergios!Q84+'Moes PG5'!Q84+'Papa Johns'!Q84+Salad!Q84+'Half Moon &amp; Tropical Smoothie'!Q84+'Athletic Concessions - Kitchen'!Q84+'Starbucks BBC'!Q84+'Moes BBC'!Q84+'Grille Works BBC'!Q84+'Subway BBC'!Q84+'Market Pavillion'!Q84+'Chic Fil A BBC'!Q84+Panera!Q84+'Heritage Market'!Q84</f>
        <v>0</v>
      </c>
      <c r="R84" s="80">
        <f t="shared" ref="R84:R105" si="37">IFERROR(Q84/Q$28,0)</f>
        <v>0</v>
      </c>
      <c r="S84" s="134">
        <f>'POD Breezeway'!S84+'Express GL'!S84+'Starbucks GL-SBX Truck'!S84+'Miro''s'!S84+'Faculty Club'!S84+'Almazar  &amp; Brand X'!S84+'Burger King'!S84+Bustelo!S84+Chilis!S84+Einstein!S84+Jamba!S84+'Pollo Tropical'!S84+'Subway GC'!S84+'Sushi Maki'!S84+Panda!S84+'Starbucks Mango'!S84+'Taco Bell'!S84+'Chick-fil-A'!S84+Dunkin!S84+Chipotle!S84+Sergios!S84+'Moes PG5'!S84+'Papa Johns'!S84+Salad!S84+'Half Moon &amp; Tropical Smoothie'!S84+'Athletic Concessions - Kitchen'!S84+'Starbucks BBC'!S84+'Moes BBC'!S84+'Grille Works BBC'!S84+'Subway BBC'!S84+'Market Pavillion'!S84+'Chic Fil A BBC'!S84+Panera!S84+'Heritage Market'!S84</f>
        <v>0</v>
      </c>
      <c r="T84" s="80">
        <f t="shared" ref="T84:T105" si="38">IFERROR(S84/S$28,0)</f>
        <v>0</v>
      </c>
      <c r="U84" s="134">
        <f>'POD Breezeway'!U84+'Express GL'!U84+'Starbucks GL-SBX Truck'!U84+'Miro''s'!U84+'Faculty Club'!U84+'Almazar  &amp; Brand X'!U84+'Burger King'!U84+Bustelo!U84+Chilis!U84+Einstein!U84+Jamba!U84+'Pollo Tropical'!U84+'Subway GC'!U84+'Sushi Maki'!U84+Panda!U84+'Starbucks Mango'!U84+'Taco Bell'!U84+'Chick-fil-A'!U84+Dunkin!U84+Chipotle!U84+Sergios!U84+'Moes PG5'!U84+'Papa Johns'!U84+Salad!U84+'Half Moon &amp; Tropical Smoothie'!U84+'Athletic Concessions - Kitchen'!U84+'Starbucks BBC'!U84+'Moes BBC'!U84+'Grille Works BBC'!U84+'Subway BBC'!U84+'Market Pavillion'!U84+'Chic Fil A BBC'!U84+Panera!U84+'Heritage Market'!U84</f>
        <v>0</v>
      </c>
      <c r="V84" s="80">
        <f t="shared" si="29"/>
        <v>0</v>
      </c>
    </row>
    <row r="85" spans="1:22" ht="12.75" customHeight="1">
      <c r="A85" s="2" t="s">
        <v>416</v>
      </c>
      <c r="B85" s="35"/>
      <c r="C85" s="134">
        <f>'POD Breezeway'!C85+'Express GL'!C85+'Starbucks GL-SBX Truck'!C85+'Miro''s'!C85+'Faculty Club'!C85+'Almazar  &amp; Brand X'!C85+'Burger King'!C85+Bustelo!C85+Chilis!C85+Einstein!C85+Jamba!C85+'Pollo Tropical'!C85+'Subway GC'!C85+'Sushi Maki'!C85+Panda!C85+'Starbucks Mango'!C85+'Taco Bell'!C85+'Chick-fil-A'!C85+Dunkin!C85+Chipotle!C85+Sergios!C85+'Moes PG5'!C85+'Papa Johns'!C85+Salad!C85+'Half Moon &amp; Tropical Smoothie'!C85+'Athletic Concessions - Kitchen'!C85+'Starbucks BBC'!C85+'Moes BBC'!C85+'Grille Works BBC'!C85+'Subway BBC'!C85+'Market Pavillion'!C85+'Chic Fil A BBC'!C85+Panera!C85+'Heritage Market'!C85</f>
        <v>0</v>
      </c>
      <c r="D85" s="80">
        <f t="shared" si="30"/>
        <v>0</v>
      </c>
      <c r="E85" s="134">
        <f>'POD Breezeway'!E85+'Express GL'!E85+'Starbucks GL-SBX Truck'!E85+'Miro''s'!E85+'Faculty Club'!E85+'Almazar  &amp; Brand X'!E85+'Burger King'!E85+Bustelo!E85+Chilis!E85+Einstein!E85+Jamba!E85+'Pollo Tropical'!E85+'Subway GC'!E85+'Sushi Maki'!E85+Panda!E85+'Starbucks Mango'!E85+'Taco Bell'!E85+'Chick-fil-A'!E85+Dunkin!E85+Chipotle!E85+Sergios!E85+'Moes PG5'!E85+'Papa Johns'!E85+Salad!E85+'Half Moon &amp; Tropical Smoothie'!E85+'Athletic Concessions - Kitchen'!E85+'Starbucks BBC'!E85+'Moes BBC'!E85+'Grille Works BBC'!E85+'Subway BBC'!E85+'Market Pavillion'!E85+'Chic Fil A BBC'!E85+Panera!E85+'Heritage Market'!E85</f>
        <v>0</v>
      </c>
      <c r="F85" s="80">
        <f t="shared" si="31"/>
        <v>0</v>
      </c>
      <c r="G85" s="134">
        <f>'POD Breezeway'!G85+'Express GL'!G85+'Starbucks GL-SBX Truck'!G85+'Miro''s'!G85+'Faculty Club'!G85+'Almazar  &amp; Brand X'!G85+'Burger King'!G85+Bustelo!G85+Chilis!G85+Einstein!G85+Jamba!G85+'Pollo Tropical'!G85+'Subway GC'!G85+'Sushi Maki'!G85+Panda!G85+'Starbucks Mango'!G85+'Taco Bell'!G85+'Chick-fil-A'!G85+Dunkin!G85+Chipotle!G85+Sergios!G85+'Moes PG5'!G85+'Papa Johns'!G85+Salad!G85+'Half Moon &amp; Tropical Smoothie'!G85+'Athletic Concessions - Kitchen'!G85+'Starbucks BBC'!G85+'Moes BBC'!G85+'Grille Works BBC'!G85+'Subway BBC'!G85+'Market Pavillion'!G85+'Chic Fil A BBC'!G85+Panera!G85+'Heritage Market'!G85</f>
        <v>0</v>
      </c>
      <c r="H85" s="80">
        <f t="shared" si="32"/>
        <v>0</v>
      </c>
      <c r="I85" s="134">
        <f>'POD Breezeway'!I85+'Express GL'!I85+'Starbucks GL-SBX Truck'!I85+'Miro''s'!I85+'Faculty Club'!I85+'Almazar  &amp; Brand X'!I85+'Burger King'!I85+Bustelo!I85+Chilis!I85+Einstein!I85+Jamba!I85+'Pollo Tropical'!I85+'Subway GC'!I85+'Sushi Maki'!I85+Panda!I85+'Starbucks Mango'!I85+'Taco Bell'!I85+'Chick-fil-A'!I85+Dunkin!I85+Chipotle!I85+Sergios!I85+'Moes PG5'!I85+'Papa Johns'!I85+Salad!I85+'Half Moon &amp; Tropical Smoothie'!I85+'Athletic Concessions - Kitchen'!I85+'Starbucks BBC'!I85+'Moes BBC'!I85+'Grille Works BBC'!I85+'Subway BBC'!I85+'Market Pavillion'!I85+'Chic Fil A BBC'!I85+Panera!I85+'Heritage Market'!I85</f>
        <v>0</v>
      </c>
      <c r="J85" s="80">
        <f t="shared" si="33"/>
        <v>0</v>
      </c>
      <c r="K85" s="134">
        <f>'POD Breezeway'!K85+'Express GL'!K85+'Starbucks GL-SBX Truck'!K85+'Miro''s'!K85+'Faculty Club'!K85+'Almazar  &amp; Brand X'!K85+'Burger King'!K85+Bustelo!K85+Chilis!K85+Einstein!K85+Jamba!K85+'Pollo Tropical'!K85+'Subway GC'!K85+'Sushi Maki'!K85+Panda!K85+'Starbucks Mango'!K85+'Taco Bell'!K85+'Chick-fil-A'!K85+Dunkin!K85+Chipotle!K85+Sergios!K85+'Moes PG5'!K85+'Papa Johns'!K85+Salad!K85+'Half Moon &amp; Tropical Smoothie'!K85+'Athletic Concessions - Kitchen'!K85+'Starbucks BBC'!K85+'Moes BBC'!K85+'Grille Works BBC'!K85+'Subway BBC'!K85+'Market Pavillion'!K85+'Chic Fil A BBC'!K85+Panera!K85+'Heritage Market'!K85</f>
        <v>0</v>
      </c>
      <c r="L85" s="80">
        <f t="shared" si="34"/>
        <v>0</v>
      </c>
      <c r="M85" s="134">
        <f>'POD Breezeway'!M85+'Express GL'!M85+'Starbucks GL-SBX Truck'!M85+'Miro''s'!M85+'Faculty Club'!M85+'Almazar  &amp; Brand X'!M85+'Burger King'!M85+Bustelo!M85+Chilis!M85+Einstein!M85+Jamba!M85+'Pollo Tropical'!M85+'Subway GC'!M85+'Sushi Maki'!M85+Panda!M85+'Starbucks Mango'!M85+'Taco Bell'!M85+'Chick-fil-A'!M85+Dunkin!M85+Chipotle!M85+Sergios!M85+'Moes PG5'!M85+'Papa Johns'!M85+Salad!M85+'Half Moon &amp; Tropical Smoothie'!M85+'Athletic Concessions - Kitchen'!M85+'Starbucks BBC'!M85+'Moes BBC'!M85+'Grille Works BBC'!M85+'Subway BBC'!M85+'Market Pavillion'!M85+'Chic Fil A BBC'!M85+Panera!M85+'Heritage Market'!M85</f>
        <v>0</v>
      </c>
      <c r="N85" s="80">
        <f t="shared" si="35"/>
        <v>0</v>
      </c>
      <c r="O85" s="134">
        <f>'POD Breezeway'!O85+'Express GL'!O85+'Starbucks GL-SBX Truck'!O85+'Miro''s'!O85+'Faculty Club'!O85+'Almazar  &amp; Brand X'!O85+'Burger King'!O85+Bustelo!O85+Chilis!O85+Einstein!O85+Jamba!O85+'Pollo Tropical'!O85+'Subway GC'!O85+'Sushi Maki'!O85+Panda!O85+'Starbucks Mango'!O85+'Taco Bell'!O85+'Chick-fil-A'!O85+Dunkin!O85+Chipotle!O85+Sergios!O85+'Moes PG5'!O85+'Papa Johns'!O85+Salad!O85+'Half Moon &amp; Tropical Smoothie'!O85+'Athletic Concessions - Kitchen'!O85+'Starbucks BBC'!O85+'Moes BBC'!O85+'Grille Works BBC'!O85+'Subway BBC'!O85+'Market Pavillion'!O85+'Chic Fil A BBC'!O85+Panera!O85+'Heritage Market'!O85</f>
        <v>0</v>
      </c>
      <c r="P85" s="80">
        <f t="shared" si="36"/>
        <v>0</v>
      </c>
      <c r="Q85" s="134">
        <f>'POD Breezeway'!Q85+'Express GL'!Q85+'Starbucks GL-SBX Truck'!Q85+'Miro''s'!Q85+'Faculty Club'!Q85+'Almazar  &amp; Brand X'!Q85+'Burger King'!Q85+Bustelo!Q85+Chilis!Q85+Einstein!Q85+Jamba!Q85+'Pollo Tropical'!Q85+'Subway GC'!Q85+'Sushi Maki'!Q85+Panda!Q85+'Starbucks Mango'!Q85+'Taco Bell'!Q85+'Chick-fil-A'!Q85+Dunkin!Q85+Chipotle!Q85+Sergios!Q85+'Moes PG5'!Q85+'Papa Johns'!Q85+Salad!Q85+'Half Moon &amp; Tropical Smoothie'!Q85+'Athletic Concessions - Kitchen'!Q85+'Starbucks BBC'!Q85+'Moes BBC'!Q85+'Grille Works BBC'!Q85+'Subway BBC'!Q85+'Market Pavillion'!Q85+'Chic Fil A BBC'!Q85+Panera!Q85+'Heritage Market'!Q85</f>
        <v>0</v>
      </c>
      <c r="R85" s="80">
        <f t="shared" si="37"/>
        <v>0</v>
      </c>
      <c r="S85" s="134">
        <f>'POD Breezeway'!S85+'Express GL'!S85+'Starbucks GL-SBX Truck'!S85+'Miro''s'!S85+'Faculty Club'!S85+'Almazar  &amp; Brand X'!S85+'Burger King'!S85+Bustelo!S85+Chilis!S85+Einstein!S85+Jamba!S85+'Pollo Tropical'!S85+'Subway GC'!S85+'Sushi Maki'!S85+Panda!S85+'Starbucks Mango'!S85+'Taco Bell'!S85+'Chick-fil-A'!S85+Dunkin!S85+Chipotle!S85+Sergios!S85+'Moes PG5'!S85+'Papa Johns'!S85+Salad!S85+'Half Moon &amp; Tropical Smoothie'!S85+'Athletic Concessions - Kitchen'!S85+'Starbucks BBC'!S85+'Moes BBC'!S85+'Grille Works BBC'!S85+'Subway BBC'!S85+'Market Pavillion'!S85+'Chic Fil A BBC'!S85+Panera!S85+'Heritage Market'!S85</f>
        <v>0</v>
      </c>
      <c r="T85" s="80">
        <f t="shared" si="38"/>
        <v>0</v>
      </c>
      <c r="U85" s="134">
        <f>'POD Breezeway'!U85+'Express GL'!U85+'Starbucks GL-SBX Truck'!U85+'Miro''s'!U85+'Faculty Club'!U85+'Almazar  &amp; Brand X'!U85+'Burger King'!U85+Bustelo!U85+Chilis!U85+Einstein!U85+Jamba!U85+'Pollo Tropical'!U85+'Subway GC'!U85+'Sushi Maki'!U85+Panda!U85+'Starbucks Mango'!U85+'Taco Bell'!U85+'Chick-fil-A'!U85+Dunkin!U85+Chipotle!U85+Sergios!U85+'Moes PG5'!U85+'Papa Johns'!U85+Salad!U85+'Half Moon &amp; Tropical Smoothie'!U85+'Athletic Concessions - Kitchen'!U85+'Starbucks BBC'!U85+'Moes BBC'!U85+'Grille Works BBC'!U85+'Subway BBC'!U85+'Market Pavillion'!U85+'Chic Fil A BBC'!U85+Panera!U85+'Heritage Market'!U85</f>
        <v>0</v>
      </c>
      <c r="V85" s="80">
        <f t="shared" si="29"/>
        <v>0</v>
      </c>
    </row>
    <row r="86" spans="1:22" ht="12.75" customHeight="1">
      <c r="A86" s="221" t="s">
        <v>417</v>
      </c>
      <c r="B86" s="222"/>
      <c r="C86" s="134">
        <f>'POD Breezeway'!C86+'Express GL'!C86+'Starbucks GL-SBX Truck'!C86+'Miro''s'!C86+'Faculty Club'!C86+'Almazar  &amp; Brand X'!C86+'Burger King'!C86+Bustelo!C86+Chilis!C86+Einstein!C86+Jamba!C86+'Pollo Tropical'!C86+'Subway GC'!C86+'Sushi Maki'!C86+Panda!C86+'Starbucks Mango'!C86+'Taco Bell'!C86+'Chick-fil-A'!C86+Dunkin!C86+Chipotle!C86+Sergios!C86+'Moes PG5'!C86+'Papa Johns'!C86+Salad!C86+'Half Moon &amp; Tropical Smoothie'!C86+'Athletic Concessions - Kitchen'!C86+'Starbucks BBC'!C86+'Moes BBC'!C86+'Grille Works BBC'!C86+'Subway BBC'!C86+'Market Pavillion'!C86+'Chic Fil A BBC'!C86+Panera!C86+'Heritage Market'!C86</f>
        <v>62301.197520000002</v>
      </c>
      <c r="D86" s="80">
        <f t="shared" si="30"/>
        <v>3.9195963428385223E-3</v>
      </c>
      <c r="E86" s="134">
        <f>'POD Breezeway'!E86+'Express GL'!E86+'Starbucks GL-SBX Truck'!E86+'Miro''s'!E86+'Faculty Club'!E86+'Almazar  &amp; Brand X'!E86+'Burger King'!E86+Bustelo!E86+Chilis!E86+Einstein!E86+Jamba!E86+'Pollo Tropical'!E86+'Subway GC'!E86+'Sushi Maki'!E86+Panda!E86+'Starbucks Mango'!E86+'Taco Bell'!E86+'Chick-fil-A'!E86+Dunkin!E86+Chipotle!E86+Sergios!E86+'Moes PG5'!E86+'Papa Johns'!E86+Salad!E86+'Half Moon &amp; Tropical Smoothie'!E86+'Athletic Concessions - Kitchen'!E86+'Starbucks BBC'!E86+'Moes BBC'!E86+'Grille Works BBC'!E86+'Subway BBC'!E86+'Market Pavillion'!E86+'Chic Fil A BBC'!E86+Panera!E86+'Heritage Market'!E86</f>
        <v>67985</v>
      </c>
      <c r="F86" s="80">
        <f t="shared" si="31"/>
        <v>3.9237040551194282E-3</v>
      </c>
      <c r="G86" s="134">
        <f>'POD Breezeway'!G86+'Express GL'!G86+'Starbucks GL-SBX Truck'!G86+'Miro''s'!G86+'Faculty Club'!G86+'Almazar  &amp; Brand X'!G86+'Burger King'!G86+Bustelo!G86+Chilis!G86+Einstein!G86+Jamba!G86+'Pollo Tropical'!G86+'Subway GC'!G86+'Sushi Maki'!G86+Panda!G86+'Starbucks Mango'!G86+'Taco Bell'!G86+'Chick-fil-A'!G86+Dunkin!G86+Chipotle!G86+Sergios!G86+'Moes PG5'!G86+'Papa Johns'!G86+Salad!G86+'Half Moon &amp; Tropical Smoothie'!G86+'Athletic Concessions - Kitchen'!G86+'Starbucks BBC'!G86+'Moes BBC'!G86+'Grille Works BBC'!G86+'Subway BBC'!G86+'Market Pavillion'!G86+'Chic Fil A BBC'!G86+Panera!G86+'Heritage Market'!G86</f>
        <v>75134.320000000007</v>
      </c>
      <c r="H86" s="80">
        <f t="shared" si="32"/>
        <v>3.929479536600995E-3</v>
      </c>
      <c r="I86" s="134">
        <f>'POD Breezeway'!I86+'Express GL'!I86+'Starbucks GL-SBX Truck'!I86+'Miro''s'!I86+'Faculty Club'!I86+'Almazar  &amp; Brand X'!I86+'Burger King'!I86+Bustelo!I86+Chilis!I86+Einstein!I86+Jamba!I86+'Pollo Tropical'!I86+'Subway GC'!I86+'Sushi Maki'!I86+Panda!I86+'Starbucks Mango'!I86+'Taco Bell'!I86+'Chick-fil-A'!I86+Dunkin!I86+Chipotle!I86+Sergios!I86+'Moes PG5'!I86+'Papa Johns'!I86+Salad!I86+'Half Moon &amp; Tropical Smoothie'!I86+'Athletic Concessions - Kitchen'!I86+'Starbucks BBC'!I86+'Moes BBC'!I86+'Grille Works BBC'!I86+'Subway BBC'!I86+'Market Pavillion'!I86+'Chic Fil A BBC'!I86+Panera!I86+'Heritage Market'!I86</f>
        <v>76673.344799999992</v>
      </c>
      <c r="J86" s="80">
        <f t="shared" si="33"/>
        <v>3.929512369952654E-3</v>
      </c>
      <c r="K86" s="134">
        <f>'POD Breezeway'!K86+'Express GL'!K86+'Starbucks GL-SBX Truck'!K86+'Miro''s'!K86+'Faculty Club'!K86+'Almazar  &amp; Brand X'!K86+'Burger King'!K86+Bustelo!K86+Chilis!K86+Einstein!K86+Jamba!K86+'Pollo Tropical'!K86+'Subway GC'!K86+'Sushi Maki'!K86+Panda!K86+'Starbucks Mango'!K86+'Taco Bell'!K86+'Chick-fil-A'!K86+Dunkin!K86+Chipotle!K86+Sergios!K86+'Moes PG5'!K86+'Papa Johns'!K86+Salad!K86+'Half Moon &amp; Tropical Smoothie'!K86+'Athletic Concessions - Kitchen'!K86+'Starbucks BBC'!K86+'Moes BBC'!K86+'Grille Works BBC'!K86+'Subway BBC'!K86+'Market Pavillion'!K86+'Chic Fil A BBC'!K86+Panera!K86+'Heritage Market'!K86</f>
        <v>78056.203944000023</v>
      </c>
      <c r="L86" s="80">
        <f t="shared" si="34"/>
        <v>3.9293787667985611E-3</v>
      </c>
      <c r="M86" s="134">
        <f>'POD Breezeway'!M86+'Express GL'!M86+'Starbucks GL-SBX Truck'!M86+'Miro''s'!M86+'Faculty Club'!M86+'Almazar  &amp; Brand X'!M86+'Burger King'!M86+Bustelo!M86+Chilis!M86+Einstein!M86+Jamba!M86+'Pollo Tropical'!M86+'Subway GC'!M86+'Sushi Maki'!M86+Panda!M86+'Starbucks Mango'!M86+'Taco Bell'!M86+'Chick-fil-A'!M86+Dunkin!M86+Chipotle!M86+Sergios!M86+'Moes PG5'!M86+'Papa Johns'!M86+Salad!M86+'Half Moon &amp; Tropical Smoothie'!M86+'Athletic Concessions - Kitchen'!M86+'Starbucks BBC'!M86+'Moes BBC'!M86+'Grille Works BBC'!M86+'Subway BBC'!M86+'Market Pavillion'!M86+'Chic Fil A BBC'!M86+Panera!M86+'Heritage Market'!M86</f>
        <v>79465.214193360007</v>
      </c>
      <c r="N86" s="80">
        <f t="shared" si="35"/>
        <v>3.9292459734983761E-3</v>
      </c>
      <c r="O86" s="134">
        <f>'POD Breezeway'!O86+'Express GL'!O86+'Starbucks GL-SBX Truck'!O86+'Miro''s'!O86+'Faculty Club'!O86+'Almazar  &amp; Brand X'!O86+'Burger King'!O86+Bustelo!O86+Chilis!O86+Einstein!O86+Jamba!O86+'Pollo Tropical'!O86+'Subway GC'!O86+'Sushi Maki'!O86+Panda!O86+'Starbucks Mango'!O86+'Taco Bell'!O86+'Chick-fil-A'!O86+Dunkin!O86+Chipotle!O86+Sergios!O86+'Moes PG5'!O86+'Papa Johns'!O86+Salad!O86+'Half Moon &amp; Tropical Smoothie'!O86+'Athletic Concessions - Kitchen'!O86+'Starbucks BBC'!O86+'Moes BBC'!O86+'Grille Works BBC'!O86+'Subway BBC'!O86+'Market Pavillion'!O86+'Chic Fil A BBC'!O86+Panera!O86+'Heritage Market'!O86</f>
        <v>80900.883509411986</v>
      </c>
      <c r="P86" s="80">
        <f t="shared" si="36"/>
        <v>3.9291139890971971E-3</v>
      </c>
      <c r="Q86" s="134">
        <f>'POD Breezeway'!Q86+'Express GL'!Q86+'Starbucks GL-SBX Truck'!Q86+'Miro''s'!Q86+'Faculty Club'!Q86+'Almazar  &amp; Brand X'!Q86+'Burger King'!Q86+Bustelo!Q86+Chilis!Q86+Einstein!Q86+Jamba!Q86+'Pollo Tropical'!Q86+'Subway GC'!Q86+'Sushi Maki'!Q86+Panda!Q86+'Starbucks Mango'!Q86+'Taco Bell'!Q86+'Chick-fil-A'!Q86+Dunkin!Q86+Chipotle!Q86+Sergios!Q86+'Moes PG5'!Q86+'Papa Johns'!Q86+Salad!Q86+'Half Moon &amp; Tropical Smoothie'!Q86+'Athletic Concessions - Kitchen'!Q86+'Starbucks BBC'!Q86+'Moes BBC'!Q86+'Grille Works BBC'!Q86+'Subway BBC'!Q86+'Market Pavillion'!Q86+'Chic Fil A BBC'!Q86+Panera!Q86+'Heritage Market'!Q86</f>
        <v>82363.729862106906</v>
      </c>
      <c r="R86" s="80">
        <f t="shared" si="37"/>
        <v>3.9289828125736873E-3</v>
      </c>
      <c r="S86" s="134">
        <f>'POD Breezeway'!S86+'Express GL'!S86+'Starbucks GL-SBX Truck'!S86+'Miro''s'!S86+'Faculty Club'!S86+'Almazar  &amp; Brand X'!S86+'Burger King'!S86+Bustelo!S86+Chilis!S86+Einstein!S86+Jamba!S86+'Pollo Tropical'!S86+'Subway GC'!S86+'Sushi Maki'!S86+Panda!S86+'Starbucks Mango'!S86+'Taco Bell'!S86+'Chick-fil-A'!S86+Dunkin!S86+Chipotle!S86+Sergios!S86+'Moes PG5'!S86+'Papa Johns'!S86+Salad!S86+'Half Moon &amp; Tropical Smoothie'!S86+'Athletic Concessions - Kitchen'!S86+'Starbucks BBC'!S86+'Moes BBC'!S86+'Grille Works BBC'!S86+'Subway BBC'!S86+'Market Pavillion'!S86+'Chic Fil A BBC'!S86+Panera!S86+'Heritage Market'!S86</f>
        <v>83854.281428680755</v>
      </c>
      <c r="T86" s="80">
        <f t="shared" si="38"/>
        <v>3.9288524428410278E-3</v>
      </c>
      <c r="U86" s="134">
        <f>'POD Breezeway'!U86+'Express GL'!U86+'Starbucks GL-SBX Truck'!U86+'Miro''s'!U86+'Faculty Club'!U86+'Almazar  &amp; Brand X'!U86+'Burger King'!U86+Bustelo!U86+Chilis!U86+Einstein!U86+Jamba!U86+'Pollo Tropical'!U86+'Subway GC'!U86+'Sushi Maki'!U86+Panda!U86+'Starbucks Mango'!U86+'Taco Bell'!U86+'Chick-fil-A'!U86+Dunkin!U86+Chipotle!U86+Sergios!U86+'Moes PG5'!U86+'Papa Johns'!U86+Salad!U86+'Half Moon &amp; Tropical Smoothie'!U86+'Athletic Concessions - Kitchen'!U86+'Starbucks BBC'!U86+'Moes BBC'!U86+'Grille Works BBC'!U86+'Subway BBC'!U86+'Market Pavillion'!U86+'Chic Fil A BBC'!U86+Panera!U86+'Heritage Market'!U86</f>
        <v>88427.76677707216</v>
      </c>
      <c r="V86" s="80">
        <f t="shared" si="29"/>
        <v>3.9311427232231891E-3</v>
      </c>
    </row>
    <row r="87" spans="1:22" ht="12.75" customHeight="1">
      <c r="A87" s="2" t="s">
        <v>418</v>
      </c>
      <c r="B87" s="35"/>
      <c r="C87" s="134">
        <f>'POD Breezeway'!C87+'Express GL'!C87+'Starbucks GL-SBX Truck'!C87+'Miro''s'!C87+'Faculty Club'!C87+'Almazar  &amp; Brand X'!C87+'Burger King'!C87+Bustelo!C87+Chilis!C87+Einstein!C87+Jamba!C87+'Pollo Tropical'!C87+'Subway GC'!C87+'Sushi Maki'!C87+Panda!C87+'Starbucks Mango'!C87+'Taco Bell'!C87+'Chick-fil-A'!C87+Dunkin!C87+Chipotle!C87+Sergios!C87+'Moes PG5'!C87+'Papa Johns'!C87+Salad!C87+'Half Moon &amp; Tropical Smoothie'!C87+'Athletic Concessions - Kitchen'!C87+'Starbucks BBC'!C87+'Moes BBC'!C87+'Grille Works BBC'!C87+'Subway BBC'!C87+'Market Pavillion'!C87+'Chic Fil A BBC'!C87+Panera!C87+'Heritage Market'!C87</f>
        <v>0</v>
      </c>
      <c r="D87" s="80">
        <f t="shared" si="30"/>
        <v>0</v>
      </c>
      <c r="E87" s="134">
        <f>'POD Breezeway'!E87+'Express GL'!E87+'Starbucks GL-SBX Truck'!E87+'Miro''s'!E87+'Faculty Club'!E87+'Almazar  &amp; Brand X'!E87+'Burger King'!E87+Bustelo!E87+Chilis!E87+Einstein!E87+Jamba!E87+'Pollo Tropical'!E87+'Subway GC'!E87+'Sushi Maki'!E87+Panda!E87+'Starbucks Mango'!E87+'Taco Bell'!E87+'Chick-fil-A'!E87+Dunkin!E87+Chipotle!E87+Sergios!E87+'Moes PG5'!E87+'Papa Johns'!E87+Salad!E87+'Half Moon &amp; Tropical Smoothie'!E87+'Athletic Concessions - Kitchen'!E87+'Starbucks BBC'!E87+'Moes BBC'!E87+'Grille Works BBC'!E87+'Subway BBC'!E87+'Market Pavillion'!E87+'Chic Fil A BBC'!E87+Panera!E87+'Heritage Market'!E87</f>
        <v>0</v>
      </c>
      <c r="F87" s="80">
        <f t="shared" si="31"/>
        <v>0</v>
      </c>
      <c r="G87" s="134">
        <f>'POD Breezeway'!G87+'Express GL'!G87+'Starbucks GL-SBX Truck'!G87+'Miro''s'!G87+'Faculty Club'!G87+'Almazar  &amp; Brand X'!G87+'Burger King'!G87+Bustelo!G87+Chilis!G87+Einstein!G87+Jamba!G87+'Pollo Tropical'!G87+'Subway GC'!G87+'Sushi Maki'!G87+Panda!G87+'Starbucks Mango'!G87+'Taco Bell'!G87+'Chick-fil-A'!G87+Dunkin!G87+Chipotle!G87+Sergios!G87+'Moes PG5'!G87+'Papa Johns'!G87+Salad!G87+'Half Moon &amp; Tropical Smoothie'!G87+'Athletic Concessions - Kitchen'!G87+'Starbucks BBC'!G87+'Moes BBC'!G87+'Grille Works BBC'!G87+'Subway BBC'!G87+'Market Pavillion'!G87+'Chic Fil A BBC'!G87+Panera!G87+'Heritage Market'!G87</f>
        <v>0</v>
      </c>
      <c r="H87" s="80">
        <f t="shared" si="32"/>
        <v>0</v>
      </c>
      <c r="I87" s="134">
        <f>'POD Breezeway'!I87+'Express GL'!I87+'Starbucks GL-SBX Truck'!I87+'Miro''s'!I87+'Faculty Club'!I87+'Almazar  &amp; Brand X'!I87+'Burger King'!I87+Bustelo!I87+Chilis!I87+Einstein!I87+Jamba!I87+'Pollo Tropical'!I87+'Subway GC'!I87+'Sushi Maki'!I87+Panda!I87+'Starbucks Mango'!I87+'Taco Bell'!I87+'Chick-fil-A'!I87+Dunkin!I87+Chipotle!I87+Sergios!I87+'Moes PG5'!I87+'Papa Johns'!I87+Salad!I87+'Half Moon &amp; Tropical Smoothie'!I87+'Athletic Concessions - Kitchen'!I87+'Starbucks BBC'!I87+'Moes BBC'!I87+'Grille Works BBC'!I87+'Subway BBC'!I87+'Market Pavillion'!I87+'Chic Fil A BBC'!I87+Panera!I87+'Heritage Market'!I87</f>
        <v>0</v>
      </c>
      <c r="J87" s="80">
        <f t="shared" si="33"/>
        <v>0</v>
      </c>
      <c r="K87" s="134">
        <f>'POD Breezeway'!K87+'Express GL'!K87+'Starbucks GL-SBX Truck'!K87+'Miro''s'!K87+'Faculty Club'!K87+'Almazar  &amp; Brand X'!K87+'Burger King'!K87+Bustelo!K87+Chilis!K87+Einstein!K87+Jamba!K87+'Pollo Tropical'!K87+'Subway GC'!K87+'Sushi Maki'!K87+Panda!K87+'Starbucks Mango'!K87+'Taco Bell'!K87+'Chick-fil-A'!K87+Dunkin!K87+Chipotle!K87+Sergios!K87+'Moes PG5'!K87+'Papa Johns'!K87+Salad!K87+'Half Moon &amp; Tropical Smoothie'!K87+'Athletic Concessions - Kitchen'!K87+'Starbucks BBC'!K87+'Moes BBC'!K87+'Grille Works BBC'!K87+'Subway BBC'!K87+'Market Pavillion'!K87+'Chic Fil A BBC'!K87+Panera!K87+'Heritage Market'!K87</f>
        <v>0</v>
      </c>
      <c r="L87" s="80">
        <f t="shared" si="34"/>
        <v>0</v>
      </c>
      <c r="M87" s="134">
        <f>'POD Breezeway'!M87+'Express GL'!M87+'Starbucks GL-SBX Truck'!M87+'Miro''s'!M87+'Faculty Club'!M87+'Almazar  &amp; Brand X'!M87+'Burger King'!M87+Bustelo!M87+Chilis!M87+Einstein!M87+Jamba!M87+'Pollo Tropical'!M87+'Subway GC'!M87+'Sushi Maki'!M87+Panda!M87+'Starbucks Mango'!M87+'Taco Bell'!M87+'Chick-fil-A'!M87+Dunkin!M87+Chipotle!M87+Sergios!M87+'Moes PG5'!M87+'Papa Johns'!M87+Salad!M87+'Half Moon &amp; Tropical Smoothie'!M87+'Athletic Concessions - Kitchen'!M87+'Starbucks BBC'!M87+'Moes BBC'!M87+'Grille Works BBC'!M87+'Subway BBC'!M87+'Market Pavillion'!M87+'Chic Fil A BBC'!M87+Panera!M87+'Heritage Market'!M87</f>
        <v>0</v>
      </c>
      <c r="N87" s="80">
        <f t="shared" si="35"/>
        <v>0</v>
      </c>
      <c r="O87" s="134">
        <f>'POD Breezeway'!O87+'Express GL'!O87+'Starbucks GL-SBX Truck'!O87+'Miro''s'!O87+'Faculty Club'!O87+'Almazar  &amp; Brand X'!O87+'Burger King'!O87+Bustelo!O87+Chilis!O87+Einstein!O87+Jamba!O87+'Pollo Tropical'!O87+'Subway GC'!O87+'Sushi Maki'!O87+Panda!O87+'Starbucks Mango'!O87+'Taco Bell'!O87+'Chick-fil-A'!O87+Dunkin!O87+Chipotle!O87+Sergios!O87+'Moes PG5'!O87+'Papa Johns'!O87+Salad!O87+'Half Moon &amp; Tropical Smoothie'!O87+'Athletic Concessions - Kitchen'!O87+'Starbucks BBC'!O87+'Moes BBC'!O87+'Grille Works BBC'!O87+'Subway BBC'!O87+'Market Pavillion'!O87+'Chic Fil A BBC'!O87+Panera!O87+'Heritage Market'!O87</f>
        <v>0</v>
      </c>
      <c r="P87" s="80">
        <f t="shared" si="36"/>
        <v>0</v>
      </c>
      <c r="Q87" s="134">
        <f>'POD Breezeway'!Q87+'Express GL'!Q87+'Starbucks GL-SBX Truck'!Q87+'Miro''s'!Q87+'Faculty Club'!Q87+'Almazar  &amp; Brand X'!Q87+'Burger King'!Q87+Bustelo!Q87+Chilis!Q87+Einstein!Q87+Jamba!Q87+'Pollo Tropical'!Q87+'Subway GC'!Q87+'Sushi Maki'!Q87+Panda!Q87+'Starbucks Mango'!Q87+'Taco Bell'!Q87+'Chick-fil-A'!Q87+Dunkin!Q87+Chipotle!Q87+Sergios!Q87+'Moes PG5'!Q87+'Papa Johns'!Q87+Salad!Q87+'Half Moon &amp; Tropical Smoothie'!Q87+'Athletic Concessions - Kitchen'!Q87+'Starbucks BBC'!Q87+'Moes BBC'!Q87+'Grille Works BBC'!Q87+'Subway BBC'!Q87+'Market Pavillion'!Q87+'Chic Fil A BBC'!Q87+Panera!Q87+'Heritage Market'!Q87</f>
        <v>0</v>
      </c>
      <c r="R87" s="80">
        <f t="shared" si="37"/>
        <v>0</v>
      </c>
      <c r="S87" s="134">
        <f>'POD Breezeway'!S87+'Express GL'!S87+'Starbucks GL-SBX Truck'!S87+'Miro''s'!S87+'Faculty Club'!S87+'Almazar  &amp; Brand X'!S87+'Burger King'!S87+Bustelo!S87+Chilis!S87+Einstein!S87+Jamba!S87+'Pollo Tropical'!S87+'Subway GC'!S87+'Sushi Maki'!S87+Panda!S87+'Starbucks Mango'!S87+'Taco Bell'!S87+'Chick-fil-A'!S87+Dunkin!S87+Chipotle!S87+Sergios!S87+'Moes PG5'!S87+'Papa Johns'!S87+Salad!S87+'Half Moon &amp; Tropical Smoothie'!S87+'Athletic Concessions - Kitchen'!S87+'Starbucks BBC'!S87+'Moes BBC'!S87+'Grille Works BBC'!S87+'Subway BBC'!S87+'Market Pavillion'!S87+'Chic Fil A BBC'!S87+Panera!S87+'Heritage Market'!S87</f>
        <v>0</v>
      </c>
      <c r="T87" s="80">
        <f t="shared" si="38"/>
        <v>0</v>
      </c>
      <c r="U87" s="134">
        <f>'POD Breezeway'!U87+'Express GL'!U87+'Starbucks GL-SBX Truck'!U87+'Miro''s'!U87+'Faculty Club'!U87+'Almazar  &amp; Brand X'!U87+'Burger King'!U87+Bustelo!U87+Chilis!U87+Einstein!U87+Jamba!U87+'Pollo Tropical'!U87+'Subway GC'!U87+'Sushi Maki'!U87+Panda!U87+'Starbucks Mango'!U87+'Taco Bell'!U87+'Chick-fil-A'!U87+Dunkin!U87+Chipotle!U87+Sergios!U87+'Moes PG5'!U87+'Papa Johns'!U87+Salad!U87+'Half Moon &amp; Tropical Smoothie'!U87+'Athletic Concessions - Kitchen'!U87+'Starbucks BBC'!U87+'Moes BBC'!U87+'Grille Works BBC'!U87+'Subway BBC'!U87+'Market Pavillion'!U87+'Chic Fil A BBC'!U87+Panera!U87+'Heritage Market'!U87</f>
        <v>0</v>
      </c>
      <c r="V87" s="80">
        <f t="shared" si="29"/>
        <v>0</v>
      </c>
    </row>
    <row r="88" spans="1:22" ht="12.75" customHeight="1">
      <c r="A88" s="221" t="s">
        <v>419</v>
      </c>
      <c r="B88" s="222"/>
      <c r="C88" s="134">
        <f>'POD Breezeway'!C88+'Express GL'!C88+'Starbucks GL-SBX Truck'!C88+'Miro''s'!C88+'Faculty Club'!C88+'Almazar  &amp; Brand X'!C88+'Burger King'!C88+Bustelo!C88+Chilis!C88+Einstein!C88+Jamba!C88+'Pollo Tropical'!C88+'Subway GC'!C88+'Sushi Maki'!C88+Panda!C88+'Starbucks Mango'!C88+'Taco Bell'!C88+'Chick-fil-A'!C88+Dunkin!C88+Chipotle!C88+Sergios!C88+'Moes PG5'!C88+'Papa Johns'!C88+Salad!C88+'Half Moon &amp; Tropical Smoothie'!C88+'Athletic Concessions - Kitchen'!C88+'Starbucks BBC'!C88+'Moes BBC'!C88+'Grille Works BBC'!C88+'Subway BBC'!C88+'Market Pavillion'!C88+'Chic Fil A BBC'!C88+Panera!C88+'Heritage Market'!C88</f>
        <v>79434.02683800002</v>
      </c>
      <c r="D88" s="80">
        <f t="shared" si="30"/>
        <v>4.9974853371191168E-3</v>
      </c>
      <c r="E88" s="134">
        <f>'POD Breezeway'!E88+'Express GL'!E88+'Starbucks GL-SBX Truck'!E88+'Miro''s'!E88+'Faculty Club'!E88+'Almazar  &amp; Brand X'!E88+'Burger King'!E88+Bustelo!E88+Chilis!E88+Einstein!E88+Jamba!E88+'Pollo Tropical'!E88+'Subway GC'!E88+'Sushi Maki'!E88+Panda!E88+'Starbucks Mango'!E88+'Taco Bell'!E88+'Chick-fil-A'!E88+Dunkin!E88+Chipotle!E88+Sergios!E88+'Moes PG5'!E88+'Papa Johns'!E88+Salad!E88+'Half Moon &amp; Tropical Smoothie'!E88+'Athletic Concessions - Kitchen'!E88+'Starbucks BBC'!E88+'Moes BBC'!E88+'Grille Works BBC'!E88+'Subway BBC'!E88+'Market Pavillion'!E88+'Chic Fil A BBC'!E88+Panera!E88+'Heritage Market'!E88</f>
        <v>86680.875</v>
      </c>
      <c r="F88" s="80">
        <f t="shared" si="31"/>
        <v>5.0027226702772706E-3</v>
      </c>
      <c r="G88" s="134">
        <f>'POD Breezeway'!G88+'Express GL'!G88+'Starbucks GL-SBX Truck'!G88+'Miro''s'!G88+'Faculty Club'!G88+'Almazar  &amp; Brand X'!G88+'Burger King'!G88+Bustelo!G88+Chilis!G88+Einstein!G88+Jamba!G88+'Pollo Tropical'!G88+'Subway GC'!G88+'Sushi Maki'!G88+Panda!G88+'Starbucks Mango'!G88+'Taco Bell'!G88+'Chick-fil-A'!G88+Dunkin!G88+Chipotle!G88+Sergios!G88+'Moes PG5'!G88+'Papa Johns'!G88+Salad!G88+'Half Moon &amp; Tropical Smoothie'!G88+'Athletic Concessions - Kitchen'!G88+'Starbucks BBC'!G88+'Moes BBC'!G88+'Grille Works BBC'!G88+'Subway BBC'!G88+'Market Pavillion'!G88+'Chic Fil A BBC'!G88+Panera!G88+'Heritage Market'!G88</f>
        <v>95796.258000000002</v>
      </c>
      <c r="H88" s="80">
        <f t="shared" si="32"/>
        <v>5.0100864091662681E-3</v>
      </c>
      <c r="I88" s="134">
        <f>'POD Breezeway'!I88+'Express GL'!I88+'Starbucks GL-SBX Truck'!I88+'Miro''s'!I88+'Faculty Club'!I88+'Almazar  &amp; Brand X'!I88+'Burger King'!I88+Bustelo!I88+Chilis!I88+Einstein!I88+Jamba!I88+'Pollo Tropical'!I88+'Subway GC'!I88+'Sushi Maki'!I88+Panda!I88+'Starbucks Mango'!I88+'Taco Bell'!I88+'Chick-fil-A'!I88+Dunkin!I88+Chipotle!I88+Sergios!I88+'Moes PG5'!I88+'Papa Johns'!I88+Salad!I88+'Half Moon &amp; Tropical Smoothie'!I88+'Athletic Concessions - Kitchen'!I88+'Starbucks BBC'!I88+'Moes BBC'!I88+'Grille Works BBC'!I88+'Subway BBC'!I88+'Market Pavillion'!I88+'Chic Fil A BBC'!I88+Panera!I88+'Heritage Market'!I88</f>
        <v>97758.514620000031</v>
      </c>
      <c r="J88" s="80">
        <f t="shared" si="33"/>
        <v>5.0101282716896352E-3</v>
      </c>
      <c r="K88" s="134">
        <f>'POD Breezeway'!K88+'Express GL'!K88+'Starbucks GL-SBX Truck'!K88+'Miro''s'!K88+'Faculty Club'!K88+'Almazar  &amp; Brand X'!K88+'Burger King'!K88+Bustelo!K88+Chilis!K88+Einstein!K88+Jamba!K88+'Pollo Tropical'!K88+'Subway GC'!K88+'Sushi Maki'!K88+Panda!K88+'Starbucks Mango'!K88+'Taco Bell'!K88+'Chick-fil-A'!K88+Dunkin!K88+Chipotle!K88+Sergios!K88+'Moes PG5'!K88+'Papa Johns'!K88+Salad!K88+'Half Moon &amp; Tropical Smoothie'!K88+'Athletic Concessions - Kitchen'!K88+'Starbucks BBC'!K88+'Moes BBC'!K88+'Grille Works BBC'!K88+'Subway BBC'!K88+'Market Pavillion'!K88+'Chic Fil A BBC'!K88+Panera!K88+'Heritage Market'!K88</f>
        <v>99521.660028600018</v>
      </c>
      <c r="L88" s="80">
        <f t="shared" si="34"/>
        <v>5.0099579276681652E-3</v>
      </c>
      <c r="M88" s="134">
        <f>'POD Breezeway'!M88+'Express GL'!M88+'Starbucks GL-SBX Truck'!M88+'Miro''s'!M88+'Faculty Club'!M88+'Almazar  &amp; Brand X'!M88+'Burger King'!M88+Bustelo!M88+Chilis!M88+Einstein!M88+Jamba!M88+'Pollo Tropical'!M88+'Subway GC'!M88+'Sushi Maki'!M88+Panda!M88+'Starbucks Mango'!M88+'Taco Bell'!M88+'Chick-fil-A'!M88+Dunkin!M88+Chipotle!M88+Sergios!M88+'Moes PG5'!M88+'Papa Johns'!M88+Salad!M88+'Half Moon &amp; Tropical Smoothie'!M88+'Athletic Concessions - Kitchen'!M88+'Starbucks BBC'!M88+'Moes BBC'!M88+'Grille Works BBC'!M88+'Subway BBC'!M88+'Market Pavillion'!M88+'Chic Fil A BBC'!M88+Panera!M88+'Heritage Market'!M88</f>
        <v>101318.148096534</v>
      </c>
      <c r="N88" s="80">
        <f t="shared" si="35"/>
        <v>5.0097886162104293E-3</v>
      </c>
      <c r="O88" s="134">
        <f>'POD Breezeway'!O88+'Express GL'!O88+'Starbucks GL-SBX Truck'!O88+'Miro''s'!O88+'Faculty Club'!O88+'Almazar  &amp; Brand X'!O88+'Burger King'!O88+Bustelo!O88+Chilis!O88+Einstein!O88+Jamba!O88+'Pollo Tropical'!O88+'Subway GC'!O88+'Sushi Maki'!O88+Panda!O88+'Starbucks Mango'!O88+'Taco Bell'!O88+'Chick-fil-A'!O88+Dunkin!O88+Chipotle!O88+Sergios!O88+'Moes PG5'!O88+'Papa Johns'!O88+Salad!O88+'Half Moon &amp; Tropical Smoothie'!O88+'Athletic Concessions - Kitchen'!O88+'Starbucks BBC'!O88+'Moes BBC'!O88+'Grille Works BBC'!O88+'Subway BBC'!O88+'Market Pavillion'!O88+'Chic Fil A BBC'!O88+Panera!O88+'Heritage Market'!O88</f>
        <v>103148.62647450034</v>
      </c>
      <c r="P88" s="80">
        <f t="shared" si="36"/>
        <v>5.0096203360989293E-3</v>
      </c>
      <c r="Q88" s="134">
        <f>'POD Breezeway'!Q88+'Express GL'!Q88+'Starbucks GL-SBX Truck'!Q88+'Miro''s'!Q88+'Faculty Club'!Q88+'Almazar  &amp; Brand X'!Q88+'Burger King'!Q88+Bustelo!Q88+Chilis!Q88+Einstein!Q88+Jamba!Q88+'Pollo Tropical'!Q88+'Subway GC'!Q88+'Sushi Maki'!Q88+Panda!Q88+'Starbucks Mango'!Q88+'Taco Bell'!Q88+'Chick-fil-A'!Q88+Dunkin!Q88+Chipotle!Q88+Sergios!Q88+'Moes PG5'!Q88+'Papa Johns'!Q88+Salad!Q88+'Half Moon &amp; Tropical Smoothie'!Q88+'Athletic Concessions - Kitchen'!Q88+'Starbucks BBC'!Q88+'Moes BBC'!Q88+'Grille Works BBC'!Q88+'Subway BBC'!Q88+'Market Pavillion'!Q88+'Chic Fil A BBC'!Q88+Panera!Q88+'Heritage Market'!Q88</f>
        <v>105013.75557418629</v>
      </c>
      <c r="R88" s="80">
        <f t="shared" si="37"/>
        <v>5.0094530860314507E-3</v>
      </c>
      <c r="S88" s="134">
        <f>'POD Breezeway'!S88+'Express GL'!S88+'Starbucks GL-SBX Truck'!S88+'Miro''s'!S88+'Faculty Club'!S88+'Almazar  &amp; Brand X'!S88+'Burger King'!S88+Bustelo!S88+Chilis!S88+Einstein!S88+Jamba!S88+'Pollo Tropical'!S88+'Subway GC'!S88+'Sushi Maki'!S88+Panda!S88+'Starbucks Mango'!S88+'Taco Bell'!S88+'Chick-fil-A'!S88+Dunkin!S88+Chipotle!S88+Sergios!S88+'Moes PG5'!S88+'Papa Johns'!S88+Salad!S88+'Half Moon &amp; Tropical Smoothie'!S88+'Athletic Concessions - Kitchen'!S88+'Starbucks BBC'!S88+'Moes BBC'!S88+'Grille Works BBC'!S88+'Subway BBC'!S88+'Market Pavillion'!S88+'Chic Fil A BBC'!S88+Panera!S88+'Heritage Market'!S88</f>
        <v>106914.20882156795</v>
      </c>
      <c r="T88" s="80">
        <f t="shared" si="38"/>
        <v>5.0092868646223103E-3</v>
      </c>
      <c r="U88" s="134">
        <f>'POD Breezeway'!U88+'Express GL'!U88+'Starbucks GL-SBX Truck'!U88+'Miro''s'!U88+'Faculty Club'!U88+'Almazar  &amp; Brand X'!U88+'Burger King'!U88+Bustelo!U88+Chilis!U88+Einstein!U88+Jamba!U88+'Pollo Tropical'!U88+'Subway GC'!U88+'Sushi Maki'!U88+Panda!U88+'Starbucks Mango'!U88+'Taco Bell'!U88+'Chick-fil-A'!U88+Dunkin!U88+Chipotle!U88+Sergios!U88+'Moes PG5'!U88+'Papa Johns'!U88+Salad!U88+'Half Moon &amp; Tropical Smoothie'!U88+'Athletic Concessions - Kitchen'!U88+'Starbucks BBC'!U88+'Moes BBC'!U88+'Grille Works BBC'!U88+'Subway BBC'!U88+'Market Pavillion'!U88+'Chic Fil A BBC'!U88+Panera!U88+'Heritage Market'!U88</f>
        <v>112745.40264076699</v>
      </c>
      <c r="V88" s="80">
        <f t="shared" si="29"/>
        <v>5.0122069721095655E-3</v>
      </c>
    </row>
    <row r="89" spans="1:22" ht="12.75" customHeight="1">
      <c r="A89" s="2" t="s">
        <v>420</v>
      </c>
      <c r="B89" s="35"/>
      <c r="C89" s="134">
        <f>'POD Breezeway'!C89+'Express GL'!C89+'Starbucks GL-SBX Truck'!C89+'Miro''s'!C89+'Faculty Club'!C89+'Almazar  &amp; Brand X'!C89+'Burger King'!C89+Bustelo!C89+Chilis!C89+Einstein!C89+Jamba!C89+'Pollo Tropical'!C89+'Subway GC'!C89+'Sushi Maki'!C89+Panda!C89+'Starbucks Mango'!C89+'Taco Bell'!C89+'Chick-fil-A'!C89+Dunkin!C89+Chipotle!C89+Sergios!C89+'Moes PG5'!C89+'Papa Johns'!C89+Salad!C89+'Half Moon &amp; Tropical Smoothie'!C89+'Athletic Concessions - Kitchen'!C89+'Starbucks BBC'!C89+'Moes BBC'!C89+'Grille Works BBC'!C89+'Subway BBC'!C89+'Market Pavillion'!C89+'Chic Fil A BBC'!C89+Panera!C89+'Heritage Market'!C89</f>
        <v>0</v>
      </c>
      <c r="D89" s="80">
        <f t="shared" si="30"/>
        <v>0</v>
      </c>
      <c r="E89" s="134">
        <f>'POD Breezeway'!E89+'Express GL'!E89+'Starbucks GL-SBX Truck'!E89+'Miro''s'!E89+'Faculty Club'!E89+'Almazar  &amp; Brand X'!E89+'Burger King'!E89+Bustelo!E89+Chilis!E89+Einstein!E89+Jamba!E89+'Pollo Tropical'!E89+'Subway GC'!E89+'Sushi Maki'!E89+Panda!E89+'Starbucks Mango'!E89+'Taco Bell'!E89+'Chick-fil-A'!E89+Dunkin!E89+Chipotle!E89+Sergios!E89+'Moes PG5'!E89+'Papa Johns'!E89+Salad!E89+'Half Moon &amp; Tropical Smoothie'!E89+'Athletic Concessions - Kitchen'!E89+'Starbucks BBC'!E89+'Moes BBC'!E89+'Grille Works BBC'!E89+'Subway BBC'!E89+'Market Pavillion'!E89+'Chic Fil A BBC'!E89+Panera!E89+'Heritage Market'!E89</f>
        <v>0</v>
      </c>
      <c r="F89" s="80">
        <f t="shared" si="31"/>
        <v>0</v>
      </c>
      <c r="G89" s="134">
        <f>'POD Breezeway'!G89+'Express GL'!G89+'Starbucks GL-SBX Truck'!G89+'Miro''s'!G89+'Faculty Club'!G89+'Almazar  &amp; Brand X'!G89+'Burger King'!G89+Bustelo!G89+Chilis!G89+Einstein!G89+Jamba!G89+'Pollo Tropical'!G89+'Subway GC'!G89+'Sushi Maki'!G89+Panda!G89+'Starbucks Mango'!G89+'Taco Bell'!G89+'Chick-fil-A'!G89+Dunkin!G89+Chipotle!G89+Sergios!G89+'Moes PG5'!G89+'Papa Johns'!G89+Salad!G89+'Half Moon &amp; Tropical Smoothie'!G89+'Athletic Concessions - Kitchen'!G89+'Starbucks BBC'!G89+'Moes BBC'!G89+'Grille Works BBC'!G89+'Subway BBC'!G89+'Market Pavillion'!G89+'Chic Fil A BBC'!G89+Panera!G89+'Heritage Market'!G89</f>
        <v>0</v>
      </c>
      <c r="H89" s="80">
        <f t="shared" si="32"/>
        <v>0</v>
      </c>
      <c r="I89" s="134">
        <f>'POD Breezeway'!I89+'Express GL'!I89+'Starbucks GL-SBX Truck'!I89+'Miro''s'!I89+'Faculty Club'!I89+'Almazar  &amp; Brand X'!I89+'Burger King'!I89+Bustelo!I89+Chilis!I89+Einstein!I89+Jamba!I89+'Pollo Tropical'!I89+'Subway GC'!I89+'Sushi Maki'!I89+Panda!I89+'Starbucks Mango'!I89+'Taco Bell'!I89+'Chick-fil-A'!I89+Dunkin!I89+Chipotle!I89+Sergios!I89+'Moes PG5'!I89+'Papa Johns'!I89+Salad!I89+'Half Moon &amp; Tropical Smoothie'!I89+'Athletic Concessions - Kitchen'!I89+'Starbucks BBC'!I89+'Moes BBC'!I89+'Grille Works BBC'!I89+'Subway BBC'!I89+'Market Pavillion'!I89+'Chic Fil A BBC'!I89+Panera!I89+'Heritage Market'!I89</f>
        <v>0</v>
      </c>
      <c r="J89" s="80">
        <f t="shared" si="33"/>
        <v>0</v>
      </c>
      <c r="K89" s="134">
        <f>'POD Breezeway'!K89+'Express GL'!K89+'Starbucks GL-SBX Truck'!K89+'Miro''s'!K89+'Faculty Club'!K89+'Almazar  &amp; Brand X'!K89+'Burger King'!K89+Bustelo!K89+Chilis!K89+Einstein!K89+Jamba!K89+'Pollo Tropical'!K89+'Subway GC'!K89+'Sushi Maki'!K89+Panda!K89+'Starbucks Mango'!K89+'Taco Bell'!K89+'Chick-fil-A'!K89+Dunkin!K89+Chipotle!K89+Sergios!K89+'Moes PG5'!K89+'Papa Johns'!K89+Salad!K89+'Half Moon &amp; Tropical Smoothie'!K89+'Athletic Concessions - Kitchen'!K89+'Starbucks BBC'!K89+'Moes BBC'!K89+'Grille Works BBC'!K89+'Subway BBC'!K89+'Market Pavillion'!K89+'Chic Fil A BBC'!K89+Panera!K89+'Heritage Market'!K89</f>
        <v>0</v>
      </c>
      <c r="L89" s="80">
        <f t="shared" si="34"/>
        <v>0</v>
      </c>
      <c r="M89" s="134">
        <f>'POD Breezeway'!M89+'Express GL'!M89+'Starbucks GL-SBX Truck'!M89+'Miro''s'!M89+'Faculty Club'!M89+'Almazar  &amp; Brand X'!M89+'Burger King'!M89+Bustelo!M89+Chilis!M89+Einstein!M89+Jamba!M89+'Pollo Tropical'!M89+'Subway GC'!M89+'Sushi Maki'!M89+Panda!M89+'Starbucks Mango'!M89+'Taco Bell'!M89+'Chick-fil-A'!M89+Dunkin!M89+Chipotle!M89+Sergios!M89+'Moes PG5'!M89+'Papa Johns'!M89+Salad!M89+'Half Moon &amp; Tropical Smoothie'!M89+'Athletic Concessions - Kitchen'!M89+'Starbucks BBC'!M89+'Moes BBC'!M89+'Grille Works BBC'!M89+'Subway BBC'!M89+'Market Pavillion'!M89+'Chic Fil A BBC'!M89+Panera!M89+'Heritage Market'!M89</f>
        <v>0</v>
      </c>
      <c r="N89" s="80">
        <f t="shared" si="35"/>
        <v>0</v>
      </c>
      <c r="O89" s="134">
        <f>'POD Breezeway'!O89+'Express GL'!O89+'Starbucks GL-SBX Truck'!O89+'Miro''s'!O89+'Faculty Club'!O89+'Almazar  &amp; Brand X'!O89+'Burger King'!O89+Bustelo!O89+Chilis!O89+Einstein!O89+Jamba!O89+'Pollo Tropical'!O89+'Subway GC'!O89+'Sushi Maki'!O89+Panda!O89+'Starbucks Mango'!O89+'Taco Bell'!O89+'Chick-fil-A'!O89+Dunkin!O89+Chipotle!O89+Sergios!O89+'Moes PG5'!O89+'Papa Johns'!O89+Salad!O89+'Half Moon &amp; Tropical Smoothie'!O89+'Athletic Concessions - Kitchen'!O89+'Starbucks BBC'!O89+'Moes BBC'!O89+'Grille Works BBC'!O89+'Subway BBC'!O89+'Market Pavillion'!O89+'Chic Fil A BBC'!O89+Panera!O89+'Heritage Market'!O89</f>
        <v>0</v>
      </c>
      <c r="P89" s="80">
        <f t="shared" si="36"/>
        <v>0</v>
      </c>
      <c r="Q89" s="134">
        <f>'POD Breezeway'!Q89+'Express GL'!Q89+'Starbucks GL-SBX Truck'!Q89+'Miro''s'!Q89+'Faculty Club'!Q89+'Almazar  &amp; Brand X'!Q89+'Burger King'!Q89+Bustelo!Q89+Chilis!Q89+Einstein!Q89+Jamba!Q89+'Pollo Tropical'!Q89+'Subway GC'!Q89+'Sushi Maki'!Q89+Panda!Q89+'Starbucks Mango'!Q89+'Taco Bell'!Q89+'Chick-fil-A'!Q89+Dunkin!Q89+Chipotle!Q89+Sergios!Q89+'Moes PG5'!Q89+'Papa Johns'!Q89+Salad!Q89+'Half Moon &amp; Tropical Smoothie'!Q89+'Athletic Concessions - Kitchen'!Q89+'Starbucks BBC'!Q89+'Moes BBC'!Q89+'Grille Works BBC'!Q89+'Subway BBC'!Q89+'Market Pavillion'!Q89+'Chic Fil A BBC'!Q89+Panera!Q89+'Heritage Market'!Q89</f>
        <v>0</v>
      </c>
      <c r="R89" s="80">
        <f t="shared" si="37"/>
        <v>0</v>
      </c>
      <c r="S89" s="134">
        <f>'POD Breezeway'!S89+'Express GL'!S89+'Starbucks GL-SBX Truck'!S89+'Miro''s'!S89+'Faculty Club'!S89+'Almazar  &amp; Brand X'!S89+'Burger King'!S89+Bustelo!S89+Chilis!S89+Einstein!S89+Jamba!S89+'Pollo Tropical'!S89+'Subway GC'!S89+'Sushi Maki'!S89+Panda!S89+'Starbucks Mango'!S89+'Taco Bell'!S89+'Chick-fil-A'!S89+Dunkin!S89+Chipotle!S89+Sergios!S89+'Moes PG5'!S89+'Papa Johns'!S89+Salad!S89+'Half Moon &amp; Tropical Smoothie'!S89+'Athletic Concessions - Kitchen'!S89+'Starbucks BBC'!S89+'Moes BBC'!S89+'Grille Works BBC'!S89+'Subway BBC'!S89+'Market Pavillion'!S89+'Chic Fil A BBC'!S89+Panera!S89+'Heritage Market'!S89</f>
        <v>0</v>
      </c>
      <c r="T89" s="80">
        <f t="shared" si="38"/>
        <v>0</v>
      </c>
      <c r="U89" s="134">
        <f>'POD Breezeway'!U89+'Express GL'!U89+'Starbucks GL-SBX Truck'!U89+'Miro''s'!U89+'Faculty Club'!U89+'Almazar  &amp; Brand X'!U89+'Burger King'!U89+Bustelo!U89+Chilis!U89+Einstein!U89+Jamba!U89+'Pollo Tropical'!U89+'Subway GC'!U89+'Sushi Maki'!U89+Panda!U89+'Starbucks Mango'!U89+'Taco Bell'!U89+'Chick-fil-A'!U89+Dunkin!U89+Chipotle!U89+Sergios!U89+'Moes PG5'!U89+'Papa Johns'!U89+Salad!U89+'Half Moon &amp; Tropical Smoothie'!U89+'Athletic Concessions - Kitchen'!U89+'Starbucks BBC'!U89+'Moes BBC'!U89+'Grille Works BBC'!U89+'Subway BBC'!U89+'Market Pavillion'!U89+'Chic Fil A BBC'!U89+Panera!U89+'Heritage Market'!U89</f>
        <v>0</v>
      </c>
      <c r="V89" s="80">
        <f t="shared" si="29"/>
        <v>0</v>
      </c>
    </row>
    <row r="90" spans="1:22" ht="12.75" customHeight="1">
      <c r="A90" s="221" t="s">
        <v>421</v>
      </c>
      <c r="B90" s="222"/>
      <c r="C90" s="134">
        <f>'POD Breezeway'!C90+'Express GL'!C90+'Starbucks GL-SBX Truck'!C90+'Miro''s'!C90+'Faculty Club'!C90+'Almazar  &amp; Brand X'!C90+'Burger King'!C90+Bustelo!C90+Chilis!C90+Einstein!C90+Jamba!C90+'Pollo Tropical'!C90+'Subway GC'!C90+'Sushi Maki'!C90+Panda!C90+'Starbucks Mango'!C90+'Taco Bell'!C90+'Chick-fil-A'!C90+Dunkin!C90+Chipotle!C90+Sergios!C90+'Moes PG5'!C90+'Papa Johns'!C90+Salad!C90+'Half Moon &amp; Tropical Smoothie'!C90+'Athletic Concessions - Kitchen'!C90+'Starbucks BBC'!C90+'Moes BBC'!C90+'Grille Works BBC'!C90+'Subway BBC'!C90+'Market Pavillion'!C90+'Chic Fil A BBC'!C90+Panera!C90+'Heritage Market'!C90</f>
        <v>3115.0598759999998</v>
      </c>
      <c r="D90" s="80">
        <f t="shared" si="30"/>
        <v>1.9597981714192611E-4</v>
      </c>
      <c r="E90" s="134">
        <f>'POD Breezeway'!E90+'Express GL'!E90+'Starbucks GL-SBX Truck'!E90+'Miro''s'!E90+'Faculty Club'!E90+'Almazar  &amp; Brand X'!E90+'Burger King'!E90+Bustelo!E90+Chilis!E90+Einstein!E90+Jamba!E90+'Pollo Tropical'!E90+'Subway GC'!E90+'Sushi Maki'!E90+Panda!E90+'Starbucks Mango'!E90+'Taco Bell'!E90+'Chick-fil-A'!E90+Dunkin!E90+Chipotle!E90+Sergios!E90+'Moes PG5'!E90+'Papa Johns'!E90+Salad!E90+'Half Moon &amp; Tropical Smoothie'!E90+'Athletic Concessions - Kitchen'!E90+'Starbucks BBC'!E90+'Moes BBC'!E90+'Grille Works BBC'!E90+'Subway BBC'!E90+'Market Pavillion'!E90+'Chic Fil A BBC'!E90+Panera!E90+'Heritage Market'!E90</f>
        <v>3399.2500000000009</v>
      </c>
      <c r="F90" s="80">
        <f t="shared" si="31"/>
        <v>1.9618520275597147E-4</v>
      </c>
      <c r="G90" s="134">
        <f>'POD Breezeway'!G90+'Express GL'!G90+'Starbucks GL-SBX Truck'!G90+'Miro''s'!G90+'Faculty Club'!G90+'Almazar  &amp; Brand X'!G90+'Burger King'!G90+Bustelo!G90+Chilis!G90+Einstein!G90+Jamba!G90+'Pollo Tropical'!G90+'Subway GC'!G90+'Sushi Maki'!G90+Panda!G90+'Starbucks Mango'!G90+'Taco Bell'!G90+'Chick-fil-A'!G90+Dunkin!G90+Chipotle!G90+Sergios!G90+'Moes PG5'!G90+'Papa Johns'!G90+Salad!G90+'Half Moon &amp; Tropical Smoothie'!G90+'Athletic Concessions - Kitchen'!G90+'Starbucks BBC'!G90+'Moes BBC'!G90+'Grille Works BBC'!G90+'Subway BBC'!G90+'Market Pavillion'!G90+'Chic Fil A BBC'!G90+Panera!G90+'Heritage Market'!G90</f>
        <v>3756.7160000000008</v>
      </c>
      <c r="H90" s="80">
        <f t="shared" si="32"/>
        <v>1.9647397683004978E-4</v>
      </c>
      <c r="I90" s="134">
        <f>'POD Breezeway'!I90+'Express GL'!I90+'Starbucks GL-SBX Truck'!I90+'Miro''s'!I90+'Faculty Club'!I90+'Almazar  &amp; Brand X'!I90+'Burger King'!I90+Bustelo!I90+Chilis!I90+Einstein!I90+Jamba!I90+'Pollo Tropical'!I90+'Subway GC'!I90+'Sushi Maki'!I90+Panda!I90+'Starbucks Mango'!I90+'Taco Bell'!I90+'Chick-fil-A'!I90+Dunkin!I90+Chipotle!I90+Sergios!I90+'Moes PG5'!I90+'Papa Johns'!I90+Salad!I90+'Half Moon &amp; Tropical Smoothie'!I90+'Athletic Concessions - Kitchen'!I90+'Starbucks BBC'!I90+'Moes BBC'!I90+'Grille Works BBC'!I90+'Subway BBC'!I90+'Market Pavillion'!I90+'Chic Fil A BBC'!I90+Panera!I90+'Heritage Market'!I90</f>
        <v>3833.6672400000007</v>
      </c>
      <c r="J90" s="80">
        <f t="shared" si="33"/>
        <v>1.9647561849763274E-4</v>
      </c>
      <c r="K90" s="134">
        <f>'POD Breezeway'!K90+'Express GL'!K90+'Starbucks GL-SBX Truck'!K90+'Miro''s'!K90+'Faculty Club'!K90+'Almazar  &amp; Brand X'!K90+'Burger King'!K90+Bustelo!K90+Chilis!K90+Einstein!K90+Jamba!K90+'Pollo Tropical'!K90+'Subway GC'!K90+'Sushi Maki'!K90+Panda!K90+'Starbucks Mango'!K90+'Taco Bell'!K90+'Chick-fil-A'!K90+Dunkin!K90+Chipotle!K90+Sergios!K90+'Moes PG5'!K90+'Papa Johns'!K90+Salad!K90+'Half Moon &amp; Tropical Smoothie'!K90+'Athletic Concessions - Kitchen'!K90+'Starbucks BBC'!K90+'Moes BBC'!K90+'Grille Works BBC'!K90+'Subway BBC'!K90+'Market Pavillion'!K90+'Chic Fil A BBC'!K90+Panera!K90+'Heritage Market'!K90</f>
        <v>3902.8101972000004</v>
      </c>
      <c r="L90" s="80">
        <f t="shared" si="34"/>
        <v>1.9646893833992805E-4</v>
      </c>
      <c r="M90" s="134">
        <f>'POD Breezeway'!M90+'Express GL'!M90+'Starbucks GL-SBX Truck'!M90+'Miro''s'!M90+'Faculty Club'!M90+'Almazar  &amp; Brand X'!M90+'Burger King'!M90+Bustelo!M90+Chilis!M90+Einstein!M90+Jamba!M90+'Pollo Tropical'!M90+'Subway GC'!M90+'Sushi Maki'!M90+Panda!M90+'Starbucks Mango'!M90+'Taco Bell'!M90+'Chick-fil-A'!M90+Dunkin!M90+Chipotle!M90+Sergios!M90+'Moes PG5'!M90+'Papa Johns'!M90+Salad!M90+'Half Moon &amp; Tropical Smoothie'!M90+'Athletic Concessions - Kitchen'!M90+'Starbucks BBC'!M90+'Moes BBC'!M90+'Grille Works BBC'!M90+'Subway BBC'!M90+'Market Pavillion'!M90+'Chic Fil A BBC'!M90+Panera!M90+'Heritage Market'!M90</f>
        <v>3973.2607096680003</v>
      </c>
      <c r="N90" s="80">
        <f t="shared" si="35"/>
        <v>1.9646229867491881E-4</v>
      </c>
      <c r="O90" s="134">
        <f>'POD Breezeway'!O90+'Express GL'!O90+'Starbucks GL-SBX Truck'!O90+'Miro''s'!O90+'Faculty Club'!O90+'Almazar  &amp; Brand X'!O90+'Burger King'!O90+Bustelo!O90+Chilis!O90+Einstein!O90+Jamba!O90+'Pollo Tropical'!O90+'Subway GC'!O90+'Sushi Maki'!O90+Panda!O90+'Starbucks Mango'!O90+'Taco Bell'!O90+'Chick-fil-A'!O90+Dunkin!O90+Chipotle!O90+Sergios!O90+'Moes PG5'!O90+'Papa Johns'!O90+Salad!O90+'Half Moon &amp; Tropical Smoothie'!O90+'Athletic Concessions - Kitchen'!O90+'Starbucks BBC'!O90+'Moes BBC'!O90+'Grille Works BBC'!O90+'Subway BBC'!O90+'Market Pavillion'!O90+'Chic Fil A BBC'!O90+Panera!O90+'Heritage Market'!O90</f>
        <v>4045.0441754705989</v>
      </c>
      <c r="P90" s="80">
        <f t="shared" si="36"/>
        <v>1.9645569945485984E-4</v>
      </c>
      <c r="Q90" s="134">
        <f>'POD Breezeway'!Q90+'Express GL'!Q90+'Starbucks GL-SBX Truck'!Q90+'Miro''s'!Q90+'Faculty Club'!Q90+'Almazar  &amp; Brand X'!Q90+'Burger King'!Q90+Bustelo!Q90+Chilis!Q90+Einstein!Q90+Jamba!Q90+'Pollo Tropical'!Q90+'Subway GC'!Q90+'Sushi Maki'!Q90+Panda!Q90+'Starbucks Mango'!Q90+'Taco Bell'!Q90+'Chick-fil-A'!Q90+Dunkin!Q90+Chipotle!Q90+Sergios!Q90+'Moes PG5'!Q90+'Papa Johns'!Q90+Salad!Q90+'Half Moon &amp; Tropical Smoothie'!Q90+'Athletic Concessions - Kitchen'!Q90+'Starbucks BBC'!Q90+'Moes BBC'!Q90+'Grille Works BBC'!Q90+'Subway BBC'!Q90+'Market Pavillion'!Q90+'Chic Fil A BBC'!Q90+Panera!Q90+'Heritage Market'!Q90</f>
        <v>4118.1864931053451</v>
      </c>
      <c r="R90" s="80">
        <f t="shared" si="37"/>
        <v>1.9644914062868436E-4</v>
      </c>
      <c r="S90" s="134">
        <f>'POD Breezeway'!S90+'Express GL'!S90+'Starbucks GL-SBX Truck'!S90+'Miro''s'!S90+'Faculty Club'!S90+'Almazar  &amp; Brand X'!S90+'Burger King'!S90+Bustelo!S90+Chilis!S90+Einstein!S90+Jamba!S90+'Pollo Tropical'!S90+'Subway GC'!S90+'Sushi Maki'!S90+Panda!S90+'Starbucks Mango'!S90+'Taco Bell'!S90+'Chick-fil-A'!S90+Dunkin!S90+Chipotle!S90+Sergios!S90+'Moes PG5'!S90+'Papa Johns'!S90+Salad!S90+'Half Moon &amp; Tropical Smoothie'!S90+'Athletic Concessions - Kitchen'!S90+'Starbucks BBC'!S90+'Moes BBC'!S90+'Grille Works BBC'!S90+'Subway BBC'!S90+'Market Pavillion'!S90+'Chic Fil A BBC'!S90+Panera!S90+'Heritage Market'!S90</f>
        <v>4192.7140714340385</v>
      </c>
      <c r="T90" s="80">
        <f t="shared" si="38"/>
        <v>1.9644262214205143E-4</v>
      </c>
      <c r="U90" s="134">
        <f>'POD Breezeway'!U90+'Express GL'!U90+'Starbucks GL-SBX Truck'!U90+'Miro''s'!U90+'Faculty Club'!U90+'Almazar  &amp; Brand X'!U90+'Burger King'!U90+Bustelo!U90+Chilis!U90+Einstein!U90+Jamba!U90+'Pollo Tropical'!U90+'Subway GC'!U90+'Sushi Maki'!U90+Panda!U90+'Starbucks Mango'!U90+'Taco Bell'!U90+'Chick-fil-A'!U90+Dunkin!U90+Chipotle!U90+Sergios!U90+'Moes PG5'!U90+'Papa Johns'!U90+Salad!U90+'Half Moon &amp; Tropical Smoothie'!U90+'Athletic Concessions - Kitchen'!U90+'Starbucks BBC'!U90+'Moes BBC'!U90+'Grille Works BBC'!U90+'Subway BBC'!U90+'Market Pavillion'!U90+'Chic Fil A BBC'!U90+Panera!U90+'Heritage Market'!U90</f>
        <v>4421.3883388536078</v>
      </c>
      <c r="V90" s="80">
        <f t="shared" si="29"/>
        <v>1.9655713616115945E-4</v>
      </c>
    </row>
    <row r="91" spans="1:22" ht="12.75" customHeight="1">
      <c r="A91" s="2" t="s">
        <v>422</v>
      </c>
      <c r="C91" s="134">
        <f>'POD Breezeway'!C91+'Express GL'!C91+'Starbucks GL-SBX Truck'!C91+'Miro''s'!C91+'Faculty Club'!C91+'Almazar  &amp; Brand X'!C91+'Burger King'!C91+Bustelo!C91+Chilis!C91+Einstein!C91+Jamba!C91+'Pollo Tropical'!C91+'Subway GC'!C91+'Sushi Maki'!C91+Panda!C91+'Starbucks Mango'!C91+'Taco Bell'!C91+'Chick-fil-A'!C91+Dunkin!C91+Chipotle!C91+Sergios!C91+'Moes PG5'!C91+'Papa Johns'!C91+Salad!C91+'Half Moon &amp; Tropical Smoothie'!C91+'Athletic Concessions - Kitchen'!C91+'Starbucks BBC'!C91+'Moes BBC'!C91+'Grille Works BBC'!C91+'Subway BBC'!C91+'Market Pavillion'!C91+'Chic Fil A BBC'!C91+Panera!C91+'Heritage Market'!C91</f>
        <v>0</v>
      </c>
      <c r="D91" s="80">
        <f t="shared" si="30"/>
        <v>0</v>
      </c>
      <c r="E91" s="134">
        <f>'POD Breezeway'!E91+'Express GL'!E91+'Starbucks GL-SBX Truck'!E91+'Miro''s'!E91+'Faculty Club'!E91+'Almazar  &amp; Brand X'!E91+'Burger King'!E91+Bustelo!E91+Chilis!E91+Einstein!E91+Jamba!E91+'Pollo Tropical'!E91+'Subway GC'!E91+'Sushi Maki'!E91+Panda!E91+'Starbucks Mango'!E91+'Taco Bell'!E91+'Chick-fil-A'!E91+Dunkin!E91+Chipotle!E91+Sergios!E91+'Moes PG5'!E91+'Papa Johns'!E91+Salad!E91+'Half Moon &amp; Tropical Smoothie'!E91+'Athletic Concessions - Kitchen'!E91+'Starbucks BBC'!E91+'Moes BBC'!E91+'Grille Works BBC'!E91+'Subway BBC'!E91+'Market Pavillion'!E91+'Chic Fil A BBC'!E91+Panera!E91+'Heritage Market'!E91</f>
        <v>0</v>
      </c>
      <c r="F91" s="80">
        <f t="shared" si="31"/>
        <v>0</v>
      </c>
      <c r="G91" s="134">
        <f>'POD Breezeway'!G91+'Express GL'!G91+'Starbucks GL-SBX Truck'!G91+'Miro''s'!G91+'Faculty Club'!G91+'Almazar  &amp; Brand X'!G91+'Burger King'!G91+Bustelo!G91+Chilis!G91+Einstein!G91+Jamba!G91+'Pollo Tropical'!G91+'Subway GC'!G91+'Sushi Maki'!G91+Panda!G91+'Starbucks Mango'!G91+'Taco Bell'!G91+'Chick-fil-A'!G91+Dunkin!G91+Chipotle!G91+Sergios!G91+'Moes PG5'!G91+'Papa Johns'!G91+Salad!G91+'Half Moon &amp; Tropical Smoothie'!G91+'Athletic Concessions - Kitchen'!G91+'Starbucks BBC'!G91+'Moes BBC'!G91+'Grille Works BBC'!G91+'Subway BBC'!G91+'Market Pavillion'!G91+'Chic Fil A BBC'!G91+Panera!G91+'Heritage Market'!G91</f>
        <v>0</v>
      </c>
      <c r="H91" s="80">
        <f t="shared" si="32"/>
        <v>0</v>
      </c>
      <c r="I91" s="134">
        <f>'POD Breezeway'!I91+'Express GL'!I91+'Starbucks GL-SBX Truck'!I91+'Miro''s'!I91+'Faculty Club'!I91+'Almazar  &amp; Brand X'!I91+'Burger King'!I91+Bustelo!I91+Chilis!I91+Einstein!I91+Jamba!I91+'Pollo Tropical'!I91+'Subway GC'!I91+'Sushi Maki'!I91+Panda!I91+'Starbucks Mango'!I91+'Taco Bell'!I91+'Chick-fil-A'!I91+Dunkin!I91+Chipotle!I91+Sergios!I91+'Moes PG5'!I91+'Papa Johns'!I91+Salad!I91+'Half Moon &amp; Tropical Smoothie'!I91+'Athletic Concessions - Kitchen'!I91+'Starbucks BBC'!I91+'Moes BBC'!I91+'Grille Works BBC'!I91+'Subway BBC'!I91+'Market Pavillion'!I91+'Chic Fil A BBC'!I91+Panera!I91+'Heritage Market'!I91</f>
        <v>0</v>
      </c>
      <c r="J91" s="80">
        <f t="shared" si="33"/>
        <v>0</v>
      </c>
      <c r="K91" s="134">
        <f>'POD Breezeway'!K91+'Express GL'!K91+'Starbucks GL-SBX Truck'!K91+'Miro''s'!K91+'Faculty Club'!K91+'Almazar  &amp; Brand X'!K91+'Burger King'!K91+Bustelo!K91+Chilis!K91+Einstein!K91+Jamba!K91+'Pollo Tropical'!K91+'Subway GC'!K91+'Sushi Maki'!K91+Panda!K91+'Starbucks Mango'!K91+'Taco Bell'!K91+'Chick-fil-A'!K91+Dunkin!K91+Chipotle!K91+Sergios!K91+'Moes PG5'!K91+'Papa Johns'!K91+Salad!K91+'Half Moon &amp; Tropical Smoothie'!K91+'Athletic Concessions - Kitchen'!K91+'Starbucks BBC'!K91+'Moes BBC'!K91+'Grille Works BBC'!K91+'Subway BBC'!K91+'Market Pavillion'!K91+'Chic Fil A BBC'!K91+Panera!K91+'Heritage Market'!K91</f>
        <v>0</v>
      </c>
      <c r="L91" s="80">
        <f t="shared" si="34"/>
        <v>0</v>
      </c>
      <c r="M91" s="134">
        <f>'POD Breezeway'!M91+'Express GL'!M91+'Starbucks GL-SBX Truck'!M91+'Miro''s'!M91+'Faculty Club'!M91+'Almazar  &amp; Brand X'!M91+'Burger King'!M91+Bustelo!M91+Chilis!M91+Einstein!M91+Jamba!M91+'Pollo Tropical'!M91+'Subway GC'!M91+'Sushi Maki'!M91+Panda!M91+'Starbucks Mango'!M91+'Taco Bell'!M91+'Chick-fil-A'!M91+Dunkin!M91+Chipotle!M91+Sergios!M91+'Moes PG5'!M91+'Papa Johns'!M91+Salad!M91+'Half Moon &amp; Tropical Smoothie'!M91+'Athletic Concessions - Kitchen'!M91+'Starbucks BBC'!M91+'Moes BBC'!M91+'Grille Works BBC'!M91+'Subway BBC'!M91+'Market Pavillion'!M91+'Chic Fil A BBC'!M91+Panera!M91+'Heritage Market'!M91</f>
        <v>0</v>
      </c>
      <c r="N91" s="80">
        <f t="shared" si="35"/>
        <v>0</v>
      </c>
      <c r="O91" s="134">
        <f>'POD Breezeway'!O91+'Express GL'!O91+'Starbucks GL-SBX Truck'!O91+'Miro''s'!O91+'Faculty Club'!O91+'Almazar  &amp; Brand X'!O91+'Burger King'!O91+Bustelo!O91+Chilis!O91+Einstein!O91+Jamba!O91+'Pollo Tropical'!O91+'Subway GC'!O91+'Sushi Maki'!O91+Panda!O91+'Starbucks Mango'!O91+'Taco Bell'!O91+'Chick-fil-A'!O91+Dunkin!O91+Chipotle!O91+Sergios!O91+'Moes PG5'!O91+'Papa Johns'!O91+Salad!O91+'Half Moon &amp; Tropical Smoothie'!O91+'Athletic Concessions - Kitchen'!O91+'Starbucks BBC'!O91+'Moes BBC'!O91+'Grille Works BBC'!O91+'Subway BBC'!O91+'Market Pavillion'!O91+'Chic Fil A BBC'!O91+Panera!O91+'Heritage Market'!O91</f>
        <v>0</v>
      </c>
      <c r="P91" s="80">
        <f t="shared" si="36"/>
        <v>0</v>
      </c>
      <c r="Q91" s="134">
        <f>'POD Breezeway'!Q91+'Express GL'!Q91+'Starbucks GL-SBX Truck'!Q91+'Miro''s'!Q91+'Faculty Club'!Q91+'Almazar  &amp; Brand X'!Q91+'Burger King'!Q91+Bustelo!Q91+Chilis!Q91+Einstein!Q91+Jamba!Q91+'Pollo Tropical'!Q91+'Subway GC'!Q91+'Sushi Maki'!Q91+Panda!Q91+'Starbucks Mango'!Q91+'Taco Bell'!Q91+'Chick-fil-A'!Q91+Dunkin!Q91+Chipotle!Q91+Sergios!Q91+'Moes PG5'!Q91+'Papa Johns'!Q91+Salad!Q91+'Half Moon &amp; Tropical Smoothie'!Q91+'Athletic Concessions - Kitchen'!Q91+'Starbucks BBC'!Q91+'Moes BBC'!Q91+'Grille Works BBC'!Q91+'Subway BBC'!Q91+'Market Pavillion'!Q91+'Chic Fil A BBC'!Q91+Panera!Q91+'Heritage Market'!Q91</f>
        <v>0</v>
      </c>
      <c r="R91" s="80">
        <f t="shared" si="37"/>
        <v>0</v>
      </c>
      <c r="S91" s="134">
        <f>'POD Breezeway'!S91+'Express GL'!S91+'Starbucks GL-SBX Truck'!S91+'Miro''s'!S91+'Faculty Club'!S91+'Almazar  &amp; Brand X'!S91+'Burger King'!S91+Bustelo!S91+Chilis!S91+Einstein!S91+Jamba!S91+'Pollo Tropical'!S91+'Subway GC'!S91+'Sushi Maki'!S91+Panda!S91+'Starbucks Mango'!S91+'Taco Bell'!S91+'Chick-fil-A'!S91+Dunkin!S91+Chipotle!S91+Sergios!S91+'Moes PG5'!S91+'Papa Johns'!S91+Salad!S91+'Half Moon &amp; Tropical Smoothie'!S91+'Athletic Concessions - Kitchen'!S91+'Starbucks BBC'!S91+'Moes BBC'!S91+'Grille Works BBC'!S91+'Subway BBC'!S91+'Market Pavillion'!S91+'Chic Fil A BBC'!S91+Panera!S91+'Heritage Market'!S91</f>
        <v>0</v>
      </c>
      <c r="T91" s="80">
        <f t="shared" si="38"/>
        <v>0</v>
      </c>
      <c r="U91" s="134">
        <f>'POD Breezeway'!U91+'Express GL'!U91+'Starbucks GL-SBX Truck'!U91+'Miro''s'!U91+'Faculty Club'!U91+'Almazar  &amp; Brand X'!U91+'Burger King'!U91+Bustelo!U91+Chilis!U91+Einstein!U91+Jamba!U91+'Pollo Tropical'!U91+'Subway GC'!U91+'Sushi Maki'!U91+Panda!U91+'Starbucks Mango'!U91+'Taco Bell'!U91+'Chick-fil-A'!U91+Dunkin!U91+Chipotle!U91+Sergios!U91+'Moes PG5'!U91+'Papa Johns'!U91+Salad!U91+'Half Moon &amp; Tropical Smoothie'!U91+'Athletic Concessions - Kitchen'!U91+'Starbucks BBC'!U91+'Moes BBC'!U91+'Grille Works BBC'!U91+'Subway BBC'!U91+'Market Pavillion'!U91+'Chic Fil A BBC'!U91+Panera!U91+'Heritage Market'!U91</f>
        <v>0</v>
      </c>
      <c r="V91" s="80">
        <f t="shared" si="29"/>
        <v>0</v>
      </c>
    </row>
    <row r="92" spans="1:22" ht="12.75" customHeight="1">
      <c r="A92" s="221" t="s">
        <v>423</v>
      </c>
      <c r="B92" s="222"/>
      <c r="C92" s="134">
        <f>'POD Breezeway'!C92+'Express GL'!C92+'Starbucks GL-SBX Truck'!C92+'Miro''s'!C92+'Faculty Club'!C92+'Almazar  &amp; Brand X'!C92+'Burger King'!C92+Bustelo!C92+Chilis!C92+Einstein!C92+Jamba!C92+'Pollo Tropical'!C92+'Subway GC'!C92+'Sushi Maki'!C92+Panda!C92+'Starbucks Mango'!C92+'Taco Bell'!C92+'Chick-fil-A'!C92+Dunkin!C92+Chipotle!C92+Sergios!C92+'Moes PG5'!C92+'Papa Johns'!C92+Salad!C92+'Half Moon &amp; Tropical Smoothie'!C92+'Athletic Concessions - Kitchen'!C92+'Starbucks BBC'!C92+'Moes BBC'!C92+'Grille Works BBC'!C92+'Subway BBC'!C92+'Market Pavillion'!C92+'Chic Fil A BBC'!C92+Panera!C92+'Heritage Market'!C92</f>
        <v>80991.556776000012</v>
      </c>
      <c r="D92" s="80">
        <f t="shared" si="30"/>
        <v>5.0954752456900797E-3</v>
      </c>
      <c r="E92" s="134">
        <f>'POD Breezeway'!E92+'Express GL'!E92+'Starbucks GL-SBX Truck'!E92+'Miro''s'!E92+'Faculty Club'!E92+'Almazar  &amp; Brand X'!E92+'Burger King'!E92+Bustelo!E92+Chilis!E92+Einstein!E92+Jamba!E92+'Pollo Tropical'!E92+'Subway GC'!E92+'Sushi Maki'!E92+Panda!E92+'Starbucks Mango'!E92+'Taco Bell'!E92+'Chick-fil-A'!E92+Dunkin!E92+Chipotle!E92+Sergios!E92+'Moes PG5'!E92+'Papa Johns'!E92+Salad!E92+'Half Moon &amp; Tropical Smoothie'!E92+'Athletic Concessions - Kitchen'!E92+'Starbucks BBC'!E92+'Moes BBC'!E92+'Grille Works BBC'!E92+'Subway BBC'!E92+'Market Pavillion'!E92+'Chic Fil A BBC'!E92+Panera!E92+'Heritage Market'!E92</f>
        <v>88380.5</v>
      </c>
      <c r="F92" s="80">
        <f t="shared" si="31"/>
        <v>5.1008152716552563E-3</v>
      </c>
      <c r="G92" s="134">
        <f>'POD Breezeway'!G92+'Express GL'!G92+'Starbucks GL-SBX Truck'!G92+'Miro''s'!G92+'Faculty Club'!G92+'Almazar  &amp; Brand X'!G92+'Burger King'!G92+Bustelo!G92+Chilis!G92+Einstein!G92+Jamba!G92+'Pollo Tropical'!G92+'Subway GC'!G92+'Sushi Maki'!G92+Panda!G92+'Starbucks Mango'!G92+'Taco Bell'!G92+'Chick-fil-A'!G92+Dunkin!G92+Chipotle!G92+Sergios!G92+'Moes PG5'!G92+'Papa Johns'!G92+Salad!G92+'Half Moon &amp; Tropical Smoothie'!G92+'Athletic Concessions - Kitchen'!G92+'Starbucks BBC'!G92+'Moes BBC'!G92+'Grille Works BBC'!G92+'Subway BBC'!G92+'Market Pavillion'!G92+'Chic Fil A BBC'!G92+Panera!G92+'Heritage Market'!G92</f>
        <v>97674.615999999965</v>
      </c>
      <c r="H92" s="80">
        <f t="shared" si="32"/>
        <v>5.1083233975812914E-3</v>
      </c>
      <c r="I92" s="134">
        <f>'POD Breezeway'!I92+'Express GL'!I92+'Starbucks GL-SBX Truck'!I92+'Miro''s'!I92+'Faculty Club'!I92+'Almazar  &amp; Brand X'!I92+'Burger King'!I92+Bustelo!I92+Chilis!I92+Einstein!I92+Jamba!I92+'Pollo Tropical'!I92+'Subway GC'!I92+'Sushi Maki'!I92+Panda!I92+'Starbucks Mango'!I92+'Taco Bell'!I92+'Chick-fil-A'!I92+Dunkin!I92+Chipotle!I92+Sergios!I92+'Moes PG5'!I92+'Papa Johns'!I92+Salad!I92+'Half Moon &amp; Tropical Smoothie'!I92+'Athletic Concessions - Kitchen'!I92+'Starbucks BBC'!I92+'Moes BBC'!I92+'Grille Works BBC'!I92+'Subway BBC'!I92+'Market Pavillion'!I92+'Chic Fil A BBC'!I92+Panera!I92+'Heritage Market'!I92</f>
        <v>99675.348239999992</v>
      </c>
      <c r="J92" s="80">
        <f t="shared" si="33"/>
        <v>5.10836608093845E-3</v>
      </c>
      <c r="K92" s="134">
        <f>'POD Breezeway'!K92+'Express GL'!K92+'Starbucks GL-SBX Truck'!K92+'Miro''s'!K92+'Faculty Club'!K92+'Almazar  &amp; Brand X'!K92+'Burger King'!K92+Bustelo!K92+Chilis!K92+Einstein!K92+Jamba!K92+'Pollo Tropical'!K92+'Subway GC'!K92+'Sushi Maki'!K92+Panda!K92+'Starbucks Mango'!K92+'Taco Bell'!K92+'Chick-fil-A'!K92+Dunkin!K92+Chipotle!K92+Sergios!K92+'Moes PG5'!K92+'Papa Johns'!K92+Salad!K92+'Half Moon &amp; Tropical Smoothie'!K92+'Athletic Concessions - Kitchen'!K92+'Starbucks BBC'!K92+'Moes BBC'!K92+'Grille Works BBC'!K92+'Subway BBC'!K92+'Market Pavillion'!K92+'Chic Fil A BBC'!K92+Panera!K92+'Heritage Market'!K92</f>
        <v>101473.06512719997</v>
      </c>
      <c r="L92" s="80">
        <f t="shared" si="34"/>
        <v>5.1081923968381267E-3</v>
      </c>
      <c r="M92" s="134">
        <f>'POD Breezeway'!M92+'Express GL'!M92+'Starbucks GL-SBX Truck'!M92+'Miro''s'!M92+'Faculty Club'!M92+'Almazar  &amp; Brand X'!M92+'Burger King'!M92+Bustelo!M92+Chilis!M92+Einstein!M92+Jamba!M92+'Pollo Tropical'!M92+'Subway GC'!M92+'Sushi Maki'!M92+Panda!M92+'Starbucks Mango'!M92+'Taco Bell'!M92+'Chick-fil-A'!M92+Dunkin!M92+Chipotle!M92+Sergios!M92+'Moes PG5'!M92+'Papa Johns'!M92+Salad!M92+'Half Moon &amp; Tropical Smoothie'!M92+'Athletic Concessions - Kitchen'!M92+'Starbucks BBC'!M92+'Moes BBC'!M92+'Grille Works BBC'!M92+'Subway BBC'!M92+'Market Pavillion'!M92+'Chic Fil A BBC'!M92+Panera!M92+'Heritage Market'!M92</f>
        <v>103304.77845136799</v>
      </c>
      <c r="N92" s="80">
        <f t="shared" si="35"/>
        <v>5.1080197655478891E-3</v>
      </c>
      <c r="O92" s="134">
        <f>'POD Breezeway'!O92+'Express GL'!O92+'Starbucks GL-SBX Truck'!O92+'Miro''s'!O92+'Faculty Club'!O92+'Almazar  &amp; Brand X'!O92+'Burger King'!O92+Bustelo!O92+Chilis!O92+Einstein!O92+Jamba!O92+'Pollo Tropical'!O92+'Subway GC'!O92+'Sushi Maki'!O92+Panda!O92+'Starbucks Mango'!O92+'Taco Bell'!O92+'Chick-fil-A'!O92+Dunkin!O92+Chipotle!O92+Sergios!O92+'Moes PG5'!O92+'Papa Johns'!O92+Salad!O92+'Half Moon &amp; Tropical Smoothie'!O92+'Athletic Concessions - Kitchen'!O92+'Starbucks BBC'!O92+'Moes BBC'!O92+'Grille Works BBC'!O92+'Subway BBC'!O92+'Market Pavillion'!O92+'Chic Fil A BBC'!O92+Panera!O92+'Heritage Market'!O92</f>
        <v>105171.14856223558</v>
      </c>
      <c r="P92" s="80">
        <f t="shared" si="36"/>
        <v>5.1078481858263559E-3</v>
      </c>
      <c r="Q92" s="134">
        <f>'POD Breezeway'!Q92+'Express GL'!Q92+'Starbucks GL-SBX Truck'!Q92+'Miro''s'!Q92+'Faculty Club'!Q92+'Almazar  &amp; Brand X'!Q92+'Burger King'!Q92+Bustelo!Q92+Chilis!Q92+Einstein!Q92+Jamba!Q92+'Pollo Tropical'!Q92+'Subway GC'!Q92+'Sushi Maki'!Q92+Panda!Q92+'Starbucks Mango'!Q92+'Taco Bell'!Q92+'Chick-fil-A'!Q92+Dunkin!Q92+Chipotle!Q92+Sergios!Q92+'Moes PG5'!Q92+'Papa Johns'!Q92+Salad!Q92+'Half Moon &amp; Tropical Smoothie'!Q92+'Athletic Concessions - Kitchen'!Q92+'Starbucks BBC'!Q92+'Moes BBC'!Q92+'Grille Works BBC'!Q92+'Subway BBC'!Q92+'Market Pavillion'!Q92+'Chic Fil A BBC'!Q92+Panera!Q92+'Heritage Market'!Q92</f>
        <v>107072.84882073897</v>
      </c>
      <c r="R92" s="80">
        <f t="shared" si="37"/>
        <v>5.1076776563457934E-3</v>
      </c>
      <c r="S92" s="134">
        <f>'POD Breezeway'!S92+'Express GL'!S92+'Starbucks GL-SBX Truck'!S92+'Miro''s'!S92+'Faculty Club'!S92+'Almazar  &amp; Brand X'!S92+'Burger King'!S92+Bustelo!S92+Chilis!S92+Einstein!S92+Jamba!S92+'Pollo Tropical'!S92+'Subway GC'!S92+'Sushi Maki'!S92+Panda!S92+'Starbucks Mango'!S92+'Taco Bell'!S92+'Chick-fil-A'!S92+Dunkin!S92+Chipotle!S92+Sergios!S92+'Moes PG5'!S92+'Papa Johns'!S92+Salad!S92+'Half Moon &amp; Tropical Smoothie'!S92+'Athletic Concessions - Kitchen'!S92+'Starbucks BBC'!S92+'Moes BBC'!S92+'Grille Works BBC'!S92+'Subway BBC'!S92+'Market Pavillion'!S92+'Chic Fil A BBC'!S92+Panera!S92+'Heritage Market'!S92</f>
        <v>109010.56585728495</v>
      </c>
      <c r="T92" s="80">
        <f t="shared" si="38"/>
        <v>5.1075081756933351E-3</v>
      </c>
      <c r="U92" s="134">
        <f>'POD Breezeway'!U92+'Express GL'!U92+'Starbucks GL-SBX Truck'!U92+'Miro''s'!U92+'Faculty Club'!U92+'Almazar  &amp; Brand X'!U92+'Burger King'!U92+Bustelo!U92+Chilis!U92+Einstein!U92+Jamba!U92+'Pollo Tropical'!U92+'Subway GC'!U92+'Sushi Maki'!U92+Panda!U92+'Starbucks Mango'!U92+'Taco Bell'!U92+'Chick-fil-A'!U92+Dunkin!U92+Chipotle!U92+Sergios!U92+'Moes PG5'!U92+'Papa Johns'!U92+Salad!U92+'Half Moon &amp; Tropical Smoothie'!U92+'Athletic Concessions - Kitchen'!U92+'Starbucks BBC'!U92+'Moes BBC'!U92+'Grille Works BBC'!U92+'Subway BBC'!U92+'Market Pavillion'!U92+'Chic Fil A BBC'!U92+Panera!U92+'Heritage Market'!U92</f>
        <v>114956.09681019378</v>
      </c>
      <c r="V92" s="80">
        <f t="shared" si="29"/>
        <v>5.110485540190144E-3</v>
      </c>
    </row>
    <row r="93" spans="1:22" ht="12.75" customHeight="1">
      <c r="A93" s="2" t="s">
        <v>424</v>
      </c>
      <c r="B93" s="35"/>
      <c r="C93" s="134">
        <f>'POD Breezeway'!C93+'Express GL'!C93+'Starbucks GL-SBX Truck'!C93+'Miro''s'!C93+'Faculty Club'!C93+'Almazar  &amp; Brand X'!C93+'Burger King'!C93+Bustelo!C93+Chilis!C93+Einstein!C93+Jamba!C93+'Pollo Tropical'!C93+'Subway GC'!C93+'Sushi Maki'!C93+Panda!C93+'Starbucks Mango'!C93+'Taco Bell'!C93+'Chick-fil-A'!C93+Dunkin!C93+Chipotle!C93+Sergios!C93+'Moes PG5'!C93+'Papa Johns'!C93+Salad!C93+'Half Moon &amp; Tropical Smoothie'!C93+'Athletic Concessions - Kitchen'!C93+'Starbucks BBC'!C93+'Moes BBC'!C93+'Grille Works BBC'!C93+'Subway BBC'!C93+'Market Pavillion'!C93+'Chic Fil A BBC'!C93+Panera!C93+'Heritage Market'!C93</f>
        <v>0</v>
      </c>
      <c r="D93" s="80">
        <f t="shared" si="30"/>
        <v>0</v>
      </c>
      <c r="E93" s="134">
        <f>'POD Breezeway'!E93+'Express GL'!E93+'Starbucks GL-SBX Truck'!E93+'Miro''s'!E93+'Faculty Club'!E93+'Almazar  &amp; Brand X'!E93+'Burger King'!E93+Bustelo!E93+Chilis!E93+Einstein!E93+Jamba!E93+'Pollo Tropical'!E93+'Subway GC'!E93+'Sushi Maki'!E93+Panda!E93+'Starbucks Mango'!E93+'Taco Bell'!E93+'Chick-fil-A'!E93+Dunkin!E93+Chipotle!E93+Sergios!E93+'Moes PG5'!E93+'Papa Johns'!E93+Salad!E93+'Half Moon &amp; Tropical Smoothie'!E93+'Athletic Concessions - Kitchen'!E93+'Starbucks BBC'!E93+'Moes BBC'!E93+'Grille Works BBC'!E93+'Subway BBC'!E93+'Market Pavillion'!E93+'Chic Fil A BBC'!E93+Panera!E93+'Heritage Market'!E93</f>
        <v>0</v>
      </c>
      <c r="F93" s="80">
        <f t="shared" si="31"/>
        <v>0</v>
      </c>
      <c r="G93" s="134">
        <f>'POD Breezeway'!G93+'Express GL'!G93+'Starbucks GL-SBX Truck'!G93+'Miro''s'!G93+'Faculty Club'!G93+'Almazar  &amp; Brand X'!G93+'Burger King'!G93+Bustelo!G93+Chilis!G93+Einstein!G93+Jamba!G93+'Pollo Tropical'!G93+'Subway GC'!G93+'Sushi Maki'!G93+Panda!G93+'Starbucks Mango'!G93+'Taco Bell'!G93+'Chick-fil-A'!G93+Dunkin!G93+Chipotle!G93+Sergios!G93+'Moes PG5'!G93+'Papa Johns'!G93+Salad!G93+'Half Moon &amp; Tropical Smoothie'!G93+'Athletic Concessions - Kitchen'!G93+'Starbucks BBC'!G93+'Moes BBC'!G93+'Grille Works BBC'!G93+'Subway BBC'!G93+'Market Pavillion'!G93+'Chic Fil A BBC'!G93+Panera!G93+'Heritage Market'!G93</f>
        <v>0</v>
      </c>
      <c r="H93" s="80">
        <f t="shared" si="32"/>
        <v>0</v>
      </c>
      <c r="I93" s="134">
        <f>'POD Breezeway'!I93+'Express GL'!I93+'Starbucks GL-SBX Truck'!I93+'Miro''s'!I93+'Faculty Club'!I93+'Almazar  &amp; Brand X'!I93+'Burger King'!I93+Bustelo!I93+Chilis!I93+Einstein!I93+Jamba!I93+'Pollo Tropical'!I93+'Subway GC'!I93+'Sushi Maki'!I93+Panda!I93+'Starbucks Mango'!I93+'Taco Bell'!I93+'Chick-fil-A'!I93+Dunkin!I93+Chipotle!I93+Sergios!I93+'Moes PG5'!I93+'Papa Johns'!I93+Salad!I93+'Half Moon &amp; Tropical Smoothie'!I93+'Athletic Concessions - Kitchen'!I93+'Starbucks BBC'!I93+'Moes BBC'!I93+'Grille Works BBC'!I93+'Subway BBC'!I93+'Market Pavillion'!I93+'Chic Fil A BBC'!I93+Panera!I93+'Heritage Market'!I93</f>
        <v>0</v>
      </c>
      <c r="J93" s="80">
        <f t="shared" si="33"/>
        <v>0</v>
      </c>
      <c r="K93" s="134">
        <f>'POD Breezeway'!K93+'Express GL'!K93+'Starbucks GL-SBX Truck'!K93+'Miro''s'!K93+'Faculty Club'!K93+'Almazar  &amp; Brand X'!K93+'Burger King'!K93+Bustelo!K93+Chilis!K93+Einstein!K93+Jamba!K93+'Pollo Tropical'!K93+'Subway GC'!K93+'Sushi Maki'!K93+Panda!K93+'Starbucks Mango'!K93+'Taco Bell'!K93+'Chick-fil-A'!K93+Dunkin!K93+Chipotle!K93+Sergios!K93+'Moes PG5'!K93+'Papa Johns'!K93+Salad!K93+'Half Moon &amp; Tropical Smoothie'!K93+'Athletic Concessions - Kitchen'!K93+'Starbucks BBC'!K93+'Moes BBC'!K93+'Grille Works BBC'!K93+'Subway BBC'!K93+'Market Pavillion'!K93+'Chic Fil A BBC'!K93+Panera!K93+'Heritage Market'!K93</f>
        <v>0</v>
      </c>
      <c r="L93" s="80">
        <f t="shared" si="34"/>
        <v>0</v>
      </c>
      <c r="M93" s="134">
        <f>'POD Breezeway'!M93+'Express GL'!M93+'Starbucks GL-SBX Truck'!M93+'Miro''s'!M93+'Faculty Club'!M93+'Almazar  &amp; Brand X'!M93+'Burger King'!M93+Bustelo!M93+Chilis!M93+Einstein!M93+Jamba!M93+'Pollo Tropical'!M93+'Subway GC'!M93+'Sushi Maki'!M93+Panda!M93+'Starbucks Mango'!M93+'Taco Bell'!M93+'Chick-fil-A'!M93+Dunkin!M93+Chipotle!M93+Sergios!M93+'Moes PG5'!M93+'Papa Johns'!M93+Salad!M93+'Half Moon &amp; Tropical Smoothie'!M93+'Athletic Concessions - Kitchen'!M93+'Starbucks BBC'!M93+'Moes BBC'!M93+'Grille Works BBC'!M93+'Subway BBC'!M93+'Market Pavillion'!M93+'Chic Fil A BBC'!M93+Panera!M93+'Heritage Market'!M93</f>
        <v>0</v>
      </c>
      <c r="N93" s="80">
        <f t="shared" si="35"/>
        <v>0</v>
      </c>
      <c r="O93" s="134">
        <f>'POD Breezeway'!O93+'Express GL'!O93+'Starbucks GL-SBX Truck'!O93+'Miro''s'!O93+'Faculty Club'!O93+'Almazar  &amp; Brand X'!O93+'Burger King'!O93+Bustelo!O93+Chilis!O93+Einstein!O93+Jamba!O93+'Pollo Tropical'!O93+'Subway GC'!O93+'Sushi Maki'!O93+Panda!O93+'Starbucks Mango'!O93+'Taco Bell'!O93+'Chick-fil-A'!O93+Dunkin!O93+Chipotle!O93+Sergios!O93+'Moes PG5'!O93+'Papa Johns'!O93+Salad!O93+'Half Moon &amp; Tropical Smoothie'!O93+'Athletic Concessions - Kitchen'!O93+'Starbucks BBC'!O93+'Moes BBC'!O93+'Grille Works BBC'!O93+'Subway BBC'!O93+'Market Pavillion'!O93+'Chic Fil A BBC'!O93+Panera!O93+'Heritage Market'!O93</f>
        <v>0</v>
      </c>
      <c r="P93" s="80">
        <f t="shared" si="36"/>
        <v>0</v>
      </c>
      <c r="Q93" s="134">
        <f>'POD Breezeway'!Q93+'Express GL'!Q93+'Starbucks GL-SBX Truck'!Q93+'Miro''s'!Q93+'Faculty Club'!Q93+'Almazar  &amp; Brand X'!Q93+'Burger King'!Q93+Bustelo!Q93+Chilis!Q93+Einstein!Q93+Jamba!Q93+'Pollo Tropical'!Q93+'Subway GC'!Q93+'Sushi Maki'!Q93+Panda!Q93+'Starbucks Mango'!Q93+'Taco Bell'!Q93+'Chick-fil-A'!Q93+Dunkin!Q93+Chipotle!Q93+Sergios!Q93+'Moes PG5'!Q93+'Papa Johns'!Q93+Salad!Q93+'Half Moon &amp; Tropical Smoothie'!Q93+'Athletic Concessions - Kitchen'!Q93+'Starbucks BBC'!Q93+'Moes BBC'!Q93+'Grille Works BBC'!Q93+'Subway BBC'!Q93+'Market Pavillion'!Q93+'Chic Fil A BBC'!Q93+Panera!Q93+'Heritage Market'!Q93</f>
        <v>0</v>
      </c>
      <c r="R93" s="80">
        <f t="shared" si="37"/>
        <v>0</v>
      </c>
      <c r="S93" s="134">
        <f>'POD Breezeway'!S93+'Express GL'!S93+'Starbucks GL-SBX Truck'!S93+'Miro''s'!S93+'Faculty Club'!S93+'Almazar  &amp; Brand X'!S93+'Burger King'!S93+Bustelo!S93+Chilis!S93+Einstein!S93+Jamba!S93+'Pollo Tropical'!S93+'Subway GC'!S93+'Sushi Maki'!S93+Panda!S93+'Starbucks Mango'!S93+'Taco Bell'!S93+'Chick-fil-A'!S93+Dunkin!S93+Chipotle!S93+Sergios!S93+'Moes PG5'!S93+'Papa Johns'!S93+Salad!S93+'Half Moon &amp; Tropical Smoothie'!S93+'Athletic Concessions - Kitchen'!S93+'Starbucks BBC'!S93+'Moes BBC'!S93+'Grille Works BBC'!S93+'Subway BBC'!S93+'Market Pavillion'!S93+'Chic Fil A BBC'!S93+Panera!S93+'Heritage Market'!S93</f>
        <v>0</v>
      </c>
      <c r="T93" s="80">
        <f t="shared" si="38"/>
        <v>0</v>
      </c>
      <c r="U93" s="134">
        <f>'POD Breezeway'!U93+'Express GL'!U93+'Starbucks GL-SBX Truck'!U93+'Miro''s'!U93+'Faculty Club'!U93+'Almazar  &amp; Brand X'!U93+'Burger King'!U93+Bustelo!U93+Chilis!U93+Einstein!U93+Jamba!U93+'Pollo Tropical'!U93+'Subway GC'!U93+'Sushi Maki'!U93+Panda!U93+'Starbucks Mango'!U93+'Taco Bell'!U93+'Chick-fil-A'!U93+Dunkin!U93+Chipotle!U93+Sergios!U93+'Moes PG5'!U93+'Papa Johns'!U93+Salad!U93+'Half Moon &amp; Tropical Smoothie'!U93+'Athletic Concessions - Kitchen'!U93+'Starbucks BBC'!U93+'Moes BBC'!U93+'Grille Works BBC'!U93+'Subway BBC'!U93+'Market Pavillion'!U93+'Chic Fil A BBC'!U93+Panera!U93+'Heritage Market'!U93</f>
        <v>0</v>
      </c>
      <c r="V93" s="80">
        <f t="shared" si="29"/>
        <v>0</v>
      </c>
    </row>
    <row r="94" spans="1:22" ht="12.75" customHeight="1">
      <c r="A94" s="2" t="s">
        <v>425</v>
      </c>
      <c r="B94" s="35"/>
      <c r="C94" s="134">
        <f>'POD Breezeway'!C94+'Express GL'!C94+'Starbucks GL-SBX Truck'!C94+'Miro''s'!C94+'Faculty Club'!C94+'Almazar  &amp; Brand X'!C94+'Burger King'!C94+Bustelo!C94+Chilis!C94+Einstein!C94+Jamba!C94+'Pollo Tropical'!C94+'Subway GC'!C94+'Sushi Maki'!C94+Panda!C94+'Starbucks Mango'!C94+'Taco Bell'!C94+'Chick-fil-A'!C94+Dunkin!C94+Chipotle!C94+Sergios!C94+'Moes PG5'!C94+'Papa Johns'!C94+Salad!C94+'Half Moon &amp; Tropical Smoothie'!C94+'Athletic Concessions - Kitchen'!C94+'Starbucks BBC'!C94+'Moes BBC'!C94+'Grille Works BBC'!C94+'Subway BBC'!C94+'Market Pavillion'!C94+'Chic Fil A BBC'!C94+Panera!C94+'Heritage Market'!C94</f>
        <v>0</v>
      </c>
      <c r="D94" s="80">
        <f t="shared" si="30"/>
        <v>0</v>
      </c>
      <c r="E94" s="134">
        <f>'POD Breezeway'!E94+'Express GL'!E94+'Starbucks GL-SBX Truck'!E94+'Miro''s'!E94+'Faculty Club'!E94+'Almazar  &amp; Brand X'!E94+'Burger King'!E94+Bustelo!E94+Chilis!E94+Einstein!E94+Jamba!E94+'Pollo Tropical'!E94+'Subway GC'!E94+'Sushi Maki'!E94+Panda!E94+'Starbucks Mango'!E94+'Taco Bell'!E94+'Chick-fil-A'!E94+Dunkin!E94+Chipotle!E94+Sergios!E94+'Moes PG5'!E94+'Papa Johns'!E94+Salad!E94+'Half Moon &amp; Tropical Smoothie'!E94+'Athletic Concessions - Kitchen'!E94+'Starbucks BBC'!E94+'Moes BBC'!E94+'Grille Works BBC'!E94+'Subway BBC'!E94+'Market Pavillion'!E94+'Chic Fil A BBC'!E94+Panera!E94+'Heritage Market'!E94</f>
        <v>0</v>
      </c>
      <c r="F94" s="80">
        <f t="shared" si="31"/>
        <v>0</v>
      </c>
      <c r="G94" s="134">
        <f>'POD Breezeway'!G94+'Express GL'!G94+'Starbucks GL-SBX Truck'!G94+'Miro''s'!G94+'Faculty Club'!G94+'Almazar  &amp; Brand X'!G94+'Burger King'!G94+Bustelo!G94+Chilis!G94+Einstein!G94+Jamba!G94+'Pollo Tropical'!G94+'Subway GC'!G94+'Sushi Maki'!G94+Panda!G94+'Starbucks Mango'!G94+'Taco Bell'!G94+'Chick-fil-A'!G94+Dunkin!G94+Chipotle!G94+Sergios!G94+'Moes PG5'!G94+'Papa Johns'!G94+Salad!G94+'Half Moon &amp; Tropical Smoothie'!G94+'Athletic Concessions - Kitchen'!G94+'Starbucks BBC'!G94+'Moes BBC'!G94+'Grille Works BBC'!G94+'Subway BBC'!G94+'Market Pavillion'!G94+'Chic Fil A BBC'!G94+Panera!G94+'Heritage Market'!G94</f>
        <v>0</v>
      </c>
      <c r="H94" s="80">
        <f t="shared" si="32"/>
        <v>0</v>
      </c>
      <c r="I94" s="134">
        <f>'POD Breezeway'!I94+'Express GL'!I94+'Starbucks GL-SBX Truck'!I94+'Miro''s'!I94+'Faculty Club'!I94+'Almazar  &amp; Brand X'!I94+'Burger King'!I94+Bustelo!I94+Chilis!I94+Einstein!I94+Jamba!I94+'Pollo Tropical'!I94+'Subway GC'!I94+'Sushi Maki'!I94+Panda!I94+'Starbucks Mango'!I94+'Taco Bell'!I94+'Chick-fil-A'!I94+Dunkin!I94+Chipotle!I94+Sergios!I94+'Moes PG5'!I94+'Papa Johns'!I94+Salad!I94+'Half Moon &amp; Tropical Smoothie'!I94+'Athletic Concessions - Kitchen'!I94+'Starbucks BBC'!I94+'Moes BBC'!I94+'Grille Works BBC'!I94+'Subway BBC'!I94+'Market Pavillion'!I94+'Chic Fil A BBC'!I94+Panera!I94+'Heritage Market'!I94</f>
        <v>0</v>
      </c>
      <c r="J94" s="80">
        <f t="shared" si="33"/>
        <v>0</v>
      </c>
      <c r="K94" s="134">
        <f>'POD Breezeway'!K94+'Express GL'!K94+'Starbucks GL-SBX Truck'!K94+'Miro''s'!K94+'Faculty Club'!K94+'Almazar  &amp; Brand X'!K94+'Burger King'!K94+Bustelo!K94+Chilis!K94+Einstein!K94+Jamba!K94+'Pollo Tropical'!K94+'Subway GC'!K94+'Sushi Maki'!K94+Panda!K94+'Starbucks Mango'!K94+'Taco Bell'!K94+'Chick-fil-A'!K94+Dunkin!K94+Chipotle!K94+Sergios!K94+'Moes PG5'!K94+'Papa Johns'!K94+Salad!K94+'Half Moon &amp; Tropical Smoothie'!K94+'Athletic Concessions - Kitchen'!K94+'Starbucks BBC'!K94+'Moes BBC'!K94+'Grille Works BBC'!K94+'Subway BBC'!K94+'Market Pavillion'!K94+'Chic Fil A BBC'!K94+Panera!K94+'Heritage Market'!K94</f>
        <v>0</v>
      </c>
      <c r="L94" s="80">
        <f t="shared" si="34"/>
        <v>0</v>
      </c>
      <c r="M94" s="134">
        <f>'POD Breezeway'!M94+'Express GL'!M94+'Starbucks GL-SBX Truck'!M94+'Miro''s'!M94+'Faculty Club'!M94+'Almazar  &amp; Brand X'!M94+'Burger King'!M94+Bustelo!M94+Chilis!M94+Einstein!M94+Jamba!M94+'Pollo Tropical'!M94+'Subway GC'!M94+'Sushi Maki'!M94+Panda!M94+'Starbucks Mango'!M94+'Taco Bell'!M94+'Chick-fil-A'!M94+Dunkin!M94+Chipotle!M94+Sergios!M94+'Moes PG5'!M94+'Papa Johns'!M94+Salad!M94+'Half Moon &amp; Tropical Smoothie'!M94+'Athletic Concessions - Kitchen'!M94+'Starbucks BBC'!M94+'Moes BBC'!M94+'Grille Works BBC'!M94+'Subway BBC'!M94+'Market Pavillion'!M94+'Chic Fil A BBC'!M94+Panera!M94+'Heritage Market'!M94</f>
        <v>0</v>
      </c>
      <c r="N94" s="80">
        <f t="shared" si="35"/>
        <v>0</v>
      </c>
      <c r="O94" s="134">
        <f>'POD Breezeway'!O94+'Express GL'!O94+'Starbucks GL-SBX Truck'!O94+'Miro''s'!O94+'Faculty Club'!O94+'Almazar  &amp; Brand X'!O94+'Burger King'!O94+Bustelo!O94+Chilis!O94+Einstein!O94+Jamba!O94+'Pollo Tropical'!O94+'Subway GC'!O94+'Sushi Maki'!O94+Panda!O94+'Starbucks Mango'!O94+'Taco Bell'!O94+'Chick-fil-A'!O94+Dunkin!O94+Chipotle!O94+Sergios!O94+'Moes PG5'!O94+'Papa Johns'!O94+Salad!O94+'Half Moon &amp; Tropical Smoothie'!O94+'Athletic Concessions - Kitchen'!O94+'Starbucks BBC'!O94+'Moes BBC'!O94+'Grille Works BBC'!O94+'Subway BBC'!O94+'Market Pavillion'!O94+'Chic Fil A BBC'!O94+Panera!O94+'Heritage Market'!O94</f>
        <v>0</v>
      </c>
      <c r="P94" s="80">
        <f t="shared" si="36"/>
        <v>0</v>
      </c>
      <c r="Q94" s="134">
        <f>'POD Breezeway'!Q94+'Express GL'!Q94+'Starbucks GL-SBX Truck'!Q94+'Miro''s'!Q94+'Faculty Club'!Q94+'Almazar  &amp; Brand X'!Q94+'Burger King'!Q94+Bustelo!Q94+Chilis!Q94+Einstein!Q94+Jamba!Q94+'Pollo Tropical'!Q94+'Subway GC'!Q94+'Sushi Maki'!Q94+Panda!Q94+'Starbucks Mango'!Q94+'Taco Bell'!Q94+'Chick-fil-A'!Q94+Dunkin!Q94+Chipotle!Q94+Sergios!Q94+'Moes PG5'!Q94+'Papa Johns'!Q94+Salad!Q94+'Half Moon &amp; Tropical Smoothie'!Q94+'Athletic Concessions - Kitchen'!Q94+'Starbucks BBC'!Q94+'Moes BBC'!Q94+'Grille Works BBC'!Q94+'Subway BBC'!Q94+'Market Pavillion'!Q94+'Chic Fil A BBC'!Q94+Panera!Q94+'Heritage Market'!Q94</f>
        <v>0</v>
      </c>
      <c r="R94" s="80">
        <f t="shared" si="37"/>
        <v>0</v>
      </c>
      <c r="S94" s="134">
        <f>'POD Breezeway'!S94+'Express GL'!S94+'Starbucks GL-SBX Truck'!S94+'Miro''s'!S94+'Faculty Club'!S94+'Almazar  &amp; Brand X'!S94+'Burger King'!S94+Bustelo!S94+Chilis!S94+Einstein!S94+Jamba!S94+'Pollo Tropical'!S94+'Subway GC'!S94+'Sushi Maki'!S94+Panda!S94+'Starbucks Mango'!S94+'Taco Bell'!S94+'Chick-fil-A'!S94+Dunkin!S94+Chipotle!S94+Sergios!S94+'Moes PG5'!S94+'Papa Johns'!S94+Salad!S94+'Half Moon &amp; Tropical Smoothie'!S94+'Athletic Concessions - Kitchen'!S94+'Starbucks BBC'!S94+'Moes BBC'!S94+'Grille Works BBC'!S94+'Subway BBC'!S94+'Market Pavillion'!S94+'Chic Fil A BBC'!S94+Panera!S94+'Heritage Market'!S94</f>
        <v>0</v>
      </c>
      <c r="T94" s="80">
        <f t="shared" si="38"/>
        <v>0</v>
      </c>
      <c r="U94" s="134">
        <f>'POD Breezeway'!U94+'Express GL'!U94+'Starbucks GL-SBX Truck'!U94+'Miro''s'!U94+'Faculty Club'!U94+'Almazar  &amp; Brand X'!U94+'Burger King'!U94+Bustelo!U94+Chilis!U94+Einstein!U94+Jamba!U94+'Pollo Tropical'!U94+'Subway GC'!U94+'Sushi Maki'!U94+Panda!U94+'Starbucks Mango'!U94+'Taco Bell'!U94+'Chick-fil-A'!U94+Dunkin!U94+Chipotle!U94+Sergios!U94+'Moes PG5'!U94+'Papa Johns'!U94+Salad!U94+'Half Moon &amp; Tropical Smoothie'!U94+'Athletic Concessions - Kitchen'!U94+'Starbucks BBC'!U94+'Moes BBC'!U94+'Grille Works BBC'!U94+'Subway BBC'!U94+'Market Pavillion'!U94+'Chic Fil A BBC'!U94+Panera!U94+'Heritage Market'!U94</f>
        <v>0</v>
      </c>
      <c r="V94" s="80">
        <f t="shared" si="29"/>
        <v>0</v>
      </c>
    </row>
    <row r="95" spans="1:22" ht="12.75" customHeight="1">
      <c r="A95" s="2" t="s">
        <v>426</v>
      </c>
      <c r="B95" s="35"/>
      <c r="C95" s="134">
        <f>'POD Breezeway'!C95+'Express GL'!C95+'Starbucks GL-SBX Truck'!C95+'Miro''s'!C95+'Faculty Club'!C95+'Almazar  &amp; Brand X'!C95+'Burger King'!C95+Bustelo!C95+Chilis!C95+Einstein!C95+Jamba!C95+'Pollo Tropical'!C95+'Subway GC'!C95+'Sushi Maki'!C95+Panda!C95+'Starbucks Mango'!C95+'Taco Bell'!C95+'Chick-fil-A'!C95+Dunkin!C95+Chipotle!C95+Sergios!C95+'Moes PG5'!C95+'Papa Johns'!C95+Salad!C95+'Half Moon &amp; Tropical Smoothie'!C95+'Athletic Concessions - Kitchen'!C95+'Starbucks BBC'!C95+'Moes BBC'!C95+'Grille Works BBC'!C95+'Subway BBC'!C95+'Market Pavillion'!C95+'Chic Fil A BBC'!C95+Panera!C95+'Heritage Market'!C95</f>
        <v>0</v>
      </c>
      <c r="D95" s="80">
        <f t="shared" si="30"/>
        <v>0</v>
      </c>
      <c r="E95" s="134">
        <f>'POD Breezeway'!E95+'Express GL'!E95+'Starbucks GL-SBX Truck'!E95+'Miro''s'!E95+'Faculty Club'!E95+'Almazar  &amp; Brand X'!E95+'Burger King'!E95+Bustelo!E95+Chilis!E95+Einstein!E95+Jamba!E95+'Pollo Tropical'!E95+'Subway GC'!E95+'Sushi Maki'!E95+Panda!E95+'Starbucks Mango'!E95+'Taco Bell'!E95+'Chick-fil-A'!E95+Dunkin!E95+Chipotle!E95+Sergios!E95+'Moes PG5'!E95+'Papa Johns'!E95+Salad!E95+'Half Moon &amp; Tropical Smoothie'!E95+'Athletic Concessions - Kitchen'!E95+'Starbucks BBC'!E95+'Moes BBC'!E95+'Grille Works BBC'!E95+'Subway BBC'!E95+'Market Pavillion'!E95+'Chic Fil A BBC'!E95+Panera!E95+'Heritage Market'!E95</f>
        <v>0</v>
      </c>
      <c r="F95" s="80">
        <f t="shared" si="31"/>
        <v>0</v>
      </c>
      <c r="G95" s="134">
        <f>'POD Breezeway'!G95+'Express GL'!G95+'Starbucks GL-SBX Truck'!G95+'Miro''s'!G95+'Faculty Club'!G95+'Almazar  &amp; Brand X'!G95+'Burger King'!G95+Bustelo!G95+Chilis!G95+Einstein!G95+Jamba!G95+'Pollo Tropical'!G95+'Subway GC'!G95+'Sushi Maki'!G95+Panda!G95+'Starbucks Mango'!G95+'Taco Bell'!G95+'Chick-fil-A'!G95+Dunkin!G95+Chipotle!G95+Sergios!G95+'Moes PG5'!G95+'Papa Johns'!G95+Salad!G95+'Half Moon &amp; Tropical Smoothie'!G95+'Athletic Concessions - Kitchen'!G95+'Starbucks BBC'!G95+'Moes BBC'!G95+'Grille Works BBC'!G95+'Subway BBC'!G95+'Market Pavillion'!G95+'Chic Fil A BBC'!G95+Panera!G95+'Heritage Market'!G95</f>
        <v>0</v>
      </c>
      <c r="H95" s="80">
        <f t="shared" si="32"/>
        <v>0</v>
      </c>
      <c r="I95" s="134">
        <f>'POD Breezeway'!I95+'Express GL'!I95+'Starbucks GL-SBX Truck'!I95+'Miro''s'!I95+'Faculty Club'!I95+'Almazar  &amp; Brand X'!I95+'Burger King'!I95+Bustelo!I95+Chilis!I95+Einstein!I95+Jamba!I95+'Pollo Tropical'!I95+'Subway GC'!I95+'Sushi Maki'!I95+Panda!I95+'Starbucks Mango'!I95+'Taco Bell'!I95+'Chick-fil-A'!I95+Dunkin!I95+Chipotle!I95+Sergios!I95+'Moes PG5'!I95+'Papa Johns'!I95+Salad!I95+'Half Moon &amp; Tropical Smoothie'!I95+'Athletic Concessions - Kitchen'!I95+'Starbucks BBC'!I95+'Moes BBC'!I95+'Grille Works BBC'!I95+'Subway BBC'!I95+'Market Pavillion'!I95+'Chic Fil A BBC'!I95+Panera!I95+'Heritage Market'!I95</f>
        <v>0</v>
      </c>
      <c r="J95" s="80">
        <f t="shared" si="33"/>
        <v>0</v>
      </c>
      <c r="K95" s="134">
        <f>'POD Breezeway'!K95+'Express GL'!K95+'Starbucks GL-SBX Truck'!K95+'Miro''s'!K95+'Faculty Club'!K95+'Almazar  &amp; Brand X'!K95+'Burger King'!K95+Bustelo!K95+Chilis!K95+Einstein!K95+Jamba!K95+'Pollo Tropical'!K95+'Subway GC'!K95+'Sushi Maki'!K95+Panda!K95+'Starbucks Mango'!K95+'Taco Bell'!K95+'Chick-fil-A'!K95+Dunkin!K95+Chipotle!K95+Sergios!K95+'Moes PG5'!K95+'Papa Johns'!K95+Salad!K95+'Half Moon &amp; Tropical Smoothie'!K95+'Athletic Concessions - Kitchen'!K95+'Starbucks BBC'!K95+'Moes BBC'!K95+'Grille Works BBC'!K95+'Subway BBC'!K95+'Market Pavillion'!K95+'Chic Fil A BBC'!K95+Panera!K95+'Heritage Market'!K95</f>
        <v>0</v>
      </c>
      <c r="L95" s="80">
        <f t="shared" si="34"/>
        <v>0</v>
      </c>
      <c r="M95" s="134">
        <f>'POD Breezeway'!M95+'Express GL'!M95+'Starbucks GL-SBX Truck'!M95+'Miro''s'!M95+'Faculty Club'!M95+'Almazar  &amp; Brand X'!M95+'Burger King'!M95+Bustelo!M95+Chilis!M95+Einstein!M95+Jamba!M95+'Pollo Tropical'!M95+'Subway GC'!M95+'Sushi Maki'!M95+Panda!M95+'Starbucks Mango'!M95+'Taco Bell'!M95+'Chick-fil-A'!M95+Dunkin!M95+Chipotle!M95+Sergios!M95+'Moes PG5'!M95+'Papa Johns'!M95+Salad!M95+'Half Moon &amp; Tropical Smoothie'!M95+'Athletic Concessions - Kitchen'!M95+'Starbucks BBC'!M95+'Moes BBC'!M95+'Grille Works BBC'!M95+'Subway BBC'!M95+'Market Pavillion'!M95+'Chic Fil A BBC'!M95+Panera!M95+'Heritage Market'!M95</f>
        <v>0</v>
      </c>
      <c r="N95" s="80">
        <f t="shared" si="35"/>
        <v>0</v>
      </c>
      <c r="O95" s="134">
        <f>'POD Breezeway'!O95+'Express GL'!O95+'Starbucks GL-SBX Truck'!O95+'Miro''s'!O95+'Faculty Club'!O95+'Almazar  &amp; Brand X'!O95+'Burger King'!O95+Bustelo!O95+Chilis!O95+Einstein!O95+Jamba!O95+'Pollo Tropical'!O95+'Subway GC'!O95+'Sushi Maki'!O95+Panda!O95+'Starbucks Mango'!O95+'Taco Bell'!O95+'Chick-fil-A'!O95+Dunkin!O95+Chipotle!O95+Sergios!O95+'Moes PG5'!O95+'Papa Johns'!O95+Salad!O95+'Half Moon &amp; Tropical Smoothie'!O95+'Athletic Concessions - Kitchen'!O95+'Starbucks BBC'!O95+'Moes BBC'!O95+'Grille Works BBC'!O95+'Subway BBC'!O95+'Market Pavillion'!O95+'Chic Fil A BBC'!O95+Panera!O95+'Heritage Market'!O95</f>
        <v>0</v>
      </c>
      <c r="P95" s="80">
        <f t="shared" si="36"/>
        <v>0</v>
      </c>
      <c r="Q95" s="134">
        <f>'POD Breezeway'!Q95+'Express GL'!Q95+'Starbucks GL-SBX Truck'!Q95+'Miro''s'!Q95+'Faculty Club'!Q95+'Almazar  &amp; Brand X'!Q95+'Burger King'!Q95+Bustelo!Q95+Chilis!Q95+Einstein!Q95+Jamba!Q95+'Pollo Tropical'!Q95+'Subway GC'!Q95+'Sushi Maki'!Q95+Panda!Q95+'Starbucks Mango'!Q95+'Taco Bell'!Q95+'Chick-fil-A'!Q95+Dunkin!Q95+Chipotle!Q95+Sergios!Q95+'Moes PG5'!Q95+'Papa Johns'!Q95+Salad!Q95+'Half Moon &amp; Tropical Smoothie'!Q95+'Athletic Concessions - Kitchen'!Q95+'Starbucks BBC'!Q95+'Moes BBC'!Q95+'Grille Works BBC'!Q95+'Subway BBC'!Q95+'Market Pavillion'!Q95+'Chic Fil A BBC'!Q95+Panera!Q95+'Heritage Market'!Q95</f>
        <v>0</v>
      </c>
      <c r="R95" s="80">
        <f t="shared" si="37"/>
        <v>0</v>
      </c>
      <c r="S95" s="134">
        <f>'POD Breezeway'!S95+'Express GL'!S95+'Starbucks GL-SBX Truck'!S95+'Miro''s'!S95+'Faculty Club'!S95+'Almazar  &amp; Brand X'!S95+'Burger King'!S95+Bustelo!S95+Chilis!S95+Einstein!S95+Jamba!S95+'Pollo Tropical'!S95+'Subway GC'!S95+'Sushi Maki'!S95+Panda!S95+'Starbucks Mango'!S95+'Taco Bell'!S95+'Chick-fil-A'!S95+Dunkin!S95+Chipotle!S95+Sergios!S95+'Moes PG5'!S95+'Papa Johns'!S95+Salad!S95+'Half Moon &amp; Tropical Smoothie'!S95+'Athletic Concessions - Kitchen'!S95+'Starbucks BBC'!S95+'Moes BBC'!S95+'Grille Works BBC'!S95+'Subway BBC'!S95+'Market Pavillion'!S95+'Chic Fil A BBC'!S95+Panera!S95+'Heritage Market'!S95</f>
        <v>0</v>
      </c>
      <c r="T95" s="80">
        <f t="shared" si="38"/>
        <v>0</v>
      </c>
      <c r="U95" s="134">
        <f>'POD Breezeway'!U95+'Express GL'!U95+'Starbucks GL-SBX Truck'!U95+'Miro''s'!U95+'Faculty Club'!U95+'Almazar  &amp; Brand X'!U95+'Burger King'!U95+Bustelo!U95+Chilis!U95+Einstein!U95+Jamba!U95+'Pollo Tropical'!U95+'Subway GC'!U95+'Sushi Maki'!U95+Panda!U95+'Starbucks Mango'!U95+'Taco Bell'!U95+'Chick-fil-A'!U95+Dunkin!U95+Chipotle!U95+Sergios!U95+'Moes PG5'!U95+'Papa Johns'!U95+Salad!U95+'Half Moon &amp; Tropical Smoothie'!U95+'Athletic Concessions - Kitchen'!U95+'Starbucks BBC'!U95+'Moes BBC'!U95+'Grille Works BBC'!U95+'Subway BBC'!U95+'Market Pavillion'!U95+'Chic Fil A BBC'!U95+Panera!U95+'Heritage Market'!U95</f>
        <v>0</v>
      </c>
      <c r="V95" s="80">
        <f t="shared" si="29"/>
        <v>0</v>
      </c>
    </row>
    <row r="96" spans="1:22" ht="12.75" customHeight="1">
      <c r="A96" s="2" t="s">
        <v>427</v>
      </c>
      <c r="B96" s="35"/>
      <c r="C96" s="134">
        <f>'POD Breezeway'!C96+'Express GL'!C96+'Starbucks GL-SBX Truck'!C96+'Miro''s'!C96+'Faculty Club'!C96+'Almazar  &amp; Brand X'!C96+'Burger King'!C96+Bustelo!C96+Chilis!C96+Einstein!C96+Jamba!C96+'Pollo Tropical'!C96+'Subway GC'!C96+'Sushi Maki'!C96+Panda!C96+'Starbucks Mango'!C96+'Taco Bell'!C96+'Chick-fil-A'!C96+Dunkin!C96+Chipotle!C96+Sergios!C96+'Moes PG5'!C96+'Papa Johns'!C96+Salad!C96+'Half Moon &amp; Tropical Smoothie'!C96+'Athletic Concessions - Kitchen'!C96+'Starbucks BBC'!C96+'Moes BBC'!C96+'Grille Works BBC'!C96+'Subway BBC'!C96+'Market Pavillion'!C96+'Chic Fil A BBC'!C96+Panera!C96+'Heritage Market'!C96</f>
        <v>0</v>
      </c>
      <c r="D96" s="80">
        <f t="shared" si="30"/>
        <v>0</v>
      </c>
      <c r="E96" s="134">
        <f>'POD Breezeway'!E96+'Express GL'!E96+'Starbucks GL-SBX Truck'!E96+'Miro''s'!E96+'Faculty Club'!E96+'Almazar  &amp; Brand X'!E96+'Burger King'!E96+Bustelo!E96+Chilis!E96+Einstein!E96+Jamba!E96+'Pollo Tropical'!E96+'Subway GC'!E96+'Sushi Maki'!E96+Panda!E96+'Starbucks Mango'!E96+'Taco Bell'!E96+'Chick-fil-A'!E96+Dunkin!E96+Chipotle!E96+Sergios!E96+'Moes PG5'!E96+'Papa Johns'!E96+Salad!E96+'Half Moon &amp; Tropical Smoothie'!E96+'Athletic Concessions - Kitchen'!E96+'Starbucks BBC'!E96+'Moes BBC'!E96+'Grille Works BBC'!E96+'Subway BBC'!E96+'Market Pavillion'!E96+'Chic Fil A BBC'!E96+Panera!E96+'Heritage Market'!E96</f>
        <v>0</v>
      </c>
      <c r="F96" s="80">
        <f t="shared" si="31"/>
        <v>0</v>
      </c>
      <c r="G96" s="134">
        <f>'POD Breezeway'!G96+'Express GL'!G96+'Starbucks GL-SBX Truck'!G96+'Miro''s'!G96+'Faculty Club'!G96+'Almazar  &amp; Brand X'!G96+'Burger King'!G96+Bustelo!G96+Chilis!G96+Einstein!G96+Jamba!G96+'Pollo Tropical'!G96+'Subway GC'!G96+'Sushi Maki'!G96+Panda!G96+'Starbucks Mango'!G96+'Taco Bell'!G96+'Chick-fil-A'!G96+Dunkin!G96+Chipotle!G96+Sergios!G96+'Moes PG5'!G96+'Papa Johns'!G96+Salad!G96+'Half Moon &amp; Tropical Smoothie'!G96+'Athletic Concessions - Kitchen'!G96+'Starbucks BBC'!G96+'Moes BBC'!G96+'Grille Works BBC'!G96+'Subway BBC'!G96+'Market Pavillion'!G96+'Chic Fil A BBC'!G96+Panera!G96+'Heritage Market'!G96</f>
        <v>0</v>
      </c>
      <c r="H96" s="80">
        <f t="shared" si="32"/>
        <v>0</v>
      </c>
      <c r="I96" s="134">
        <f>'POD Breezeway'!I96+'Express GL'!I96+'Starbucks GL-SBX Truck'!I96+'Miro''s'!I96+'Faculty Club'!I96+'Almazar  &amp; Brand X'!I96+'Burger King'!I96+Bustelo!I96+Chilis!I96+Einstein!I96+Jamba!I96+'Pollo Tropical'!I96+'Subway GC'!I96+'Sushi Maki'!I96+Panda!I96+'Starbucks Mango'!I96+'Taco Bell'!I96+'Chick-fil-A'!I96+Dunkin!I96+Chipotle!I96+Sergios!I96+'Moes PG5'!I96+'Papa Johns'!I96+Salad!I96+'Half Moon &amp; Tropical Smoothie'!I96+'Athletic Concessions - Kitchen'!I96+'Starbucks BBC'!I96+'Moes BBC'!I96+'Grille Works BBC'!I96+'Subway BBC'!I96+'Market Pavillion'!I96+'Chic Fil A BBC'!I96+Panera!I96+'Heritage Market'!I96</f>
        <v>0</v>
      </c>
      <c r="J96" s="80">
        <f t="shared" si="33"/>
        <v>0</v>
      </c>
      <c r="K96" s="134">
        <f>'POD Breezeway'!K96+'Express GL'!K96+'Starbucks GL-SBX Truck'!K96+'Miro''s'!K96+'Faculty Club'!K96+'Almazar  &amp; Brand X'!K96+'Burger King'!K96+Bustelo!K96+Chilis!K96+Einstein!K96+Jamba!K96+'Pollo Tropical'!K96+'Subway GC'!K96+'Sushi Maki'!K96+Panda!K96+'Starbucks Mango'!K96+'Taco Bell'!K96+'Chick-fil-A'!K96+Dunkin!K96+Chipotle!K96+Sergios!K96+'Moes PG5'!K96+'Papa Johns'!K96+Salad!K96+'Half Moon &amp; Tropical Smoothie'!K96+'Athletic Concessions - Kitchen'!K96+'Starbucks BBC'!K96+'Moes BBC'!K96+'Grille Works BBC'!K96+'Subway BBC'!K96+'Market Pavillion'!K96+'Chic Fil A BBC'!K96+Panera!K96+'Heritage Market'!K96</f>
        <v>0</v>
      </c>
      <c r="L96" s="80">
        <f t="shared" si="34"/>
        <v>0</v>
      </c>
      <c r="M96" s="134">
        <f>'POD Breezeway'!M96+'Express GL'!M96+'Starbucks GL-SBX Truck'!M96+'Miro''s'!M96+'Faculty Club'!M96+'Almazar  &amp; Brand X'!M96+'Burger King'!M96+Bustelo!M96+Chilis!M96+Einstein!M96+Jamba!M96+'Pollo Tropical'!M96+'Subway GC'!M96+'Sushi Maki'!M96+Panda!M96+'Starbucks Mango'!M96+'Taco Bell'!M96+'Chick-fil-A'!M96+Dunkin!M96+Chipotle!M96+Sergios!M96+'Moes PG5'!M96+'Papa Johns'!M96+Salad!M96+'Half Moon &amp; Tropical Smoothie'!M96+'Athletic Concessions - Kitchen'!M96+'Starbucks BBC'!M96+'Moes BBC'!M96+'Grille Works BBC'!M96+'Subway BBC'!M96+'Market Pavillion'!M96+'Chic Fil A BBC'!M96+Panera!M96+'Heritage Market'!M96</f>
        <v>0</v>
      </c>
      <c r="N96" s="80">
        <f t="shared" si="35"/>
        <v>0</v>
      </c>
      <c r="O96" s="134">
        <f>'POD Breezeway'!O96+'Express GL'!O96+'Starbucks GL-SBX Truck'!O96+'Miro''s'!O96+'Faculty Club'!O96+'Almazar  &amp; Brand X'!O96+'Burger King'!O96+Bustelo!O96+Chilis!O96+Einstein!O96+Jamba!O96+'Pollo Tropical'!O96+'Subway GC'!O96+'Sushi Maki'!O96+Panda!O96+'Starbucks Mango'!O96+'Taco Bell'!O96+'Chick-fil-A'!O96+Dunkin!O96+Chipotle!O96+Sergios!O96+'Moes PG5'!O96+'Papa Johns'!O96+Salad!O96+'Half Moon &amp; Tropical Smoothie'!O96+'Athletic Concessions - Kitchen'!O96+'Starbucks BBC'!O96+'Moes BBC'!O96+'Grille Works BBC'!O96+'Subway BBC'!O96+'Market Pavillion'!O96+'Chic Fil A BBC'!O96+Panera!O96+'Heritage Market'!O96</f>
        <v>0</v>
      </c>
      <c r="P96" s="80">
        <f t="shared" si="36"/>
        <v>0</v>
      </c>
      <c r="Q96" s="134">
        <f>'POD Breezeway'!Q96+'Express GL'!Q96+'Starbucks GL-SBX Truck'!Q96+'Miro''s'!Q96+'Faculty Club'!Q96+'Almazar  &amp; Brand X'!Q96+'Burger King'!Q96+Bustelo!Q96+Chilis!Q96+Einstein!Q96+Jamba!Q96+'Pollo Tropical'!Q96+'Subway GC'!Q96+'Sushi Maki'!Q96+Panda!Q96+'Starbucks Mango'!Q96+'Taco Bell'!Q96+'Chick-fil-A'!Q96+Dunkin!Q96+Chipotle!Q96+Sergios!Q96+'Moes PG5'!Q96+'Papa Johns'!Q96+Salad!Q96+'Half Moon &amp; Tropical Smoothie'!Q96+'Athletic Concessions - Kitchen'!Q96+'Starbucks BBC'!Q96+'Moes BBC'!Q96+'Grille Works BBC'!Q96+'Subway BBC'!Q96+'Market Pavillion'!Q96+'Chic Fil A BBC'!Q96+Panera!Q96+'Heritage Market'!Q96</f>
        <v>0</v>
      </c>
      <c r="R96" s="80">
        <f t="shared" si="37"/>
        <v>0</v>
      </c>
      <c r="S96" s="134">
        <f>'POD Breezeway'!S96+'Express GL'!S96+'Starbucks GL-SBX Truck'!S96+'Miro''s'!S96+'Faculty Club'!S96+'Almazar  &amp; Brand X'!S96+'Burger King'!S96+Bustelo!S96+Chilis!S96+Einstein!S96+Jamba!S96+'Pollo Tropical'!S96+'Subway GC'!S96+'Sushi Maki'!S96+Panda!S96+'Starbucks Mango'!S96+'Taco Bell'!S96+'Chick-fil-A'!S96+Dunkin!S96+Chipotle!S96+Sergios!S96+'Moes PG5'!S96+'Papa Johns'!S96+Salad!S96+'Half Moon &amp; Tropical Smoothie'!S96+'Athletic Concessions - Kitchen'!S96+'Starbucks BBC'!S96+'Moes BBC'!S96+'Grille Works BBC'!S96+'Subway BBC'!S96+'Market Pavillion'!S96+'Chic Fil A BBC'!S96+Panera!S96+'Heritage Market'!S96</f>
        <v>0</v>
      </c>
      <c r="T96" s="80">
        <f t="shared" si="38"/>
        <v>0</v>
      </c>
      <c r="U96" s="134">
        <f>'POD Breezeway'!U96+'Express GL'!U96+'Starbucks GL-SBX Truck'!U96+'Miro''s'!U96+'Faculty Club'!U96+'Almazar  &amp; Brand X'!U96+'Burger King'!U96+Bustelo!U96+Chilis!U96+Einstein!U96+Jamba!U96+'Pollo Tropical'!U96+'Subway GC'!U96+'Sushi Maki'!U96+Panda!U96+'Starbucks Mango'!U96+'Taco Bell'!U96+'Chick-fil-A'!U96+Dunkin!U96+Chipotle!U96+Sergios!U96+'Moes PG5'!U96+'Papa Johns'!U96+Salad!U96+'Half Moon &amp; Tropical Smoothie'!U96+'Athletic Concessions - Kitchen'!U96+'Starbucks BBC'!U96+'Moes BBC'!U96+'Grille Works BBC'!U96+'Subway BBC'!U96+'Market Pavillion'!U96+'Chic Fil A BBC'!U96+Panera!U96+'Heritage Market'!U96</f>
        <v>0</v>
      </c>
      <c r="V96" s="80">
        <f t="shared" si="29"/>
        <v>0</v>
      </c>
    </row>
    <row r="97" spans="1:22" ht="12.75" customHeight="1">
      <c r="A97" s="2" t="s">
        <v>428</v>
      </c>
      <c r="B97" s="35"/>
      <c r="C97" s="134">
        <f>'POD Breezeway'!C97+'Express GL'!C97+'Starbucks GL-SBX Truck'!C97+'Miro''s'!C97+'Faculty Club'!C97+'Almazar  &amp; Brand X'!C97+'Burger King'!C97+Bustelo!C97+Chilis!C97+Einstein!C97+Jamba!C97+'Pollo Tropical'!C97+'Subway GC'!C97+'Sushi Maki'!C97+Panda!C97+'Starbucks Mango'!C97+'Taco Bell'!C97+'Chick-fil-A'!C97+Dunkin!C97+Chipotle!C97+Sergios!C97+'Moes PG5'!C97+'Papa Johns'!C97+Salad!C97+'Half Moon &amp; Tropical Smoothie'!C97+'Athletic Concessions - Kitchen'!C97+'Starbucks BBC'!C97+'Moes BBC'!C97+'Grille Works BBC'!C97+'Subway BBC'!C97+'Market Pavillion'!C97+'Chic Fil A BBC'!C97+Panera!C97+'Heritage Market'!C97</f>
        <v>193703.03469999999</v>
      </c>
      <c r="D97" s="80">
        <f t="shared" si="30"/>
        <v>1.2186566817806544E-2</v>
      </c>
      <c r="E97" s="134">
        <f>'POD Breezeway'!E97+'Express GL'!E97+'Starbucks GL-SBX Truck'!E97+'Miro''s'!E97+'Faculty Club'!E97+'Almazar  &amp; Brand X'!E97+'Burger King'!E97+Bustelo!E97+Chilis!E97+Einstein!E97+Jamba!E97+'Pollo Tropical'!E97+'Subway GC'!E97+'Sushi Maki'!E97+Panda!E97+'Starbucks Mango'!E97+'Taco Bell'!E97+'Chick-fil-A'!E97+Dunkin!E97+Chipotle!E97+Sergios!E97+'Moes PG5'!E97+'Papa Johns'!E97+Salad!E97+'Half Moon &amp; Tropical Smoothie'!E97+'Athletic Concessions - Kitchen'!E97+'Starbucks BBC'!E97+'Moes BBC'!E97+'Grille Works BBC'!E97+'Subway BBC'!E97+'Market Pavillion'!E97+'Chic Fil A BBC'!E97+Panera!E97+'Heritage Market'!E97</f>
        <v>215233.51119264285</v>
      </c>
      <c r="F97" s="80">
        <f t="shared" si="31"/>
        <v>1.2422043107511445E-2</v>
      </c>
      <c r="G97" s="134">
        <f>'POD Breezeway'!G97+'Express GL'!G97+'Starbucks GL-SBX Truck'!G97+'Miro''s'!G97+'Faculty Club'!G97+'Almazar  &amp; Brand X'!G97+'Burger King'!G97+Bustelo!G97+Chilis!G97+Einstein!G97+Jamba!G97+'Pollo Tropical'!G97+'Subway GC'!G97+'Sushi Maki'!G97+Panda!G97+'Starbucks Mango'!G97+'Taco Bell'!G97+'Chick-fil-A'!G97+Dunkin!G97+Chipotle!G97+Sergios!G97+'Moes PG5'!G97+'Papa Johns'!G97+Salad!G97+'Half Moon &amp; Tropical Smoothie'!G97+'Athletic Concessions - Kitchen'!G97+'Starbucks BBC'!G97+'Moes BBC'!G97+'Grille Works BBC'!G97+'Subway BBC'!G97+'Market Pavillion'!G97+'Chic Fil A BBC'!G97+Panera!G97+'Heritage Market'!G97</f>
        <v>241996.68473082312</v>
      </c>
      <c r="H97" s="80">
        <f t="shared" si="32"/>
        <v>1.2656280386580352E-2</v>
      </c>
      <c r="I97" s="134">
        <f>'POD Breezeway'!I97+'Express GL'!I97+'Starbucks GL-SBX Truck'!I97+'Miro''s'!I97+'Faculty Club'!I97+'Almazar  &amp; Brand X'!I97+'Burger King'!I97+Bustelo!I97+Chilis!I97+Einstein!I97+Jamba!I97+'Pollo Tropical'!I97+'Subway GC'!I97+'Sushi Maki'!I97+Panda!I97+'Starbucks Mango'!I97+'Taco Bell'!I97+'Chick-fil-A'!I97+Dunkin!I97+Chipotle!I97+Sergios!I97+'Moes PG5'!I97+'Papa Johns'!I97+Salad!I97+'Half Moon &amp; Tropical Smoothie'!I97+'Athletic Concessions - Kitchen'!I97+'Starbucks BBC'!I97+'Moes BBC'!I97+'Grille Works BBC'!I97+'Subway BBC'!I97+'Market Pavillion'!I97+'Chic Fil A BBC'!I97+Panera!I97+'Heritage Market'!I97</f>
        <v>249517.0716541431</v>
      </c>
      <c r="J97" s="80">
        <f t="shared" si="33"/>
        <v>1.2787761146156729E-2</v>
      </c>
      <c r="K97" s="134">
        <f>'POD Breezeway'!K97+'Express GL'!K97+'Starbucks GL-SBX Truck'!K97+'Miro''s'!K97+'Faculty Club'!K97+'Almazar  &amp; Brand X'!K97+'Burger King'!K97+Bustelo!K97+Chilis!K97+Einstein!K97+Jamba!K97+'Pollo Tropical'!K97+'Subway GC'!K97+'Sushi Maki'!K97+Panda!K97+'Starbucks Mango'!K97+'Taco Bell'!K97+'Chick-fil-A'!K97+Dunkin!K97+Chipotle!K97+Sergios!K97+'Moes PG5'!K97+'Papa Johns'!K97+Salad!K97+'Half Moon &amp; Tropical Smoothie'!K97+'Athletic Concessions - Kitchen'!K97+'Starbucks BBC'!K97+'Moes BBC'!K97+'Grille Works BBC'!K97+'Subway BBC'!K97+'Market Pavillion'!K97+'Chic Fil A BBC'!K97+Panera!K97+'Heritage Market'!K97</f>
        <v>255731.24127809203</v>
      </c>
      <c r="L97" s="80">
        <f t="shared" si="34"/>
        <v>1.287360720495832E-2</v>
      </c>
      <c r="M97" s="134">
        <f>'POD Breezeway'!M97+'Express GL'!M97+'Starbucks GL-SBX Truck'!M97+'Miro''s'!M97+'Faculty Club'!M97+'Almazar  &amp; Brand X'!M97+'Burger King'!M97+Bustelo!M97+Chilis!M97+Einstein!M97+Jamba!M97+'Pollo Tropical'!M97+'Subway GC'!M97+'Sushi Maki'!M97+Panda!M97+'Starbucks Mango'!M97+'Taco Bell'!M97+'Chick-fil-A'!M97+Dunkin!M97+Chipotle!M97+Sergios!M97+'Moes PG5'!M97+'Papa Johns'!M97+Salad!M97+'Half Moon &amp; Tropical Smoothie'!M97+'Athletic Concessions - Kitchen'!M97+'Starbucks BBC'!M97+'Moes BBC'!M97+'Grille Works BBC'!M97+'Subway BBC'!M97+'Market Pavillion'!M97+'Chic Fil A BBC'!M97+Panera!M97+'Heritage Market'!M97</f>
        <v>262100.28999929156</v>
      </c>
      <c r="N97" s="80">
        <f t="shared" si="35"/>
        <v>1.2959840599265967E-2</v>
      </c>
      <c r="O97" s="134">
        <f>'POD Breezeway'!O97+'Express GL'!O97+'Starbucks GL-SBX Truck'!O97+'Miro''s'!O97+'Faculty Club'!O97+'Almazar  &amp; Brand X'!O97+'Burger King'!O97+Bustelo!O97+Chilis!O97+Einstein!O97+Jamba!O97+'Pollo Tropical'!O97+'Subway GC'!O97+'Sushi Maki'!O97+Panda!O97+'Starbucks Mango'!O97+'Taco Bell'!O97+'Chick-fil-A'!O97+Dunkin!O97+Chipotle!O97+Sergios!O97+'Moes PG5'!O97+'Papa Johns'!O97+Salad!O97+'Half Moon &amp; Tropical Smoothie'!O97+'Athletic Concessions - Kitchen'!O97+'Starbucks BBC'!O97+'Moes BBC'!O97+'Grille Works BBC'!O97+'Subway BBC'!O97+'Market Pavillion'!O97+'Chic Fil A BBC'!O97+Panera!O97+'Heritage Market'!O97</f>
        <v>268628.08029230597</v>
      </c>
      <c r="P97" s="80">
        <f t="shared" si="36"/>
        <v>1.3046462564503777E-2</v>
      </c>
      <c r="Q97" s="134">
        <f>'POD Breezeway'!Q97+'Express GL'!Q97+'Starbucks GL-SBX Truck'!Q97+'Miro''s'!Q97+'Faculty Club'!Q97+'Almazar  &amp; Brand X'!Q97+'Burger King'!Q97+Bustelo!Q97+Chilis!Q97+Einstein!Q97+Jamba!Q97+'Pollo Tropical'!Q97+'Subway GC'!Q97+'Sushi Maki'!Q97+Panda!Q97+'Starbucks Mango'!Q97+'Taco Bell'!Q97+'Chick-fil-A'!Q97+Dunkin!Q97+Chipotle!Q97+Sergios!Q97+'Moes PG5'!Q97+'Papa Johns'!Q97+Salad!Q97+'Half Moon &amp; Tropical Smoothie'!Q97+'Athletic Concessions - Kitchen'!Q97+'Starbucks BBC'!Q97+'Moes BBC'!Q97+'Grille Works BBC'!Q97+'Subway BBC'!Q97+'Market Pavillion'!Q97+'Chic Fil A BBC'!Q97+Panera!Q97+'Heritage Market'!Q97</f>
        <v>275318.57100350643</v>
      </c>
      <c r="R97" s="80">
        <f t="shared" si="37"/>
        <v>1.3133474349281419E-2</v>
      </c>
      <c r="S97" s="134">
        <f>'POD Breezeway'!S97+'Express GL'!S97+'Starbucks GL-SBX Truck'!S97+'Miro''s'!S97+'Faculty Club'!S97+'Almazar  &amp; Brand X'!S97+'Burger King'!S97+Bustelo!S97+Chilis!S97+Einstein!S97+Jamba!S97+'Pollo Tropical'!S97+'Subway GC'!S97+'Sushi Maki'!S97+Panda!S97+'Starbucks Mango'!S97+'Taco Bell'!S97+'Chick-fil-A'!S97+Dunkin!S97+Chipotle!S97+Sergios!S97+'Moes PG5'!S97+'Papa Johns'!S97+Salad!S97+'Half Moon &amp; Tropical Smoothie'!S97+'Athletic Concessions - Kitchen'!S97+'Starbucks BBC'!S97+'Moes BBC'!S97+'Grille Works BBC'!S97+'Subway BBC'!S97+'Market Pavillion'!S97+'Chic Fil A BBC'!S97+Panera!S97+'Heritage Market'!S97</f>
        <v>282175.81975656486</v>
      </c>
      <c r="T97" s="80">
        <f t="shared" si="38"/>
        <v>1.3220877215484249E-2</v>
      </c>
      <c r="U97" s="134">
        <f>'POD Breezeway'!U97+'Express GL'!U97+'Starbucks GL-SBX Truck'!U97+'Miro''s'!U97+'Faculty Club'!U97+'Almazar  &amp; Brand X'!U97+'Burger King'!U97+Bustelo!U97+Chilis!U97+Einstein!U97+Jamba!U97+'Pollo Tropical'!U97+'Subway GC'!U97+'Sushi Maki'!U97+Panda!U97+'Starbucks Mango'!U97+'Taco Bell'!U97+'Chick-fil-A'!U97+Dunkin!U97+Chipotle!U97+Sergios!U97+'Moes PG5'!U97+'Papa Johns'!U97+Salad!U97+'Half Moon &amp; Tropical Smoothie'!U97+'Athletic Concessions - Kitchen'!U97+'Starbucks BBC'!U97+'Moes BBC'!U97+'Grille Works BBC'!U97+'Subway BBC'!U97+'Market Pavillion'!U97+'Chic Fil A BBC'!U97+Panera!U97+'Heritage Market'!U97</f>
        <v>289203.98541800893</v>
      </c>
      <c r="V97" s="80">
        <f t="shared" si="29"/>
        <v>1.2856845584139876E-2</v>
      </c>
    </row>
    <row r="98" spans="1:22" ht="12.75" customHeight="1">
      <c r="A98" s="223" t="s">
        <v>431</v>
      </c>
      <c r="B98" s="222"/>
      <c r="C98" s="134">
        <f>'POD Breezeway'!C98+'Express GL'!C98+'Starbucks GL-SBX Truck'!C98+'Miro''s'!C98+'Faculty Club'!C98+'Almazar  &amp; Brand X'!C98+'Burger King'!C98+Bustelo!C98+Chilis!C98+Einstein!C98+Jamba!C98+'Pollo Tropical'!C98+'Subway GC'!C98+'Sushi Maki'!C98+Panda!C98+'Starbucks Mango'!C98+'Taco Bell'!C98+'Chick-fil-A'!C98+Dunkin!C98+Chipotle!C98+Sergios!C98+'Moes PG5'!C98+'Papa Johns'!C98+Salad!C98+'Half Moon &amp; Tropical Smoothie'!C98+'Athletic Concessions - Kitchen'!C98+'Starbucks BBC'!C98+'Moes BBC'!C98+'Grille Works BBC'!C98+'Subway BBC'!C98+'Market Pavillion'!C98+'Chic Fil A BBC'!C98+Panera!C98+'Heritage Market'!C98</f>
        <v>18690.359255999996</v>
      </c>
      <c r="D98" s="80">
        <f t="shared" si="30"/>
        <v>1.1758789028515565E-3</v>
      </c>
      <c r="E98" s="134">
        <f>'POD Breezeway'!E98+'Express GL'!E98+'Starbucks GL-SBX Truck'!E98+'Miro''s'!E98+'Faculty Club'!E98+'Almazar  &amp; Brand X'!E98+'Burger King'!E98+Bustelo!E98+Chilis!E98+Einstein!E98+Jamba!E98+'Pollo Tropical'!E98+'Subway GC'!E98+'Sushi Maki'!E98+Panda!E98+'Starbucks Mango'!E98+'Taco Bell'!E98+'Chick-fil-A'!E98+Dunkin!E98+Chipotle!E98+Sergios!E98+'Moes PG5'!E98+'Papa Johns'!E98+Salad!E98+'Half Moon &amp; Tropical Smoothie'!E98+'Athletic Concessions - Kitchen'!E98+'Starbucks BBC'!E98+'Moes BBC'!E98+'Grille Works BBC'!E98+'Subway BBC'!E98+'Market Pavillion'!E98+'Chic Fil A BBC'!E98+Panera!E98+'Heritage Market'!E98</f>
        <v>20395.499999999996</v>
      </c>
      <c r="F98" s="80">
        <f t="shared" si="31"/>
        <v>1.1771112165358283E-3</v>
      </c>
      <c r="G98" s="134">
        <f>'POD Breezeway'!G98+'Express GL'!G98+'Starbucks GL-SBX Truck'!G98+'Miro''s'!G98+'Faculty Club'!G98+'Almazar  &amp; Brand X'!G98+'Burger King'!G98+Bustelo!G98+Chilis!G98+Einstein!G98+Jamba!G98+'Pollo Tropical'!G98+'Subway GC'!G98+'Sushi Maki'!G98+Panda!G98+'Starbucks Mango'!G98+'Taco Bell'!G98+'Chick-fil-A'!G98+Dunkin!G98+Chipotle!G98+Sergios!G98+'Moes PG5'!G98+'Papa Johns'!G98+Salad!G98+'Half Moon &amp; Tropical Smoothie'!G98+'Athletic Concessions - Kitchen'!G98+'Starbucks BBC'!G98+'Moes BBC'!G98+'Grille Works BBC'!G98+'Subway BBC'!G98+'Market Pavillion'!G98+'Chic Fil A BBC'!G98+Panera!G98+'Heritage Market'!G98</f>
        <v>22540.295999999995</v>
      </c>
      <c r="H98" s="80">
        <f t="shared" si="32"/>
        <v>1.1788438609802981E-3</v>
      </c>
      <c r="I98" s="134">
        <f>'POD Breezeway'!I98+'Express GL'!I98+'Starbucks GL-SBX Truck'!I98+'Miro''s'!I98+'Faculty Club'!I98+'Almazar  &amp; Brand X'!I98+'Burger King'!I98+Bustelo!I98+Chilis!I98+Einstein!I98+Jamba!I98+'Pollo Tropical'!I98+'Subway GC'!I98+'Sushi Maki'!I98+Panda!I98+'Starbucks Mango'!I98+'Taco Bell'!I98+'Chick-fil-A'!I98+Dunkin!I98+Chipotle!I98+Sergios!I98+'Moes PG5'!I98+'Papa Johns'!I98+Salad!I98+'Half Moon &amp; Tropical Smoothie'!I98+'Athletic Concessions - Kitchen'!I98+'Starbucks BBC'!I98+'Moes BBC'!I98+'Grille Works BBC'!I98+'Subway BBC'!I98+'Market Pavillion'!I98+'Chic Fil A BBC'!I98+Panera!I98+'Heritage Market'!I98</f>
        <v>23002.003439999993</v>
      </c>
      <c r="J98" s="80">
        <f t="shared" si="33"/>
        <v>1.178853710985796E-3</v>
      </c>
      <c r="K98" s="134">
        <f>'POD Breezeway'!K98+'Express GL'!K98+'Starbucks GL-SBX Truck'!K98+'Miro''s'!K98+'Faculty Club'!K98+'Almazar  &amp; Brand X'!K98+'Burger King'!K98+Bustelo!K98+Chilis!K98+Einstein!K98+Jamba!K98+'Pollo Tropical'!K98+'Subway GC'!K98+'Sushi Maki'!K98+Panda!K98+'Starbucks Mango'!K98+'Taco Bell'!K98+'Chick-fil-A'!K98+Dunkin!K98+Chipotle!K98+Sergios!K98+'Moes PG5'!K98+'Papa Johns'!K98+Salad!K98+'Half Moon &amp; Tropical Smoothie'!K98+'Athletic Concessions - Kitchen'!K98+'Starbucks BBC'!K98+'Moes BBC'!K98+'Grille Works BBC'!K98+'Subway BBC'!K98+'Market Pavillion'!K98+'Chic Fil A BBC'!K98+Panera!K98+'Heritage Market'!K98</f>
        <v>23416.861183199995</v>
      </c>
      <c r="L98" s="80">
        <f t="shared" si="34"/>
        <v>1.178813630039568E-3</v>
      </c>
      <c r="M98" s="134">
        <f>'POD Breezeway'!M98+'Express GL'!M98+'Starbucks GL-SBX Truck'!M98+'Miro''s'!M98+'Faculty Club'!M98+'Almazar  &amp; Brand X'!M98+'Burger King'!M98+Bustelo!M98+Chilis!M98+Einstein!M98+Jamba!M98+'Pollo Tropical'!M98+'Subway GC'!M98+'Sushi Maki'!M98+Panda!M98+'Starbucks Mango'!M98+'Taco Bell'!M98+'Chick-fil-A'!M98+Dunkin!M98+Chipotle!M98+Sergios!M98+'Moes PG5'!M98+'Papa Johns'!M98+Salad!M98+'Half Moon &amp; Tropical Smoothie'!M98+'Athletic Concessions - Kitchen'!M98+'Starbucks BBC'!M98+'Moes BBC'!M98+'Grille Works BBC'!M98+'Subway BBC'!M98+'Market Pavillion'!M98+'Chic Fil A BBC'!M98+Panera!M98+'Heritage Market'!M98</f>
        <v>23839.564258008002</v>
      </c>
      <c r="N98" s="80">
        <f t="shared" si="35"/>
        <v>1.1787737920495129E-3</v>
      </c>
      <c r="O98" s="134">
        <f>'POD Breezeway'!O98+'Express GL'!O98+'Starbucks GL-SBX Truck'!O98+'Miro''s'!O98+'Faculty Club'!O98+'Almazar  &amp; Brand X'!O98+'Burger King'!O98+Bustelo!O98+Chilis!O98+Einstein!O98+Jamba!O98+'Pollo Tropical'!O98+'Subway GC'!O98+'Sushi Maki'!O98+Panda!O98+'Starbucks Mango'!O98+'Taco Bell'!O98+'Chick-fil-A'!O98+Dunkin!O98+Chipotle!O98+Sergios!O98+'Moes PG5'!O98+'Papa Johns'!O98+Salad!O98+'Half Moon &amp; Tropical Smoothie'!O98+'Athletic Concessions - Kitchen'!O98+'Starbucks BBC'!O98+'Moes BBC'!O98+'Grille Works BBC'!O98+'Subway BBC'!O98+'Market Pavillion'!O98+'Chic Fil A BBC'!O98+Panera!O98+'Heritage Market'!O98</f>
        <v>24270.265052823597</v>
      </c>
      <c r="P98" s="80">
        <f t="shared" si="36"/>
        <v>1.1787341967291591E-3</v>
      </c>
      <c r="Q98" s="134">
        <f>'POD Breezeway'!Q98+'Express GL'!Q98+'Starbucks GL-SBX Truck'!Q98+'Miro''s'!Q98+'Faculty Club'!Q98+'Almazar  &amp; Brand X'!Q98+'Burger King'!Q98+Bustelo!Q98+Chilis!Q98+Einstein!Q98+Jamba!Q98+'Pollo Tropical'!Q98+'Subway GC'!Q98+'Sushi Maki'!Q98+Panda!Q98+'Starbucks Mango'!Q98+'Taco Bell'!Q98+'Chick-fil-A'!Q98+Dunkin!Q98+Chipotle!Q98+Sergios!Q98+'Moes PG5'!Q98+'Papa Johns'!Q98+Salad!Q98+'Half Moon &amp; Tropical Smoothie'!Q98+'Athletic Concessions - Kitchen'!Q98+'Starbucks BBC'!Q98+'Moes BBC'!Q98+'Grille Works BBC'!Q98+'Subway BBC'!Q98+'Market Pavillion'!Q98+'Chic Fil A BBC'!Q98+Panera!Q98+'Heritage Market'!Q98</f>
        <v>24709.118958632062</v>
      </c>
      <c r="R98" s="80">
        <f t="shared" si="37"/>
        <v>1.1786948437721057E-3</v>
      </c>
      <c r="S98" s="134">
        <f>'POD Breezeway'!S98+'Express GL'!S98+'Starbucks GL-SBX Truck'!S98+'Miro''s'!S98+'Faculty Club'!S98+'Almazar  &amp; Brand X'!S98+'Burger King'!S98+Bustelo!S98+Chilis!S98+Einstein!S98+Jamba!S98+'Pollo Tropical'!S98+'Subway GC'!S98+'Sushi Maki'!S98+Panda!S98+'Starbucks Mango'!S98+'Taco Bell'!S98+'Chick-fil-A'!S98+Dunkin!S98+Chipotle!S98+Sergios!S98+'Moes PG5'!S98+'Papa Johns'!S98+Salad!S98+'Half Moon &amp; Tropical Smoothie'!S98+'Athletic Concessions - Kitchen'!S98+'Starbucks BBC'!S98+'Moes BBC'!S98+'Grille Works BBC'!S98+'Subway BBC'!S98+'Market Pavillion'!S98+'Chic Fil A BBC'!S98+Panera!S98+'Heritage Market'!S98</f>
        <v>25156.284428604224</v>
      </c>
      <c r="T98" s="80">
        <f t="shared" si="38"/>
        <v>1.1786557328523082E-3</v>
      </c>
      <c r="U98" s="134">
        <f>'POD Breezeway'!U98+'Express GL'!U98+'Starbucks GL-SBX Truck'!U98+'Miro''s'!U98+'Faculty Club'!U98+'Almazar  &amp; Brand X'!U98+'Burger King'!U98+Bustelo!U98+Chilis!U98+Einstein!U98+Jamba!U98+'Pollo Tropical'!U98+'Subway GC'!U98+'Sushi Maki'!U98+Panda!U98+'Starbucks Mango'!U98+'Taco Bell'!U98+'Chick-fil-A'!U98+Dunkin!U98+Chipotle!U98+Sergios!U98+'Moes PG5'!U98+'Papa Johns'!U98+Salad!U98+'Half Moon &amp; Tropical Smoothie'!U98+'Athletic Concessions - Kitchen'!U98+'Starbucks BBC'!U98+'Moes BBC'!U98+'Grille Works BBC'!U98+'Subway BBC'!U98+'Market Pavillion'!U98+'Chic Fil A BBC'!U98+Panera!U98+'Heritage Market'!U98</f>
        <v>26528.330033121638</v>
      </c>
      <c r="V98" s="80">
        <f t="shared" si="29"/>
        <v>1.1793428169669562E-3</v>
      </c>
    </row>
    <row r="99" spans="1:22" ht="12.75" customHeight="1">
      <c r="A99" s="223" t="s">
        <v>431</v>
      </c>
      <c r="B99" s="222"/>
      <c r="C99" s="134">
        <f>'POD Breezeway'!C99+'Express GL'!C99+'Starbucks GL-SBX Truck'!C99+'Miro''s'!C99+'Faculty Club'!C99+'Almazar  &amp; Brand X'!C99+'Burger King'!C99+Bustelo!C99+Chilis!C99+Einstein!C99+Jamba!C99+'Pollo Tropical'!C99+'Subway GC'!C99+'Sushi Maki'!C99+Panda!C99+'Starbucks Mango'!C99+'Taco Bell'!C99+'Chick-fil-A'!C99+Dunkin!C99+Chipotle!C99+Sergios!C99+'Moes PG5'!C99+'Papa Johns'!C99+Salad!C99+'Half Moon &amp; Tropical Smoothie'!C99+'Athletic Concessions - Kitchen'!C99+'Starbucks BBC'!C99+'Moes BBC'!C99+'Grille Works BBC'!C99+'Subway BBC'!C99+'Market Pavillion'!C99+'Chic Fil A BBC'!C99+Panera!C99+'Heritage Market'!C99</f>
        <v>0</v>
      </c>
      <c r="D99" s="80">
        <f t="shared" si="30"/>
        <v>0</v>
      </c>
      <c r="E99" s="134">
        <f>'POD Breezeway'!E99+'Express GL'!E99+'Starbucks GL-SBX Truck'!E99+'Miro''s'!E99+'Faculty Club'!E99+'Almazar  &amp; Brand X'!E99+'Burger King'!E99+Bustelo!E99+Chilis!E99+Einstein!E99+Jamba!E99+'Pollo Tropical'!E99+'Subway GC'!E99+'Sushi Maki'!E99+Panda!E99+'Starbucks Mango'!E99+'Taco Bell'!E99+'Chick-fil-A'!E99+Dunkin!E99+Chipotle!E99+Sergios!E99+'Moes PG5'!E99+'Papa Johns'!E99+Salad!E99+'Half Moon &amp; Tropical Smoothie'!E99+'Athletic Concessions - Kitchen'!E99+'Starbucks BBC'!E99+'Moes BBC'!E99+'Grille Works BBC'!E99+'Subway BBC'!E99+'Market Pavillion'!E99+'Chic Fil A BBC'!E99+Panera!E99+'Heritage Market'!E99</f>
        <v>0</v>
      </c>
      <c r="F99" s="80">
        <f t="shared" si="31"/>
        <v>0</v>
      </c>
      <c r="G99" s="134">
        <f>'POD Breezeway'!G99+'Express GL'!G99+'Starbucks GL-SBX Truck'!G99+'Miro''s'!G99+'Faculty Club'!G99+'Almazar  &amp; Brand X'!G99+'Burger King'!G99+Bustelo!G99+Chilis!G99+Einstein!G99+Jamba!G99+'Pollo Tropical'!G99+'Subway GC'!G99+'Sushi Maki'!G99+Panda!G99+'Starbucks Mango'!G99+'Taco Bell'!G99+'Chick-fil-A'!G99+Dunkin!G99+Chipotle!G99+Sergios!G99+'Moes PG5'!G99+'Papa Johns'!G99+Salad!G99+'Half Moon &amp; Tropical Smoothie'!G99+'Athletic Concessions - Kitchen'!G99+'Starbucks BBC'!G99+'Moes BBC'!G99+'Grille Works BBC'!G99+'Subway BBC'!G99+'Market Pavillion'!G99+'Chic Fil A BBC'!G99+Panera!G99+'Heritage Market'!G99</f>
        <v>0</v>
      </c>
      <c r="H99" s="80">
        <f t="shared" si="32"/>
        <v>0</v>
      </c>
      <c r="I99" s="134">
        <f>'POD Breezeway'!I99+'Express GL'!I99+'Starbucks GL-SBX Truck'!I99+'Miro''s'!I99+'Faculty Club'!I99+'Almazar  &amp; Brand X'!I99+'Burger King'!I99+Bustelo!I99+Chilis!I99+Einstein!I99+Jamba!I99+'Pollo Tropical'!I99+'Subway GC'!I99+'Sushi Maki'!I99+Panda!I99+'Starbucks Mango'!I99+'Taco Bell'!I99+'Chick-fil-A'!I99+Dunkin!I99+Chipotle!I99+Sergios!I99+'Moes PG5'!I99+'Papa Johns'!I99+Salad!I99+'Half Moon &amp; Tropical Smoothie'!I99+'Athletic Concessions - Kitchen'!I99+'Starbucks BBC'!I99+'Moes BBC'!I99+'Grille Works BBC'!I99+'Subway BBC'!I99+'Market Pavillion'!I99+'Chic Fil A BBC'!I99+Panera!I99+'Heritage Market'!I99</f>
        <v>0</v>
      </c>
      <c r="J99" s="80">
        <f t="shared" si="33"/>
        <v>0</v>
      </c>
      <c r="K99" s="134">
        <f>'POD Breezeway'!K99+'Express GL'!K99+'Starbucks GL-SBX Truck'!K99+'Miro''s'!K99+'Faculty Club'!K99+'Almazar  &amp; Brand X'!K99+'Burger King'!K99+Bustelo!K99+Chilis!K99+Einstein!K99+Jamba!K99+'Pollo Tropical'!K99+'Subway GC'!K99+'Sushi Maki'!K99+Panda!K99+'Starbucks Mango'!K99+'Taco Bell'!K99+'Chick-fil-A'!K99+Dunkin!K99+Chipotle!K99+Sergios!K99+'Moes PG5'!K99+'Papa Johns'!K99+Salad!K99+'Half Moon &amp; Tropical Smoothie'!K99+'Athletic Concessions - Kitchen'!K99+'Starbucks BBC'!K99+'Moes BBC'!K99+'Grille Works BBC'!K99+'Subway BBC'!K99+'Market Pavillion'!K99+'Chic Fil A BBC'!K99+Panera!K99+'Heritage Market'!K99</f>
        <v>0</v>
      </c>
      <c r="L99" s="80">
        <f t="shared" si="34"/>
        <v>0</v>
      </c>
      <c r="M99" s="134">
        <f>'POD Breezeway'!M99+'Express GL'!M99+'Starbucks GL-SBX Truck'!M99+'Miro''s'!M99+'Faculty Club'!M99+'Almazar  &amp; Brand X'!M99+'Burger King'!M99+Bustelo!M99+Chilis!M99+Einstein!M99+Jamba!M99+'Pollo Tropical'!M99+'Subway GC'!M99+'Sushi Maki'!M99+Panda!M99+'Starbucks Mango'!M99+'Taco Bell'!M99+'Chick-fil-A'!M99+Dunkin!M99+Chipotle!M99+Sergios!M99+'Moes PG5'!M99+'Papa Johns'!M99+Salad!M99+'Half Moon &amp; Tropical Smoothie'!M99+'Athletic Concessions - Kitchen'!M99+'Starbucks BBC'!M99+'Moes BBC'!M99+'Grille Works BBC'!M99+'Subway BBC'!M99+'Market Pavillion'!M99+'Chic Fil A BBC'!M99+Panera!M99+'Heritage Market'!M99</f>
        <v>0</v>
      </c>
      <c r="N99" s="80">
        <f t="shared" si="35"/>
        <v>0</v>
      </c>
      <c r="O99" s="134">
        <f>'POD Breezeway'!O99+'Express GL'!O99+'Starbucks GL-SBX Truck'!O99+'Miro''s'!O99+'Faculty Club'!O99+'Almazar  &amp; Brand X'!O99+'Burger King'!O99+Bustelo!O99+Chilis!O99+Einstein!O99+Jamba!O99+'Pollo Tropical'!O99+'Subway GC'!O99+'Sushi Maki'!O99+Panda!O99+'Starbucks Mango'!O99+'Taco Bell'!O99+'Chick-fil-A'!O99+Dunkin!O99+Chipotle!O99+Sergios!O99+'Moes PG5'!O99+'Papa Johns'!O99+Salad!O99+'Half Moon &amp; Tropical Smoothie'!O99+'Athletic Concessions - Kitchen'!O99+'Starbucks BBC'!O99+'Moes BBC'!O99+'Grille Works BBC'!O99+'Subway BBC'!O99+'Market Pavillion'!O99+'Chic Fil A BBC'!O99+Panera!O99+'Heritage Market'!O99</f>
        <v>0</v>
      </c>
      <c r="P99" s="80">
        <f t="shared" si="36"/>
        <v>0</v>
      </c>
      <c r="Q99" s="134">
        <f>'POD Breezeway'!Q99+'Express GL'!Q99+'Starbucks GL-SBX Truck'!Q99+'Miro''s'!Q99+'Faculty Club'!Q99+'Almazar  &amp; Brand X'!Q99+'Burger King'!Q99+Bustelo!Q99+Chilis!Q99+Einstein!Q99+Jamba!Q99+'Pollo Tropical'!Q99+'Subway GC'!Q99+'Sushi Maki'!Q99+Panda!Q99+'Starbucks Mango'!Q99+'Taco Bell'!Q99+'Chick-fil-A'!Q99+Dunkin!Q99+Chipotle!Q99+Sergios!Q99+'Moes PG5'!Q99+'Papa Johns'!Q99+Salad!Q99+'Half Moon &amp; Tropical Smoothie'!Q99+'Athletic Concessions - Kitchen'!Q99+'Starbucks BBC'!Q99+'Moes BBC'!Q99+'Grille Works BBC'!Q99+'Subway BBC'!Q99+'Market Pavillion'!Q99+'Chic Fil A BBC'!Q99+Panera!Q99+'Heritage Market'!Q99</f>
        <v>0</v>
      </c>
      <c r="R99" s="80">
        <f t="shared" si="37"/>
        <v>0</v>
      </c>
      <c r="S99" s="134">
        <f>'POD Breezeway'!S99+'Express GL'!S99+'Starbucks GL-SBX Truck'!S99+'Miro''s'!S99+'Faculty Club'!S99+'Almazar  &amp; Brand X'!S99+'Burger King'!S99+Bustelo!S99+Chilis!S99+Einstein!S99+Jamba!S99+'Pollo Tropical'!S99+'Subway GC'!S99+'Sushi Maki'!S99+Panda!S99+'Starbucks Mango'!S99+'Taco Bell'!S99+'Chick-fil-A'!S99+Dunkin!S99+Chipotle!S99+Sergios!S99+'Moes PG5'!S99+'Papa Johns'!S99+Salad!S99+'Half Moon &amp; Tropical Smoothie'!S99+'Athletic Concessions - Kitchen'!S99+'Starbucks BBC'!S99+'Moes BBC'!S99+'Grille Works BBC'!S99+'Subway BBC'!S99+'Market Pavillion'!S99+'Chic Fil A BBC'!S99+Panera!S99+'Heritage Market'!S99</f>
        <v>0</v>
      </c>
      <c r="T99" s="80">
        <f t="shared" si="38"/>
        <v>0</v>
      </c>
      <c r="U99" s="134">
        <f>'POD Breezeway'!U99+'Express GL'!U99+'Starbucks GL-SBX Truck'!U99+'Miro''s'!U99+'Faculty Club'!U99+'Almazar  &amp; Brand X'!U99+'Burger King'!U99+Bustelo!U99+Chilis!U99+Einstein!U99+Jamba!U99+'Pollo Tropical'!U99+'Subway GC'!U99+'Sushi Maki'!U99+Panda!U99+'Starbucks Mango'!U99+'Taco Bell'!U99+'Chick-fil-A'!U99+Dunkin!U99+Chipotle!U99+Sergios!U99+'Moes PG5'!U99+'Papa Johns'!U99+Salad!U99+'Half Moon &amp; Tropical Smoothie'!U99+'Athletic Concessions - Kitchen'!U99+'Starbucks BBC'!U99+'Moes BBC'!U99+'Grille Works BBC'!U99+'Subway BBC'!U99+'Market Pavillion'!U99+'Chic Fil A BBC'!U99+Panera!U99+'Heritage Market'!U99</f>
        <v>0</v>
      </c>
      <c r="V99" s="80">
        <f t="shared" si="29"/>
        <v>0</v>
      </c>
    </row>
    <row r="100" spans="1:22" ht="12.75" customHeight="1">
      <c r="A100" s="223" t="s">
        <v>431</v>
      </c>
      <c r="B100" s="222"/>
      <c r="C100" s="134">
        <f>'POD Breezeway'!C100+'Express GL'!C100+'Starbucks GL-SBX Truck'!C100+'Miro''s'!C100+'Faculty Club'!C100+'Almazar  &amp; Brand X'!C100+'Burger King'!C100+Bustelo!C100+Chilis!C100+Einstein!C100+Jamba!C100+'Pollo Tropical'!C100+'Subway GC'!C100+'Sushi Maki'!C100+Panda!C100+'Starbucks Mango'!C100+'Taco Bell'!C100+'Chick-fil-A'!C100+Dunkin!C100+Chipotle!C100+Sergios!C100+'Moes PG5'!C100+'Papa Johns'!C100+Salad!C100+'Half Moon &amp; Tropical Smoothie'!C100+'Athletic Concessions - Kitchen'!C100+'Starbucks BBC'!C100+'Moes BBC'!C100+'Grille Works BBC'!C100+'Subway BBC'!C100+'Market Pavillion'!C100+'Chic Fil A BBC'!C100+Panera!C100+'Heritage Market'!C100</f>
        <v>0</v>
      </c>
      <c r="D100" s="80">
        <f t="shared" si="30"/>
        <v>0</v>
      </c>
      <c r="E100" s="134">
        <f>'POD Breezeway'!E100+'Express GL'!E100+'Starbucks GL-SBX Truck'!E100+'Miro''s'!E100+'Faculty Club'!E100+'Almazar  &amp; Brand X'!E100+'Burger King'!E100+Bustelo!E100+Chilis!E100+Einstein!E100+Jamba!E100+'Pollo Tropical'!E100+'Subway GC'!E100+'Sushi Maki'!E100+Panda!E100+'Starbucks Mango'!E100+'Taco Bell'!E100+'Chick-fil-A'!E100+Dunkin!E100+Chipotle!E100+Sergios!E100+'Moes PG5'!E100+'Papa Johns'!E100+Salad!E100+'Half Moon &amp; Tropical Smoothie'!E100+'Athletic Concessions - Kitchen'!E100+'Starbucks BBC'!E100+'Moes BBC'!E100+'Grille Works BBC'!E100+'Subway BBC'!E100+'Market Pavillion'!E100+'Chic Fil A BBC'!E100+Panera!E100+'Heritage Market'!E100</f>
        <v>0</v>
      </c>
      <c r="F100" s="80">
        <f t="shared" si="31"/>
        <v>0</v>
      </c>
      <c r="G100" s="134">
        <f>'POD Breezeway'!G100+'Express GL'!G100+'Starbucks GL-SBX Truck'!G100+'Miro''s'!G100+'Faculty Club'!G100+'Almazar  &amp; Brand X'!G100+'Burger King'!G100+Bustelo!G100+Chilis!G100+Einstein!G100+Jamba!G100+'Pollo Tropical'!G100+'Subway GC'!G100+'Sushi Maki'!G100+Panda!G100+'Starbucks Mango'!G100+'Taco Bell'!G100+'Chick-fil-A'!G100+Dunkin!G100+Chipotle!G100+Sergios!G100+'Moes PG5'!G100+'Papa Johns'!G100+Salad!G100+'Half Moon &amp; Tropical Smoothie'!G100+'Athletic Concessions - Kitchen'!G100+'Starbucks BBC'!G100+'Moes BBC'!G100+'Grille Works BBC'!G100+'Subway BBC'!G100+'Market Pavillion'!G100+'Chic Fil A BBC'!G100+Panera!G100+'Heritage Market'!G100</f>
        <v>0</v>
      </c>
      <c r="H100" s="80">
        <f t="shared" si="32"/>
        <v>0</v>
      </c>
      <c r="I100" s="134">
        <f>'POD Breezeway'!I100+'Express GL'!I100+'Starbucks GL-SBX Truck'!I100+'Miro''s'!I100+'Faculty Club'!I100+'Almazar  &amp; Brand X'!I100+'Burger King'!I100+Bustelo!I100+Chilis!I100+Einstein!I100+Jamba!I100+'Pollo Tropical'!I100+'Subway GC'!I100+'Sushi Maki'!I100+Panda!I100+'Starbucks Mango'!I100+'Taco Bell'!I100+'Chick-fil-A'!I100+Dunkin!I100+Chipotle!I100+Sergios!I100+'Moes PG5'!I100+'Papa Johns'!I100+Salad!I100+'Half Moon &amp; Tropical Smoothie'!I100+'Athletic Concessions - Kitchen'!I100+'Starbucks BBC'!I100+'Moes BBC'!I100+'Grille Works BBC'!I100+'Subway BBC'!I100+'Market Pavillion'!I100+'Chic Fil A BBC'!I100+Panera!I100+'Heritage Market'!I100</f>
        <v>0</v>
      </c>
      <c r="J100" s="80">
        <f t="shared" si="33"/>
        <v>0</v>
      </c>
      <c r="K100" s="134">
        <f>'POD Breezeway'!K100+'Express GL'!K100+'Starbucks GL-SBX Truck'!K100+'Miro''s'!K100+'Faculty Club'!K100+'Almazar  &amp; Brand X'!K100+'Burger King'!K100+Bustelo!K100+Chilis!K100+Einstein!K100+Jamba!K100+'Pollo Tropical'!K100+'Subway GC'!K100+'Sushi Maki'!K100+Panda!K100+'Starbucks Mango'!K100+'Taco Bell'!K100+'Chick-fil-A'!K100+Dunkin!K100+Chipotle!K100+Sergios!K100+'Moes PG5'!K100+'Papa Johns'!K100+Salad!K100+'Half Moon &amp; Tropical Smoothie'!K100+'Athletic Concessions - Kitchen'!K100+'Starbucks BBC'!K100+'Moes BBC'!K100+'Grille Works BBC'!K100+'Subway BBC'!K100+'Market Pavillion'!K100+'Chic Fil A BBC'!K100+Panera!K100+'Heritage Market'!K100</f>
        <v>0</v>
      </c>
      <c r="L100" s="80">
        <f t="shared" si="34"/>
        <v>0</v>
      </c>
      <c r="M100" s="134">
        <f>'POD Breezeway'!M100+'Express GL'!M100+'Starbucks GL-SBX Truck'!M100+'Miro''s'!M100+'Faculty Club'!M100+'Almazar  &amp; Brand X'!M100+'Burger King'!M100+Bustelo!M100+Chilis!M100+Einstein!M100+Jamba!M100+'Pollo Tropical'!M100+'Subway GC'!M100+'Sushi Maki'!M100+Panda!M100+'Starbucks Mango'!M100+'Taco Bell'!M100+'Chick-fil-A'!M100+Dunkin!M100+Chipotle!M100+Sergios!M100+'Moes PG5'!M100+'Papa Johns'!M100+Salad!M100+'Half Moon &amp; Tropical Smoothie'!M100+'Athletic Concessions - Kitchen'!M100+'Starbucks BBC'!M100+'Moes BBC'!M100+'Grille Works BBC'!M100+'Subway BBC'!M100+'Market Pavillion'!M100+'Chic Fil A BBC'!M100+Panera!M100+'Heritage Market'!M100</f>
        <v>0</v>
      </c>
      <c r="N100" s="80">
        <f t="shared" si="35"/>
        <v>0</v>
      </c>
      <c r="O100" s="134">
        <f>'POD Breezeway'!O100+'Express GL'!O100+'Starbucks GL-SBX Truck'!O100+'Miro''s'!O100+'Faculty Club'!O100+'Almazar  &amp; Brand X'!O100+'Burger King'!O100+Bustelo!O100+Chilis!O100+Einstein!O100+Jamba!O100+'Pollo Tropical'!O100+'Subway GC'!O100+'Sushi Maki'!O100+Panda!O100+'Starbucks Mango'!O100+'Taco Bell'!O100+'Chick-fil-A'!O100+Dunkin!O100+Chipotle!O100+Sergios!O100+'Moes PG5'!O100+'Papa Johns'!O100+Salad!O100+'Half Moon &amp; Tropical Smoothie'!O100+'Athletic Concessions - Kitchen'!O100+'Starbucks BBC'!O100+'Moes BBC'!O100+'Grille Works BBC'!O100+'Subway BBC'!O100+'Market Pavillion'!O100+'Chic Fil A BBC'!O100+Panera!O100+'Heritage Market'!O100</f>
        <v>0</v>
      </c>
      <c r="P100" s="80">
        <f t="shared" si="36"/>
        <v>0</v>
      </c>
      <c r="Q100" s="134">
        <f>'POD Breezeway'!Q100+'Express GL'!Q100+'Starbucks GL-SBX Truck'!Q100+'Miro''s'!Q100+'Faculty Club'!Q100+'Almazar  &amp; Brand X'!Q100+'Burger King'!Q100+Bustelo!Q100+Chilis!Q100+Einstein!Q100+Jamba!Q100+'Pollo Tropical'!Q100+'Subway GC'!Q100+'Sushi Maki'!Q100+Panda!Q100+'Starbucks Mango'!Q100+'Taco Bell'!Q100+'Chick-fil-A'!Q100+Dunkin!Q100+Chipotle!Q100+Sergios!Q100+'Moes PG5'!Q100+'Papa Johns'!Q100+Salad!Q100+'Half Moon &amp; Tropical Smoothie'!Q100+'Athletic Concessions - Kitchen'!Q100+'Starbucks BBC'!Q100+'Moes BBC'!Q100+'Grille Works BBC'!Q100+'Subway BBC'!Q100+'Market Pavillion'!Q100+'Chic Fil A BBC'!Q100+Panera!Q100+'Heritage Market'!Q100</f>
        <v>0</v>
      </c>
      <c r="R100" s="80">
        <f t="shared" si="37"/>
        <v>0</v>
      </c>
      <c r="S100" s="134">
        <f>'POD Breezeway'!S100+'Express GL'!S100+'Starbucks GL-SBX Truck'!S100+'Miro''s'!S100+'Faculty Club'!S100+'Almazar  &amp; Brand X'!S100+'Burger King'!S100+Bustelo!S100+Chilis!S100+Einstein!S100+Jamba!S100+'Pollo Tropical'!S100+'Subway GC'!S100+'Sushi Maki'!S100+Panda!S100+'Starbucks Mango'!S100+'Taco Bell'!S100+'Chick-fil-A'!S100+Dunkin!S100+Chipotle!S100+Sergios!S100+'Moes PG5'!S100+'Papa Johns'!S100+Salad!S100+'Half Moon &amp; Tropical Smoothie'!S100+'Athletic Concessions - Kitchen'!S100+'Starbucks BBC'!S100+'Moes BBC'!S100+'Grille Works BBC'!S100+'Subway BBC'!S100+'Market Pavillion'!S100+'Chic Fil A BBC'!S100+Panera!S100+'Heritage Market'!S100</f>
        <v>0</v>
      </c>
      <c r="T100" s="80">
        <f t="shared" si="38"/>
        <v>0</v>
      </c>
      <c r="U100" s="134">
        <f>'POD Breezeway'!U100+'Express GL'!U100+'Starbucks GL-SBX Truck'!U100+'Miro''s'!U100+'Faculty Club'!U100+'Almazar  &amp; Brand X'!U100+'Burger King'!U100+Bustelo!U100+Chilis!U100+Einstein!U100+Jamba!U100+'Pollo Tropical'!U100+'Subway GC'!U100+'Sushi Maki'!U100+Panda!U100+'Starbucks Mango'!U100+'Taco Bell'!U100+'Chick-fil-A'!U100+Dunkin!U100+Chipotle!U100+Sergios!U100+'Moes PG5'!U100+'Papa Johns'!U100+Salad!U100+'Half Moon &amp; Tropical Smoothie'!U100+'Athletic Concessions - Kitchen'!U100+'Starbucks BBC'!U100+'Moes BBC'!U100+'Grille Works BBC'!U100+'Subway BBC'!U100+'Market Pavillion'!U100+'Chic Fil A BBC'!U100+Panera!U100+'Heritage Market'!U100</f>
        <v>0</v>
      </c>
      <c r="V100" s="80">
        <f t="shared" si="29"/>
        <v>0</v>
      </c>
    </row>
    <row r="101" spans="1:22" ht="12.75" customHeight="1">
      <c r="A101" s="221" t="s">
        <v>432</v>
      </c>
      <c r="B101" s="222"/>
      <c r="C101" s="134">
        <f>'POD Breezeway'!C101+'Express GL'!C101+'Starbucks GL-SBX Truck'!C101+'Miro''s'!C101+'Faculty Club'!C101+'Almazar  &amp; Brand X'!C101+'Burger King'!C101+Bustelo!C101+Chilis!C101+Einstein!C101+Jamba!C101+'Pollo Tropical'!C101+'Subway GC'!C101+'Sushi Maki'!C101+Panda!C101+'Starbucks Mango'!C101+'Taco Bell'!C101+'Chick-fil-A'!C101+Dunkin!C101+Chipotle!C101+Sergios!C101+'Moes PG5'!C101+'Papa Johns'!C101+Salad!C101+'Half Moon &amp; Tropical Smoothie'!C101+'Athletic Concessions - Kitchen'!C101+'Starbucks BBC'!C101+'Moes BBC'!C101+'Grille Works BBC'!C101+'Subway BBC'!C101+'Market Pavillion'!C101+'Chic Fil A BBC'!C101+Panera!C101+'Heritage Market'!C101</f>
        <v>0</v>
      </c>
      <c r="D101" s="80">
        <f t="shared" si="30"/>
        <v>0</v>
      </c>
      <c r="E101" s="134">
        <f>'POD Breezeway'!E101+'Express GL'!E101+'Starbucks GL-SBX Truck'!E101+'Miro''s'!E101+'Faculty Club'!E101+'Almazar  &amp; Brand X'!E101+'Burger King'!E101+Bustelo!E101+Chilis!E101+Einstein!E101+Jamba!E101+'Pollo Tropical'!E101+'Subway GC'!E101+'Sushi Maki'!E101+Panda!E101+'Starbucks Mango'!E101+'Taco Bell'!E101+'Chick-fil-A'!E101+Dunkin!E101+Chipotle!E101+Sergios!E101+'Moes PG5'!E101+'Papa Johns'!E101+Salad!E101+'Half Moon &amp; Tropical Smoothie'!E101+'Athletic Concessions - Kitchen'!E101+'Starbucks BBC'!E101+'Moes BBC'!E101+'Grille Works BBC'!E101+'Subway BBC'!E101+'Market Pavillion'!E101+'Chic Fil A BBC'!E101+Panera!E101+'Heritage Market'!E101</f>
        <v>0</v>
      </c>
      <c r="F101" s="80">
        <f t="shared" si="31"/>
        <v>0</v>
      </c>
      <c r="G101" s="134">
        <f>'POD Breezeway'!G101+'Express GL'!G101+'Starbucks GL-SBX Truck'!G101+'Miro''s'!G101+'Faculty Club'!G101+'Almazar  &amp; Brand X'!G101+'Burger King'!G101+Bustelo!G101+Chilis!G101+Einstein!G101+Jamba!G101+'Pollo Tropical'!G101+'Subway GC'!G101+'Sushi Maki'!G101+Panda!G101+'Starbucks Mango'!G101+'Taco Bell'!G101+'Chick-fil-A'!G101+Dunkin!G101+Chipotle!G101+Sergios!G101+'Moes PG5'!G101+'Papa Johns'!G101+Salad!G101+'Half Moon &amp; Tropical Smoothie'!G101+'Athletic Concessions - Kitchen'!G101+'Starbucks BBC'!G101+'Moes BBC'!G101+'Grille Works BBC'!G101+'Subway BBC'!G101+'Market Pavillion'!G101+'Chic Fil A BBC'!G101+Panera!G101+'Heritage Market'!G101</f>
        <v>0</v>
      </c>
      <c r="H101" s="80">
        <f t="shared" si="32"/>
        <v>0</v>
      </c>
      <c r="I101" s="134">
        <f>'POD Breezeway'!I101+'Express GL'!I101+'Starbucks GL-SBX Truck'!I101+'Miro''s'!I101+'Faculty Club'!I101+'Almazar  &amp; Brand X'!I101+'Burger King'!I101+Bustelo!I101+Chilis!I101+Einstein!I101+Jamba!I101+'Pollo Tropical'!I101+'Subway GC'!I101+'Sushi Maki'!I101+Panda!I101+'Starbucks Mango'!I101+'Taco Bell'!I101+'Chick-fil-A'!I101+Dunkin!I101+Chipotle!I101+Sergios!I101+'Moes PG5'!I101+'Papa Johns'!I101+Salad!I101+'Half Moon &amp; Tropical Smoothie'!I101+'Athletic Concessions - Kitchen'!I101+'Starbucks BBC'!I101+'Moes BBC'!I101+'Grille Works BBC'!I101+'Subway BBC'!I101+'Market Pavillion'!I101+'Chic Fil A BBC'!I101+Panera!I101+'Heritage Market'!I101</f>
        <v>0</v>
      </c>
      <c r="J101" s="80">
        <f t="shared" si="33"/>
        <v>0</v>
      </c>
      <c r="K101" s="134">
        <f>'POD Breezeway'!K101+'Express GL'!K101+'Starbucks GL-SBX Truck'!K101+'Miro''s'!K101+'Faculty Club'!K101+'Almazar  &amp; Brand X'!K101+'Burger King'!K101+Bustelo!K101+Chilis!K101+Einstein!K101+Jamba!K101+'Pollo Tropical'!K101+'Subway GC'!K101+'Sushi Maki'!K101+Panda!K101+'Starbucks Mango'!K101+'Taco Bell'!K101+'Chick-fil-A'!K101+Dunkin!K101+Chipotle!K101+Sergios!K101+'Moes PG5'!K101+'Papa Johns'!K101+Salad!K101+'Half Moon &amp; Tropical Smoothie'!K101+'Athletic Concessions - Kitchen'!K101+'Starbucks BBC'!K101+'Moes BBC'!K101+'Grille Works BBC'!K101+'Subway BBC'!K101+'Market Pavillion'!K101+'Chic Fil A BBC'!K101+Panera!K101+'Heritage Market'!K101</f>
        <v>0</v>
      </c>
      <c r="L101" s="80">
        <f t="shared" si="34"/>
        <v>0</v>
      </c>
      <c r="M101" s="134">
        <f>'POD Breezeway'!M101+'Express GL'!M101+'Starbucks GL-SBX Truck'!M101+'Miro''s'!M101+'Faculty Club'!M101+'Almazar  &amp; Brand X'!M101+'Burger King'!M101+Bustelo!M101+Chilis!M101+Einstein!M101+Jamba!M101+'Pollo Tropical'!M101+'Subway GC'!M101+'Sushi Maki'!M101+Panda!M101+'Starbucks Mango'!M101+'Taco Bell'!M101+'Chick-fil-A'!M101+Dunkin!M101+Chipotle!M101+Sergios!M101+'Moes PG5'!M101+'Papa Johns'!M101+Salad!M101+'Half Moon &amp; Tropical Smoothie'!M101+'Athletic Concessions - Kitchen'!M101+'Starbucks BBC'!M101+'Moes BBC'!M101+'Grille Works BBC'!M101+'Subway BBC'!M101+'Market Pavillion'!M101+'Chic Fil A BBC'!M101+Panera!M101+'Heritage Market'!M101</f>
        <v>0</v>
      </c>
      <c r="N101" s="80">
        <f t="shared" si="35"/>
        <v>0</v>
      </c>
      <c r="O101" s="134">
        <f>'POD Breezeway'!O101+'Express GL'!O101+'Starbucks GL-SBX Truck'!O101+'Miro''s'!O101+'Faculty Club'!O101+'Almazar  &amp; Brand X'!O101+'Burger King'!O101+Bustelo!O101+Chilis!O101+Einstein!O101+Jamba!O101+'Pollo Tropical'!O101+'Subway GC'!O101+'Sushi Maki'!O101+Panda!O101+'Starbucks Mango'!O101+'Taco Bell'!O101+'Chick-fil-A'!O101+Dunkin!O101+Chipotle!O101+Sergios!O101+'Moes PG5'!O101+'Papa Johns'!O101+Salad!O101+'Half Moon &amp; Tropical Smoothie'!O101+'Athletic Concessions - Kitchen'!O101+'Starbucks BBC'!O101+'Moes BBC'!O101+'Grille Works BBC'!O101+'Subway BBC'!O101+'Market Pavillion'!O101+'Chic Fil A BBC'!O101+Panera!O101+'Heritage Market'!O101</f>
        <v>0</v>
      </c>
      <c r="P101" s="80">
        <f t="shared" si="36"/>
        <v>0</v>
      </c>
      <c r="Q101" s="134">
        <f>'POD Breezeway'!Q101+'Express GL'!Q101+'Starbucks GL-SBX Truck'!Q101+'Miro''s'!Q101+'Faculty Club'!Q101+'Almazar  &amp; Brand X'!Q101+'Burger King'!Q101+Bustelo!Q101+Chilis!Q101+Einstein!Q101+Jamba!Q101+'Pollo Tropical'!Q101+'Subway GC'!Q101+'Sushi Maki'!Q101+Panda!Q101+'Starbucks Mango'!Q101+'Taco Bell'!Q101+'Chick-fil-A'!Q101+Dunkin!Q101+Chipotle!Q101+Sergios!Q101+'Moes PG5'!Q101+'Papa Johns'!Q101+Salad!Q101+'Half Moon &amp; Tropical Smoothie'!Q101+'Athletic Concessions - Kitchen'!Q101+'Starbucks BBC'!Q101+'Moes BBC'!Q101+'Grille Works BBC'!Q101+'Subway BBC'!Q101+'Market Pavillion'!Q101+'Chic Fil A BBC'!Q101+Panera!Q101+'Heritage Market'!Q101</f>
        <v>0</v>
      </c>
      <c r="R101" s="80">
        <f t="shared" si="37"/>
        <v>0</v>
      </c>
      <c r="S101" s="134">
        <f>'POD Breezeway'!S101+'Express GL'!S101+'Starbucks GL-SBX Truck'!S101+'Miro''s'!S101+'Faculty Club'!S101+'Almazar  &amp; Brand X'!S101+'Burger King'!S101+Bustelo!S101+Chilis!S101+Einstein!S101+Jamba!S101+'Pollo Tropical'!S101+'Subway GC'!S101+'Sushi Maki'!S101+Panda!S101+'Starbucks Mango'!S101+'Taco Bell'!S101+'Chick-fil-A'!S101+Dunkin!S101+Chipotle!S101+Sergios!S101+'Moes PG5'!S101+'Papa Johns'!S101+Salad!S101+'Half Moon &amp; Tropical Smoothie'!S101+'Athletic Concessions - Kitchen'!S101+'Starbucks BBC'!S101+'Moes BBC'!S101+'Grille Works BBC'!S101+'Subway BBC'!S101+'Market Pavillion'!S101+'Chic Fil A BBC'!S101+Panera!S101+'Heritage Market'!S101</f>
        <v>0</v>
      </c>
      <c r="T101" s="80">
        <f t="shared" si="38"/>
        <v>0</v>
      </c>
      <c r="U101" s="134">
        <f>'POD Breezeway'!U101+'Express GL'!U101+'Starbucks GL-SBX Truck'!U101+'Miro''s'!U101+'Faculty Club'!U101+'Almazar  &amp; Brand X'!U101+'Burger King'!U101+Bustelo!U101+Chilis!U101+Einstein!U101+Jamba!U101+'Pollo Tropical'!U101+'Subway GC'!U101+'Sushi Maki'!U101+Panda!U101+'Starbucks Mango'!U101+'Taco Bell'!U101+'Chick-fil-A'!U101+Dunkin!U101+Chipotle!U101+Sergios!U101+'Moes PG5'!U101+'Papa Johns'!U101+Salad!U101+'Half Moon &amp; Tropical Smoothie'!U101+'Athletic Concessions - Kitchen'!U101+'Starbucks BBC'!U101+'Moes BBC'!U101+'Grille Works BBC'!U101+'Subway BBC'!U101+'Market Pavillion'!U101+'Chic Fil A BBC'!U101+Panera!U101+'Heritage Market'!U101</f>
        <v>0</v>
      </c>
      <c r="V101" s="80">
        <f t="shared" si="29"/>
        <v>0</v>
      </c>
    </row>
    <row r="102" spans="1:22" ht="12.75" customHeight="1">
      <c r="A102" s="223" t="s">
        <v>433</v>
      </c>
      <c r="B102" s="222"/>
      <c r="C102" s="134">
        <f>'POD Breezeway'!C102+'Express GL'!C102+'Starbucks GL-SBX Truck'!C102+'Miro''s'!C102+'Faculty Club'!C102+'Almazar  &amp; Brand X'!C102+'Burger King'!C102+Bustelo!C102+Chilis!C102+Einstein!C102+Jamba!C102+'Pollo Tropical'!C102+'Subway GC'!C102+'Sushi Maki'!C102+Panda!C102+'Starbucks Mango'!C102+'Taco Bell'!C102+'Chick-fil-A'!C102+Dunkin!C102+Chipotle!C102+Sergios!C102+'Moes PG5'!C102+'Papa Johns'!C102+Salad!C102+'Half Moon &amp; Tropical Smoothie'!C102+'Athletic Concessions - Kitchen'!C102+'Starbucks BBC'!C102+'Moes BBC'!C102+'Grille Works BBC'!C102+'Subway BBC'!C102+'Market Pavillion'!C102+'Chic Fil A BBC'!C102+Panera!C102+'Heritage Market'!C102</f>
        <v>155752.9938</v>
      </c>
      <c r="D102" s="80">
        <f t="shared" si="30"/>
        <v>9.7989908570963059E-3</v>
      </c>
      <c r="E102" s="134">
        <f>'POD Breezeway'!E102+'Express GL'!E102+'Starbucks GL-SBX Truck'!E102+'Miro''s'!E102+'Faculty Club'!E102+'Almazar  &amp; Brand X'!E102+'Burger King'!E102+Bustelo!E102+Chilis!E102+Einstein!E102+Jamba!E102+'Pollo Tropical'!E102+'Subway GC'!E102+'Sushi Maki'!E102+Panda!E102+'Starbucks Mango'!E102+'Taco Bell'!E102+'Chick-fil-A'!E102+Dunkin!E102+Chipotle!E102+Sergios!E102+'Moes PG5'!E102+'Papa Johns'!E102+Salad!E102+'Half Moon &amp; Tropical Smoothie'!E102+'Athletic Concessions - Kitchen'!E102+'Starbucks BBC'!E102+'Moes BBC'!E102+'Grille Works BBC'!E102+'Subway BBC'!E102+'Market Pavillion'!E102+'Chic Fil A BBC'!E102+Panera!E102+'Heritage Market'!E102</f>
        <v>169962.5</v>
      </c>
      <c r="F102" s="80">
        <f t="shared" si="31"/>
        <v>9.8092601377985696E-3</v>
      </c>
      <c r="G102" s="134">
        <f>'POD Breezeway'!G102+'Express GL'!G102+'Starbucks GL-SBX Truck'!G102+'Miro''s'!G102+'Faculty Club'!G102+'Almazar  &amp; Brand X'!G102+'Burger King'!G102+Bustelo!G102+Chilis!G102+Einstein!G102+Jamba!G102+'Pollo Tropical'!G102+'Subway GC'!G102+'Sushi Maki'!G102+Panda!G102+'Starbucks Mango'!G102+'Taco Bell'!G102+'Chick-fil-A'!G102+Dunkin!G102+Chipotle!G102+Sergios!G102+'Moes PG5'!G102+'Papa Johns'!G102+Salad!G102+'Half Moon &amp; Tropical Smoothie'!G102+'Athletic Concessions - Kitchen'!G102+'Starbucks BBC'!G102+'Moes BBC'!G102+'Grille Works BBC'!G102+'Subway BBC'!G102+'Market Pavillion'!G102+'Chic Fil A BBC'!G102+Panera!G102+'Heritage Market'!G102</f>
        <v>187835.80000000002</v>
      </c>
      <c r="H102" s="80">
        <f t="shared" si="32"/>
        <v>9.823698841502488E-3</v>
      </c>
      <c r="I102" s="134">
        <f>'POD Breezeway'!I102+'Express GL'!I102+'Starbucks GL-SBX Truck'!I102+'Miro''s'!I102+'Faculty Club'!I102+'Almazar  &amp; Brand X'!I102+'Burger King'!I102+Bustelo!I102+Chilis!I102+Einstein!I102+Jamba!I102+'Pollo Tropical'!I102+'Subway GC'!I102+'Sushi Maki'!I102+Panda!I102+'Starbucks Mango'!I102+'Taco Bell'!I102+'Chick-fil-A'!I102+Dunkin!I102+Chipotle!I102+Sergios!I102+'Moes PG5'!I102+'Papa Johns'!I102+Salad!I102+'Half Moon &amp; Tropical Smoothie'!I102+'Athletic Concessions - Kitchen'!I102+'Starbucks BBC'!I102+'Moes BBC'!I102+'Grille Works BBC'!I102+'Subway BBC'!I102+'Market Pavillion'!I102+'Chic Fil A BBC'!I102+Panera!I102+'Heritage Market'!I102</f>
        <v>191683.36200000002</v>
      </c>
      <c r="J102" s="80">
        <f t="shared" si="33"/>
        <v>9.8237809248816355E-3</v>
      </c>
      <c r="K102" s="134">
        <f>'POD Breezeway'!K102+'Express GL'!K102+'Starbucks GL-SBX Truck'!K102+'Miro''s'!K102+'Faculty Club'!K102+'Almazar  &amp; Brand X'!K102+'Burger King'!K102+Bustelo!K102+Chilis!K102+Einstein!K102+Jamba!K102+'Pollo Tropical'!K102+'Subway GC'!K102+'Sushi Maki'!K102+Panda!K102+'Starbucks Mango'!K102+'Taco Bell'!K102+'Chick-fil-A'!K102+Dunkin!K102+Chipotle!K102+Sergios!K102+'Moes PG5'!K102+'Papa Johns'!K102+Salad!K102+'Half Moon &amp; Tropical Smoothie'!K102+'Athletic Concessions - Kitchen'!K102+'Starbucks BBC'!K102+'Moes BBC'!K102+'Grille Works BBC'!K102+'Subway BBC'!K102+'Market Pavillion'!K102+'Chic Fil A BBC'!K102+Panera!K102+'Heritage Market'!K102</f>
        <v>195140.50986000005</v>
      </c>
      <c r="L102" s="80">
        <f t="shared" si="34"/>
        <v>9.8234469169964037E-3</v>
      </c>
      <c r="M102" s="134">
        <f>'POD Breezeway'!M102+'Express GL'!M102+'Starbucks GL-SBX Truck'!M102+'Miro''s'!M102+'Faculty Club'!M102+'Almazar  &amp; Brand X'!M102+'Burger King'!M102+Bustelo!M102+Chilis!M102+Einstein!M102+Jamba!M102+'Pollo Tropical'!M102+'Subway GC'!M102+'Sushi Maki'!M102+Panda!M102+'Starbucks Mango'!M102+'Taco Bell'!M102+'Chick-fil-A'!M102+Dunkin!M102+Chipotle!M102+Sergios!M102+'Moes PG5'!M102+'Papa Johns'!M102+Salad!M102+'Half Moon &amp; Tropical Smoothie'!M102+'Athletic Concessions - Kitchen'!M102+'Starbucks BBC'!M102+'Moes BBC'!M102+'Grille Works BBC'!M102+'Subway BBC'!M102+'Market Pavillion'!M102+'Chic Fil A BBC'!M102+Panera!M102+'Heritage Market'!M102</f>
        <v>198663.03548340002</v>
      </c>
      <c r="N102" s="80">
        <f t="shared" si="35"/>
        <v>9.8231149337459408E-3</v>
      </c>
      <c r="O102" s="134">
        <f>'POD Breezeway'!O102+'Express GL'!O102+'Starbucks GL-SBX Truck'!O102+'Miro''s'!O102+'Faculty Club'!O102+'Almazar  &amp; Brand X'!O102+'Burger King'!O102+Bustelo!O102+Chilis!O102+Einstein!O102+Jamba!O102+'Pollo Tropical'!O102+'Subway GC'!O102+'Sushi Maki'!O102+Panda!O102+'Starbucks Mango'!O102+'Taco Bell'!O102+'Chick-fil-A'!O102+Dunkin!O102+Chipotle!O102+Sergios!O102+'Moes PG5'!O102+'Papa Johns'!O102+Salad!O102+'Half Moon &amp; Tropical Smoothie'!O102+'Athletic Concessions - Kitchen'!O102+'Starbucks BBC'!O102+'Moes BBC'!O102+'Grille Works BBC'!O102+'Subway BBC'!O102+'Market Pavillion'!O102+'Chic Fil A BBC'!O102+Panera!O102+'Heritage Market'!O102</f>
        <v>202252.20877353</v>
      </c>
      <c r="P102" s="80">
        <f t="shared" si="36"/>
        <v>9.8227849727429931E-3</v>
      </c>
      <c r="Q102" s="134">
        <f>'POD Breezeway'!Q102+'Express GL'!Q102+'Starbucks GL-SBX Truck'!Q102+'Miro''s'!Q102+'Faculty Club'!Q102+'Almazar  &amp; Brand X'!Q102+'Burger King'!Q102+Bustelo!Q102+Chilis!Q102+Einstein!Q102+Jamba!Q102+'Pollo Tropical'!Q102+'Subway GC'!Q102+'Sushi Maki'!Q102+Panda!Q102+'Starbucks Mango'!Q102+'Taco Bell'!Q102+'Chick-fil-A'!Q102+Dunkin!Q102+Chipotle!Q102+Sergios!Q102+'Moes PG5'!Q102+'Papa Johns'!Q102+Salad!Q102+'Half Moon &amp; Tropical Smoothie'!Q102+'Athletic Concessions - Kitchen'!Q102+'Starbucks BBC'!Q102+'Moes BBC'!Q102+'Grille Works BBC'!Q102+'Subway BBC'!Q102+'Market Pavillion'!Q102+'Chic Fil A BBC'!Q102+Panera!Q102+'Heritage Market'!Q102</f>
        <v>205909.32465526726</v>
      </c>
      <c r="R102" s="80">
        <f t="shared" si="37"/>
        <v>9.8224570314342178E-3</v>
      </c>
      <c r="S102" s="134">
        <f>'POD Breezeway'!S102+'Express GL'!S102+'Starbucks GL-SBX Truck'!S102+'Miro''s'!S102+'Faculty Club'!S102+'Almazar  &amp; Brand X'!S102+'Burger King'!S102+Bustelo!S102+Chilis!S102+Einstein!S102+Jamba!S102+'Pollo Tropical'!S102+'Subway GC'!S102+'Sushi Maki'!S102+Panda!S102+'Starbucks Mango'!S102+'Taco Bell'!S102+'Chick-fil-A'!S102+Dunkin!S102+Chipotle!S102+Sergios!S102+'Moes PG5'!S102+'Papa Johns'!S102+Salad!S102+'Half Moon &amp; Tropical Smoothie'!S102+'Athletic Concessions - Kitchen'!S102+'Starbucks BBC'!S102+'Moes BBC'!S102+'Grille Works BBC'!S102+'Subway BBC'!S102+'Market Pavillion'!S102+'Chic Fil A BBC'!S102+Panera!S102+'Heritage Market'!S102</f>
        <v>209635.70357170189</v>
      </c>
      <c r="T102" s="80">
        <f t="shared" si="38"/>
        <v>9.8221311071025694E-3</v>
      </c>
      <c r="U102" s="134">
        <f>'POD Breezeway'!U102+'Express GL'!U102+'Starbucks GL-SBX Truck'!U102+'Miro''s'!U102+'Faculty Club'!U102+'Almazar  &amp; Brand X'!U102+'Burger King'!U102+Bustelo!U102+Chilis!U102+Einstein!U102+Jamba!U102+'Pollo Tropical'!U102+'Subway GC'!U102+'Sushi Maki'!U102+Panda!U102+'Starbucks Mango'!U102+'Taco Bell'!U102+'Chick-fil-A'!U102+Dunkin!U102+Chipotle!U102+Sergios!U102+'Moes PG5'!U102+'Papa Johns'!U102+Salad!U102+'Half Moon &amp; Tropical Smoothie'!U102+'Athletic Concessions - Kitchen'!U102+'Starbucks BBC'!U102+'Moes BBC'!U102+'Grille Works BBC'!U102+'Subway BBC'!U102+'Market Pavillion'!U102+'Chic Fil A BBC'!U102+Panera!U102+'Heritage Market'!U102</f>
        <v>221069.41694268037</v>
      </c>
      <c r="V102" s="80">
        <f t="shared" si="29"/>
        <v>9.8278568080579706E-3</v>
      </c>
    </row>
    <row r="103" spans="1:22" ht="12.75" customHeight="1">
      <c r="A103" s="223" t="s">
        <v>433</v>
      </c>
      <c r="B103" s="222"/>
      <c r="C103" s="134">
        <f>'POD Breezeway'!C103+'Express GL'!C103+'Starbucks GL-SBX Truck'!C103+'Miro''s'!C103+'Faculty Club'!C103+'Almazar  &amp; Brand X'!C103+'Burger King'!C103+Bustelo!C103+Chilis!C103+Einstein!C103+Jamba!C103+'Pollo Tropical'!C103+'Subway GC'!C103+'Sushi Maki'!C103+Panda!C103+'Starbucks Mango'!C103+'Taco Bell'!C103+'Chick-fil-A'!C103+Dunkin!C103+Chipotle!C103+Sergios!C103+'Moes PG5'!C103+'Papa Johns'!C103+Salad!C103+'Half Moon &amp; Tropical Smoothie'!C103+'Athletic Concessions - Kitchen'!C103+'Starbucks BBC'!C103+'Moes BBC'!C103+'Grille Works BBC'!C103+'Subway BBC'!C103+'Market Pavillion'!C103+'Chic Fil A BBC'!C103+Panera!C103+'Heritage Market'!C103</f>
        <v>0</v>
      </c>
      <c r="D103" s="80">
        <f t="shared" si="30"/>
        <v>0</v>
      </c>
      <c r="E103" s="134">
        <f>'POD Breezeway'!E103+'Express GL'!E103+'Starbucks GL-SBX Truck'!E103+'Miro''s'!E103+'Faculty Club'!E103+'Almazar  &amp; Brand X'!E103+'Burger King'!E103+Bustelo!E103+Chilis!E103+Einstein!E103+Jamba!E103+'Pollo Tropical'!E103+'Subway GC'!E103+'Sushi Maki'!E103+Panda!E103+'Starbucks Mango'!E103+'Taco Bell'!E103+'Chick-fil-A'!E103+Dunkin!E103+Chipotle!E103+Sergios!E103+'Moes PG5'!E103+'Papa Johns'!E103+Salad!E103+'Half Moon &amp; Tropical Smoothie'!E103+'Athletic Concessions - Kitchen'!E103+'Starbucks BBC'!E103+'Moes BBC'!E103+'Grille Works BBC'!E103+'Subway BBC'!E103+'Market Pavillion'!E103+'Chic Fil A BBC'!E103+Panera!E103+'Heritage Market'!E103</f>
        <v>0</v>
      </c>
      <c r="F103" s="80">
        <f t="shared" si="31"/>
        <v>0</v>
      </c>
      <c r="G103" s="134">
        <f>'POD Breezeway'!G103+'Express GL'!G103+'Starbucks GL-SBX Truck'!G103+'Miro''s'!G103+'Faculty Club'!G103+'Almazar  &amp; Brand X'!G103+'Burger King'!G103+Bustelo!G103+Chilis!G103+Einstein!G103+Jamba!G103+'Pollo Tropical'!G103+'Subway GC'!G103+'Sushi Maki'!G103+Panda!G103+'Starbucks Mango'!G103+'Taco Bell'!G103+'Chick-fil-A'!G103+Dunkin!G103+Chipotle!G103+Sergios!G103+'Moes PG5'!G103+'Papa Johns'!G103+Salad!G103+'Half Moon &amp; Tropical Smoothie'!G103+'Athletic Concessions - Kitchen'!G103+'Starbucks BBC'!G103+'Moes BBC'!G103+'Grille Works BBC'!G103+'Subway BBC'!G103+'Market Pavillion'!G103+'Chic Fil A BBC'!G103+Panera!G103+'Heritage Market'!G103</f>
        <v>0</v>
      </c>
      <c r="H103" s="80">
        <f t="shared" si="32"/>
        <v>0</v>
      </c>
      <c r="I103" s="134">
        <f>'POD Breezeway'!I103+'Express GL'!I103+'Starbucks GL-SBX Truck'!I103+'Miro''s'!I103+'Faculty Club'!I103+'Almazar  &amp; Brand X'!I103+'Burger King'!I103+Bustelo!I103+Chilis!I103+Einstein!I103+Jamba!I103+'Pollo Tropical'!I103+'Subway GC'!I103+'Sushi Maki'!I103+Panda!I103+'Starbucks Mango'!I103+'Taco Bell'!I103+'Chick-fil-A'!I103+Dunkin!I103+Chipotle!I103+Sergios!I103+'Moes PG5'!I103+'Papa Johns'!I103+Salad!I103+'Half Moon &amp; Tropical Smoothie'!I103+'Athletic Concessions - Kitchen'!I103+'Starbucks BBC'!I103+'Moes BBC'!I103+'Grille Works BBC'!I103+'Subway BBC'!I103+'Market Pavillion'!I103+'Chic Fil A BBC'!I103+Panera!I103+'Heritage Market'!I103</f>
        <v>0</v>
      </c>
      <c r="J103" s="80">
        <f t="shared" si="33"/>
        <v>0</v>
      </c>
      <c r="K103" s="134">
        <f>'POD Breezeway'!K103+'Express GL'!K103+'Starbucks GL-SBX Truck'!K103+'Miro''s'!K103+'Faculty Club'!K103+'Almazar  &amp; Brand X'!K103+'Burger King'!K103+Bustelo!K103+Chilis!K103+Einstein!K103+Jamba!K103+'Pollo Tropical'!K103+'Subway GC'!K103+'Sushi Maki'!K103+Panda!K103+'Starbucks Mango'!K103+'Taco Bell'!K103+'Chick-fil-A'!K103+Dunkin!K103+Chipotle!K103+Sergios!K103+'Moes PG5'!K103+'Papa Johns'!K103+Salad!K103+'Half Moon &amp; Tropical Smoothie'!K103+'Athletic Concessions - Kitchen'!K103+'Starbucks BBC'!K103+'Moes BBC'!K103+'Grille Works BBC'!K103+'Subway BBC'!K103+'Market Pavillion'!K103+'Chic Fil A BBC'!K103+Panera!K103+'Heritage Market'!K103</f>
        <v>0</v>
      </c>
      <c r="L103" s="80">
        <f t="shared" si="34"/>
        <v>0</v>
      </c>
      <c r="M103" s="134">
        <f>'POD Breezeway'!M103+'Express GL'!M103+'Starbucks GL-SBX Truck'!M103+'Miro''s'!M103+'Faculty Club'!M103+'Almazar  &amp; Brand X'!M103+'Burger King'!M103+Bustelo!M103+Chilis!M103+Einstein!M103+Jamba!M103+'Pollo Tropical'!M103+'Subway GC'!M103+'Sushi Maki'!M103+Panda!M103+'Starbucks Mango'!M103+'Taco Bell'!M103+'Chick-fil-A'!M103+Dunkin!M103+Chipotle!M103+Sergios!M103+'Moes PG5'!M103+'Papa Johns'!M103+Salad!M103+'Half Moon &amp; Tropical Smoothie'!M103+'Athletic Concessions - Kitchen'!M103+'Starbucks BBC'!M103+'Moes BBC'!M103+'Grille Works BBC'!M103+'Subway BBC'!M103+'Market Pavillion'!M103+'Chic Fil A BBC'!M103+Panera!M103+'Heritage Market'!M103</f>
        <v>0</v>
      </c>
      <c r="N103" s="80">
        <f t="shared" si="35"/>
        <v>0</v>
      </c>
      <c r="O103" s="134">
        <f>'POD Breezeway'!O103+'Express GL'!O103+'Starbucks GL-SBX Truck'!O103+'Miro''s'!O103+'Faculty Club'!O103+'Almazar  &amp; Brand X'!O103+'Burger King'!O103+Bustelo!O103+Chilis!O103+Einstein!O103+Jamba!O103+'Pollo Tropical'!O103+'Subway GC'!O103+'Sushi Maki'!O103+Panda!O103+'Starbucks Mango'!O103+'Taco Bell'!O103+'Chick-fil-A'!O103+Dunkin!O103+Chipotle!O103+Sergios!O103+'Moes PG5'!O103+'Papa Johns'!O103+Salad!O103+'Half Moon &amp; Tropical Smoothie'!O103+'Athletic Concessions - Kitchen'!O103+'Starbucks BBC'!O103+'Moes BBC'!O103+'Grille Works BBC'!O103+'Subway BBC'!O103+'Market Pavillion'!O103+'Chic Fil A BBC'!O103+Panera!O103+'Heritage Market'!O103</f>
        <v>0</v>
      </c>
      <c r="P103" s="80">
        <f t="shared" si="36"/>
        <v>0</v>
      </c>
      <c r="Q103" s="134">
        <f>'POD Breezeway'!Q103+'Express GL'!Q103+'Starbucks GL-SBX Truck'!Q103+'Miro''s'!Q103+'Faculty Club'!Q103+'Almazar  &amp; Brand X'!Q103+'Burger King'!Q103+Bustelo!Q103+Chilis!Q103+Einstein!Q103+Jamba!Q103+'Pollo Tropical'!Q103+'Subway GC'!Q103+'Sushi Maki'!Q103+Panda!Q103+'Starbucks Mango'!Q103+'Taco Bell'!Q103+'Chick-fil-A'!Q103+Dunkin!Q103+Chipotle!Q103+Sergios!Q103+'Moes PG5'!Q103+'Papa Johns'!Q103+Salad!Q103+'Half Moon &amp; Tropical Smoothie'!Q103+'Athletic Concessions - Kitchen'!Q103+'Starbucks BBC'!Q103+'Moes BBC'!Q103+'Grille Works BBC'!Q103+'Subway BBC'!Q103+'Market Pavillion'!Q103+'Chic Fil A BBC'!Q103+Panera!Q103+'Heritage Market'!Q103</f>
        <v>0</v>
      </c>
      <c r="R103" s="80">
        <f t="shared" si="37"/>
        <v>0</v>
      </c>
      <c r="S103" s="134">
        <f>'POD Breezeway'!S103+'Express GL'!S103+'Starbucks GL-SBX Truck'!S103+'Miro''s'!S103+'Faculty Club'!S103+'Almazar  &amp; Brand X'!S103+'Burger King'!S103+Bustelo!S103+Chilis!S103+Einstein!S103+Jamba!S103+'Pollo Tropical'!S103+'Subway GC'!S103+'Sushi Maki'!S103+Panda!S103+'Starbucks Mango'!S103+'Taco Bell'!S103+'Chick-fil-A'!S103+Dunkin!S103+Chipotle!S103+Sergios!S103+'Moes PG5'!S103+'Papa Johns'!S103+Salad!S103+'Half Moon &amp; Tropical Smoothie'!S103+'Athletic Concessions - Kitchen'!S103+'Starbucks BBC'!S103+'Moes BBC'!S103+'Grille Works BBC'!S103+'Subway BBC'!S103+'Market Pavillion'!S103+'Chic Fil A BBC'!S103+Panera!S103+'Heritage Market'!S103</f>
        <v>0</v>
      </c>
      <c r="T103" s="80">
        <f t="shared" si="38"/>
        <v>0</v>
      </c>
      <c r="U103" s="134">
        <f>'POD Breezeway'!U103+'Express GL'!U103+'Starbucks GL-SBX Truck'!U103+'Miro''s'!U103+'Faculty Club'!U103+'Almazar  &amp; Brand X'!U103+'Burger King'!U103+Bustelo!U103+Chilis!U103+Einstein!U103+Jamba!U103+'Pollo Tropical'!U103+'Subway GC'!U103+'Sushi Maki'!U103+Panda!U103+'Starbucks Mango'!U103+'Taco Bell'!U103+'Chick-fil-A'!U103+Dunkin!U103+Chipotle!U103+Sergios!U103+'Moes PG5'!U103+'Papa Johns'!U103+Salad!U103+'Half Moon &amp; Tropical Smoothie'!U103+'Athletic Concessions - Kitchen'!U103+'Starbucks BBC'!U103+'Moes BBC'!U103+'Grille Works BBC'!U103+'Subway BBC'!U103+'Market Pavillion'!U103+'Chic Fil A BBC'!U103+Panera!U103+'Heritage Market'!U103</f>
        <v>0</v>
      </c>
      <c r="V103" s="80">
        <f t="shared" si="29"/>
        <v>0</v>
      </c>
    </row>
    <row r="104" spans="1:22" ht="12.75" customHeight="1">
      <c r="A104" s="223" t="s">
        <v>433</v>
      </c>
      <c r="B104" s="224"/>
      <c r="C104" s="152">
        <f>'POD Breezeway'!C104+'Express GL'!C104+'Starbucks GL-SBX Truck'!C104+'Miro''s'!C104+'Faculty Club'!C104+'Almazar  &amp; Brand X'!C104+'Burger King'!C104+Bustelo!C104+Chilis!C104+Einstein!C104+Jamba!C104+'Pollo Tropical'!C104+'Subway GC'!C104+'Sushi Maki'!C104+Panda!C104+'Starbucks Mango'!C104+'Taco Bell'!C104+'Chick-fil-A'!C104+Dunkin!C104+Chipotle!C104+Sergios!C104+'Moes PG5'!C104+'Papa Johns'!C104+Salad!C104+'Half Moon &amp; Tropical Smoothie'!C104+'Athletic Concessions - Kitchen'!C104+'Starbucks BBC'!C104+'Moes BBC'!C104+'Grille Works BBC'!C104+'Subway BBC'!C104+'Market Pavillion'!C104+'Chic Fil A BBC'!C104+Panera!C104+'Heritage Market'!C104</f>
        <v>0</v>
      </c>
      <c r="D104" s="80">
        <f t="shared" si="30"/>
        <v>0</v>
      </c>
      <c r="E104" s="152">
        <f>'POD Breezeway'!E104+'Express GL'!E104+'Starbucks GL-SBX Truck'!E104+'Miro''s'!E104+'Faculty Club'!E104+'Almazar  &amp; Brand X'!E104+'Burger King'!E104+Bustelo!E104+Chilis!E104+Einstein!E104+Jamba!E104+'Pollo Tropical'!E104+'Subway GC'!E104+'Sushi Maki'!E104+Panda!E104+'Starbucks Mango'!E104+'Taco Bell'!E104+'Chick-fil-A'!E104+Dunkin!E104+Chipotle!E104+Sergios!E104+'Moes PG5'!E104+'Papa Johns'!E104+Salad!E104+'Half Moon &amp; Tropical Smoothie'!E104+'Athletic Concessions - Kitchen'!E104+'Starbucks BBC'!E104+'Moes BBC'!E104+'Grille Works BBC'!E104+'Subway BBC'!E104+'Market Pavillion'!E104+'Chic Fil A BBC'!E104+Panera!E104+'Heritage Market'!E104</f>
        <v>0</v>
      </c>
      <c r="F104" s="80">
        <f t="shared" si="31"/>
        <v>0</v>
      </c>
      <c r="G104" s="152">
        <f>'POD Breezeway'!G104+'Express GL'!G104+'Starbucks GL-SBX Truck'!G104+'Miro''s'!G104+'Faculty Club'!G104+'Almazar  &amp; Brand X'!G104+'Burger King'!G104+Bustelo!G104+Chilis!G104+Einstein!G104+Jamba!G104+'Pollo Tropical'!G104+'Subway GC'!G104+'Sushi Maki'!G104+Panda!G104+'Starbucks Mango'!G104+'Taco Bell'!G104+'Chick-fil-A'!G104+Dunkin!G104+Chipotle!G104+Sergios!G104+'Moes PG5'!G104+'Papa Johns'!G104+Salad!G104+'Half Moon &amp; Tropical Smoothie'!G104+'Athletic Concessions - Kitchen'!G104+'Starbucks BBC'!G104+'Moes BBC'!G104+'Grille Works BBC'!G104+'Subway BBC'!G104+'Market Pavillion'!G104+'Chic Fil A BBC'!G104+Panera!G104+'Heritage Market'!G104</f>
        <v>0</v>
      </c>
      <c r="H104" s="80">
        <f t="shared" si="32"/>
        <v>0</v>
      </c>
      <c r="I104" s="152">
        <f>'POD Breezeway'!I104+'Express GL'!I104+'Starbucks GL-SBX Truck'!I104+'Miro''s'!I104+'Faculty Club'!I104+'Almazar  &amp; Brand X'!I104+'Burger King'!I104+Bustelo!I104+Chilis!I104+Einstein!I104+Jamba!I104+'Pollo Tropical'!I104+'Subway GC'!I104+'Sushi Maki'!I104+Panda!I104+'Starbucks Mango'!I104+'Taco Bell'!I104+'Chick-fil-A'!I104+Dunkin!I104+Chipotle!I104+Sergios!I104+'Moes PG5'!I104+'Papa Johns'!I104+Salad!I104+'Half Moon &amp; Tropical Smoothie'!I104+'Athletic Concessions - Kitchen'!I104+'Starbucks BBC'!I104+'Moes BBC'!I104+'Grille Works BBC'!I104+'Subway BBC'!I104+'Market Pavillion'!I104+'Chic Fil A BBC'!I104+Panera!I104+'Heritage Market'!I104</f>
        <v>0</v>
      </c>
      <c r="J104" s="80">
        <f t="shared" si="33"/>
        <v>0</v>
      </c>
      <c r="K104" s="152">
        <f>'POD Breezeway'!K104+'Express GL'!K104+'Starbucks GL-SBX Truck'!K104+'Miro''s'!K104+'Faculty Club'!K104+'Almazar  &amp; Brand X'!K104+'Burger King'!K104+Bustelo!K104+Chilis!K104+Einstein!K104+Jamba!K104+'Pollo Tropical'!K104+'Subway GC'!K104+'Sushi Maki'!K104+Panda!K104+'Starbucks Mango'!K104+'Taco Bell'!K104+'Chick-fil-A'!K104+Dunkin!K104+Chipotle!K104+Sergios!K104+'Moes PG5'!K104+'Papa Johns'!K104+Salad!K104+'Half Moon &amp; Tropical Smoothie'!K104+'Athletic Concessions - Kitchen'!K104+'Starbucks BBC'!K104+'Moes BBC'!K104+'Grille Works BBC'!K104+'Subway BBC'!K104+'Market Pavillion'!K104+'Chic Fil A BBC'!K104+Panera!K104+'Heritage Market'!K104</f>
        <v>0</v>
      </c>
      <c r="L104" s="80">
        <f t="shared" si="34"/>
        <v>0</v>
      </c>
      <c r="M104" s="152">
        <f>'POD Breezeway'!M104+'Express GL'!M104+'Starbucks GL-SBX Truck'!M104+'Miro''s'!M104+'Faculty Club'!M104+'Almazar  &amp; Brand X'!M104+'Burger King'!M104+Bustelo!M104+Chilis!M104+Einstein!M104+Jamba!M104+'Pollo Tropical'!M104+'Subway GC'!M104+'Sushi Maki'!M104+Panda!M104+'Starbucks Mango'!M104+'Taco Bell'!M104+'Chick-fil-A'!M104+Dunkin!M104+Chipotle!M104+Sergios!M104+'Moes PG5'!M104+'Papa Johns'!M104+Salad!M104+'Half Moon &amp; Tropical Smoothie'!M104+'Athletic Concessions - Kitchen'!M104+'Starbucks BBC'!M104+'Moes BBC'!M104+'Grille Works BBC'!M104+'Subway BBC'!M104+'Market Pavillion'!M104+'Chic Fil A BBC'!M104+Panera!M104+'Heritage Market'!M104</f>
        <v>0</v>
      </c>
      <c r="N104" s="80">
        <f t="shared" si="35"/>
        <v>0</v>
      </c>
      <c r="O104" s="152">
        <f>'POD Breezeway'!O104+'Express GL'!O104+'Starbucks GL-SBX Truck'!O104+'Miro''s'!O104+'Faculty Club'!O104+'Almazar  &amp; Brand X'!O104+'Burger King'!O104+Bustelo!O104+Chilis!O104+Einstein!O104+Jamba!O104+'Pollo Tropical'!O104+'Subway GC'!O104+'Sushi Maki'!O104+Panda!O104+'Starbucks Mango'!O104+'Taco Bell'!O104+'Chick-fil-A'!O104+Dunkin!O104+Chipotle!O104+Sergios!O104+'Moes PG5'!O104+'Papa Johns'!O104+Salad!O104+'Half Moon &amp; Tropical Smoothie'!O104+'Athletic Concessions - Kitchen'!O104+'Starbucks BBC'!O104+'Moes BBC'!O104+'Grille Works BBC'!O104+'Subway BBC'!O104+'Market Pavillion'!O104+'Chic Fil A BBC'!O104+Panera!O104+'Heritage Market'!O104</f>
        <v>0</v>
      </c>
      <c r="P104" s="80">
        <f t="shared" si="36"/>
        <v>0</v>
      </c>
      <c r="Q104" s="152">
        <f>'POD Breezeway'!Q104+'Express GL'!Q104+'Starbucks GL-SBX Truck'!Q104+'Miro''s'!Q104+'Faculty Club'!Q104+'Almazar  &amp; Brand X'!Q104+'Burger King'!Q104+Bustelo!Q104+Chilis!Q104+Einstein!Q104+Jamba!Q104+'Pollo Tropical'!Q104+'Subway GC'!Q104+'Sushi Maki'!Q104+Panda!Q104+'Starbucks Mango'!Q104+'Taco Bell'!Q104+'Chick-fil-A'!Q104+Dunkin!Q104+Chipotle!Q104+Sergios!Q104+'Moes PG5'!Q104+'Papa Johns'!Q104+Salad!Q104+'Half Moon &amp; Tropical Smoothie'!Q104+'Athletic Concessions - Kitchen'!Q104+'Starbucks BBC'!Q104+'Moes BBC'!Q104+'Grille Works BBC'!Q104+'Subway BBC'!Q104+'Market Pavillion'!Q104+'Chic Fil A BBC'!Q104+Panera!Q104+'Heritage Market'!Q104</f>
        <v>0</v>
      </c>
      <c r="R104" s="80">
        <f t="shared" si="37"/>
        <v>0</v>
      </c>
      <c r="S104" s="152">
        <f>'POD Breezeway'!S104+'Express GL'!S104+'Starbucks GL-SBX Truck'!S104+'Miro''s'!S104+'Faculty Club'!S104+'Almazar  &amp; Brand X'!S104+'Burger King'!S104+Bustelo!S104+Chilis!S104+Einstein!S104+Jamba!S104+'Pollo Tropical'!S104+'Subway GC'!S104+'Sushi Maki'!S104+Panda!S104+'Starbucks Mango'!S104+'Taco Bell'!S104+'Chick-fil-A'!S104+Dunkin!S104+Chipotle!S104+Sergios!S104+'Moes PG5'!S104+'Papa Johns'!S104+Salad!S104+'Half Moon &amp; Tropical Smoothie'!S104+'Athletic Concessions - Kitchen'!S104+'Starbucks BBC'!S104+'Moes BBC'!S104+'Grille Works BBC'!S104+'Subway BBC'!S104+'Market Pavillion'!S104+'Chic Fil A BBC'!S104+Panera!S104+'Heritage Market'!S104</f>
        <v>0</v>
      </c>
      <c r="T104" s="80">
        <f t="shared" si="38"/>
        <v>0</v>
      </c>
      <c r="U104" s="152">
        <f>'POD Breezeway'!U104+'Express GL'!U104+'Starbucks GL-SBX Truck'!U104+'Miro''s'!U104+'Faculty Club'!U104+'Almazar  &amp; Brand X'!U104+'Burger King'!U104+Bustelo!U104+Chilis!U104+Einstein!U104+Jamba!U104+'Pollo Tropical'!U104+'Subway GC'!U104+'Sushi Maki'!U104+Panda!U104+'Starbucks Mango'!U104+'Taco Bell'!U104+'Chick-fil-A'!U104+Dunkin!U104+Chipotle!U104+Sergios!U104+'Moes PG5'!U104+'Papa Johns'!U104+Salad!U104+'Half Moon &amp; Tropical Smoothie'!U104+'Athletic Concessions - Kitchen'!U104+'Starbucks BBC'!U104+'Moes BBC'!U104+'Grille Works BBC'!U104+'Subway BBC'!U104+'Market Pavillion'!U104+'Chic Fil A BBC'!U104+Panera!U104+'Heritage Market'!U104</f>
        <v>0</v>
      </c>
      <c r="V104" s="80">
        <f t="shared" si="29"/>
        <v>0</v>
      </c>
    </row>
    <row r="105" spans="1:22" ht="12.75" customHeight="1">
      <c r="A105" s="1" t="s">
        <v>434</v>
      </c>
      <c r="B105" s="53"/>
      <c r="C105" s="82">
        <f>SUM(C52:C104)</f>
        <v>2670370.6992848953</v>
      </c>
      <c r="D105" s="83">
        <f t="shared" si="30"/>
        <v>0.16800279358322392</v>
      </c>
      <c r="E105" s="82">
        <f>SUM(E52:E104)</f>
        <v>2681376.9564560279</v>
      </c>
      <c r="F105" s="83">
        <f t="shared" si="31"/>
        <v>0.15475369033390171</v>
      </c>
      <c r="G105" s="82">
        <f>SUM(G52:G104)</f>
        <v>2944961.9846445755</v>
      </c>
      <c r="H105" s="83">
        <f t="shared" si="32"/>
        <v>0.15401973232377311</v>
      </c>
      <c r="I105" s="82">
        <f>SUM(I52:I104)</f>
        <v>3005861.0237231553</v>
      </c>
      <c r="J105" s="83">
        <f t="shared" si="33"/>
        <v>0.15405051267671691</v>
      </c>
      <c r="K105" s="82">
        <f>SUM(K52:K104)</f>
        <v>3061413.1155088097</v>
      </c>
      <c r="L105" s="83">
        <f t="shared" si="34"/>
        <v>0.15411269168443364</v>
      </c>
      <c r="M105" s="82">
        <f>SUM(M52:M104)</f>
        <v>3119691.5507303337</v>
      </c>
      <c r="N105" s="83">
        <f t="shared" si="35"/>
        <v>0.15425662144994673</v>
      </c>
      <c r="O105" s="82">
        <f>SUM(O52:O104)</f>
        <v>3179133.1277668616</v>
      </c>
      <c r="P105" s="83">
        <f t="shared" si="36"/>
        <v>0.15440098925567211</v>
      </c>
      <c r="Q105" s="82">
        <f>SUM(Q52:Q104)</f>
        <v>3239755.395752003</v>
      </c>
      <c r="R105" s="83">
        <f t="shared" si="37"/>
        <v>0.1545454933641694</v>
      </c>
      <c r="S105" s="82">
        <f>SUM(S52:S104)</f>
        <v>3301576.4556475263</v>
      </c>
      <c r="T105" s="83">
        <f t="shared" si="38"/>
        <v>0.15468985604544916</v>
      </c>
      <c r="U105" s="82">
        <f>SUM(U52:U104)</f>
        <v>3438878.2064991011</v>
      </c>
      <c r="V105" s="83">
        <f t="shared" si="29"/>
        <v>0.15287868879026051</v>
      </c>
    </row>
    <row r="106" spans="1:22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2" ht="12.75" customHeight="1">
      <c r="A107" s="1" t="s">
        <v>435</v>
      </c>
      <c r="B107" s="53"/>
      <c r="C107" s="82">
        <f>C28-C33-C46-C105</f>
        <v>3220496.434295102</v>
      </c>
      <c r="D107" s="83">
        <f>IFERROR(C107/C$28,0)</f>
        <v>0.20261321689579592</v>
      </c>
      <c r="E107" s="82">
        <f>E28-E33-E46-E105</f>
        <v>3456584.8675927157</v>
      </c>
      <c r="F107" s="83">
        <f>IFERROR(E107/E$28,0)</f>
        <v>0.19949424228635715</v>
      </c>
      <c r="G107" s="82">
        <f>G28-G33-G46-G105</f>
        <v>3563461.9740131586</v>
      </c>
      <c r="H107" s="83">
        <f>IFERROR(G107/G$28,0)</f>
        <v>0.18636690804336142</v>
      </c>
      <c r="I107" s="82">
        <f>I28-I33-I46-I105</f>
        <v>3605036.4162258888</v>
      </c>
      <c r="J107" s="83">
        <f>IFERROR(I107/I$28,0)</f>
        <v>0.18475827849484161</v>
      </c>
      <c r="K107" s="82">
        <f>K28-K33-K46-K105</f>
        <v>3624237.1548727937</v>
      </c>
      <c r="L107" s="83">
        <f>IFERROR(K107/K$28,0)</f>
        <v>0.18244546624912131</v>
      </c>
      <c r="M107" s="82">
        <f>M28-M33-M46-M105</f>
        <v>3641144.7706902195</v>
      </c>
      <c r="N107" s="83">
        <f>IFERROR(M107/M$28,0)</f>
        <v>0.18004045637310673</v>
      </c>
      <c r="O107" s="82">
        <f>O28-O33-O46-O105</f>
        <v>3657308.3413006766</v>
      </c>
      <c r="P107" s="83">
        <f>IFERROR(O107/O$28,0)</f>
        <v>0.17762452945986126</v>
      </c>
      <c r="Q107" s="82">
        <f>Q28-Q33-Q46-Q105</f>
        <v>3672695.3789568548</v>
      </c>
      <c r="R107" s="83">
        <f>IFERROR(Q107/Q$28,0)</f>
        <v>0.17519795477813929</v>
      </c>
      <c r="S107" s="82">
        <f>S28-S33-S46-S105</f>
        <v>3687272.0002480233</v>
      </c>
      <c r="T107" s="83">
        <f>IFERROR(S107/S$28,0)</f>
        <v>0.17276097724258663</v>
      </c>
      <c r="U107" s="82">
        <f>U28-U33-U46-U105</f>
        <v>4138400.2215032759</v>
      </c>
      <c r="V107" s="83">
        <f>IFERROR(U107/U$28,0)</f>
        <v>0.18397662306186413</v>
      </c>
    </row>
    <row r="108" spans="1:22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2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2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2" ht="12.75" customHeight="1">
      <c r="A111" s="2" t="s">
        <v>390</v>
      </c>
      <c r="B111" s="35"/>
      <c r="C111" s="79">
        <f>'POD Breezeway'!C111+'Express GL'!C111+'Starbucks GL-SBX Truck'!C111+'Miro''s'!C111+'Faculty Club'!C111+'Almazar  &amp; Brand X'!C111+'Burger King'!C111+Bustelo!C111+Chilis!C111+Einstein!C111+Jamba!C111+'Pollo Tropical'!C111+'Subway GC'!C111+'Sushi Maki'!C111+Panda!C111+'Starbucks Mango'!C111+'Taco Bell'!C111+'Chick-fil-A'!C111+Dunkin!C111+Chipotle!C111+Sergios!C111+'Moes PG5'!C111+'Papa Johns'!C111+Salad!C111+'Half Moon &amp; Tropical Smoothie'!C111+'Athletic Concessions - Kitchen'!C111+'Starbucks BBC'!C111+'Moes BBC'!C111+'Grille Works BBC'!C111+'Subway BBC'!C111+'Market Pavillion'!C111+'Chic Fil A BBC'!C111+Panera!C111+'Heritage Market'!C111</f>
        <v>0</v>
      </c>
      <c r="D111" s="80">
        <f t="shared" ref="D111:D116" si="39">IFERROR(C111/C$28,0)</f>
        <v>0</v>
      </c>
      <c r="E111" s="79">
        <f>'POD Breezeway'!E111+'Express GL'!E111+'Starbucks GL-SBX Truck'!E111+'Miro''s'!E111+'Faculty Club'!E111+'Almazar  &amp; Brand X'!E111+'Burger King'!E111+Bustelo!E111+Chilis!E111+Einstein!E111+Jamba!E111+'Pollo Tropical'!E111+'Subway GC'!E111+'Sushi Maki'!E111+Panda!E111+'Starbucks Mango'!E111+'Taco Bell'!E111+'Chick-fil-A'!E111+Dunkin!E111+Chipotle!E111+Sergios!E111+'Moes PG5'!E111+'Papa Johns'!E111+Salad!E111+'Half Moon &amp; Tropical Smoothie'!E111+'Athletic Concessions - Kitchen'!E111+'Starbucks BBC'!E111+'Moes BBC'!E111+'Grille Works BBC'!E111+'Subway BBC'!E111+'Market Pavillion'!E111+'Chic Fil A BBC'!E111+Panera!E111+'Heritage Market'!E111</f>
        <v>0</v>
      </c>
      <c r="F111" s="80">
        <f t="shared" ref="F111:F116" si="40">IFERROR(E111/E$28,0)</f>
        <v>0</v>
      </c>
      <c r="G111" s="79">
        <f>'POD Breezeway'!G111+'Express GL'!G111+'Starbucks GL-SBX Truck'!G111+'Miro''s'!G111+'Faculty Club'!G111+'Almazar  &amp; Brand X'!G111+'Burger King'!G111+Bustelo!G111+Chilis!G111+Einstein!G111+Jamba!G111+'Pollo Tropical'!G111+'Subway GC'!G111+'Sushi Maki'!G111+Panda!G111+'Starbucks Mango'!G111+'Taco Bell'!G111+'Chick-fil-A'!G111+Dunkin!G111+Chipotle!G111+Sergios!G111+'Moes PG5'!G111+'Papa Johns'!G111+Salad!G111+'Half Moon &amp; Tropical Smoothie'!G111+'Athletic Concessions - Kitchen'!G111+'Starbucks BBC'!G111+'Moes BBC'!G111+'Grille Works BBC'!G111+'Subway BBC'!G111+'Market Pavillion'!G111+'Chic Fil A BBC'!G111+Panera!G111+'Heritage Market'!G111</f>
        <v>0</v>
      </c>
      <c r="H111" s="80">
        <f t="shared" ref="H111:H116" si="41">IFERROR(G111/G$28,0)</f>
        <v>0</v>
      </c>
      <c r="I111" s="79">
        <f>'POD Breezeway'!I111+'Express GL'!I111+'Starbucks GL-SBX Truck'!I111+'Miro''s'!I111+'Faculty Club'!I111+'Almazar  &amp; Brand X'!I111+'Burger King'!I111+Bustelo!I111+Chilis!I111+Einstein!I111+Jamba!I111+'Pollo Tropical'!I111+'Subway GC'!I111+'Sushi Maki'!I111+Panda!I111+'Starbucks Mango'!I111+'Taco Bell'!I111+'Chick-fil-A'!I111+Dunkin!I111+Chipotle!I111+Sergios!I111+'Moes PG5'!I111+'Papa Johns'!I111+Salad!I111+'Half Moon &amp; Tropical Smoothie'!I111+'Athletic Concessions - Kitchen'!I111+'Starbucks BBC'!I111+'Moes BBC'!I111+'Grille Works BBC'!I111+'Subway BBC'!I111+'Market Pavillion'!I111+'Chic Fil A BBC'!I111+Panera!I111+'Heritage Market'!I111</f>
        <v>0</v>
      </c>
      <c r="J111" s="80">
        <f t="shared" ref="J111:J116" si="42">IFERROR(I111/I$28,0)</f>
        <v>0</v>
      </c>
      <c r="K111" s="79">
        <f>'POD Breezeway'!K111+'Express GL'!K111+'Starbucks GL-SBX Truck'!K111+'Miro''s'!K111+'Faculty Club'!K111+'Almazar  &amp; Brand X'!K111+'Burger King'!K111+Bustelo!K111+Chilis!K111+Einstein!K111+Jamba!K111+'Pollo Tropical'!K111+'Subway GC'!K111+'Sushi Maki'!K111+Panda!K111+'Starbucks Mango'!K111+'Taco Bell'!K111+'Chick-fil-A'!K111+Dunkin!K111+Chipotle!K111+Sergios!K111+'Moes PG5'!K111+'Papa Johns'!K111+Salad!K111+'Half Moon &amp; Tropical Smoothie'!K111+'Athletic Concessions - Kitchen'!K111+'Starbucks BBC'!K111+'Moes BBC'!K111+'Grille Works BBC'!K111+'Subway BBC'!K111+'Market Pavillion'!K111+'Chic Fil A BBC'!K111+Panera!K111+'Heritage Market'!K111</f>
        <v>0</v>
      </c>
      <c r="L111" s="80">
        <f t="shared" ref="L111:L116" si="43">IFERROR(K111/K$28,0)</f>
        <v>0</v>
      </c>
      <c r="M111" s="79">
        <f>'POD Breezeway'!M111+'Express GL'!M111+'Starbucks GL-SBX Truck'!M111+'Miro''s'!M111+'Faculty Club'!M111+'Almazar  &amp; Brand X'!M111+'Burger King'!M111+Bustelo!M111+Chilis!M111+Einstein!M111+Jamba!M111+'Pollo Tropical'!M111+'Subway GC'!M111+'Sushi Maki'!M111+Panda!M111+'Starbucks Mango'!M111+'Taco Bell'!M111+'Chick-fil-A'!M111+Dunkin!M111+Chipotle!M111+Sergios!M111+'Moes PG5'!M111+'Papa Johns'!M111+Salad!M111+'Half Moon &amp; Tropical Smoothie'!M111+'Athletic Concessions - Kitchen'!M111+'Starbucks BBC'!M111+'Moes BBC'!M111+'Grille Works BBC'!M111+'Subway BBC'!M111+'Market Pavillion'!M111+'Chic Fil A BBC'!M111+Panera!M111+'Heritage Market'!M111</f>
        <v>0</v>
      </c>
      <c r="N111" s="80">
        <f t="shared" ref="N111:N116" si="44">IFERROR(M111/M$28,0)</f>
        <v>0</v>
      </c>
      <c r="O111" s="79">
        <f>'POD Breezeway'!O111+'Express GL'!O111+'Starbucks GL-SBX Truck'!O111+'Miro''s'!O111+'Faculty Club'!O111+'Almazar  &amp; Brand X'!O111+'Burger King'!O111+Bustelo!O111+Chilis!O111+Einstein!O111+Jamba!O111+'Pollo Tropical'!O111+'Subway GC'!O111+'Sushi Maki'!O111+Panda!O111+'Starbucks Mango'!O111+'Taco Bell'!O111+'Chick-fil-A'!O111+Dunkin!O111+Chipotle!O111+Sergios!O111+'Moes PG5'!O111+'Papa Johns'!O111+Salad!O111+'Half Moon &amp; Tropical Smoothie'!O111+'Athletic Concessions - Kitchen'!O111+'Starbucks BBC'!O111+'Moes BBC'!O111+'Grille Works BBC'!O111+'Subway BBC'!O111+'Market Pavillion'!O111+'Chic Fil A BBC'!O111+Panera!O111+'Heritage Market'!O111</f>
        <v>0</v>
      </c>
      <c r="P111" s="80">
        <f t="shared" ref="P111:P116" si="45">IFERROR(O111/O$28,0)</f>
        <v>0</v>
      </c>
      <c r="Q111" s="79">
        <f>'POD Breezeway'!Q111+'Express GL'!Q111+'Starbucks GL-SBX Truck'!Q111+'Miro''s'!Q111+'Faculty Club'!Q111+'Almazar  &amp; Brand X'!Q111+'Burger King'!Q111+Bustelo!Q111+Chilis!Q111+Einstein!Q111+Jamba!Q111+'Pollo Tropical'!Q111+'Subway GC'!Q111+'Sushi Maki'!Q111+Panda!Q111+'Starbucks Mango'!Q111+'Taco Bell'!Q111+'Chick-fil-A'!Q111+Dunkin!Q111+Chipotle!Q111+Sergios!Q111+'Moes PG5'!Q111+'Papa Johns'!Q111+Salad!Q111+'Half Moon &amp; Tropical Smoothie'!Q111+'Athletic Concessions - Kitchen'!Q111+'Starbucks BBC'!Q111+'Moes BBC'!Q111+'Grille Works BBC'!Q111+'Subway BBC'!Q111+'Market Pavillion'!Q111+'Chic Fil A BBC'!Q111+Panera!Q111+'Heritage Market'!Q111</f>
        <v>0</v>
      </c>
      <c r="R111" s="80">
        <f t="shared" ref="R111:R116" si="46">IFERROR(Q111/Q$28,0)</f>
        <v>0</v>
      </c>
      <c r="S111" s="79">
        <f>'POD Breezeway'!S111+'Express GL'!S111+'Starbucks GL-SBX Truck'!S111+'Miro''s'!S111+'Faculty Club'!S111+'Almazar  &amp; Brand X'!S111+'Burger King'!S111+Bustelo!S111+Chilis!S111+Einstein!S111+Jamba!S111+'Pollo Tropical'!S111+'Subway GC'!S111+'Sushi Maki'!S111+Panda!S111+'Starbucks Mango'!S111+'Taco Bell'!S111+'Chick-fil-A'!S111+Dunkin!S111+Chipotle!S111+Sergios!S111+'Moes PG5'!S111+'Papa Johns'!S111+Salad!S111+'Half Moon &amp; Tropical Smoothie'!S111+'Athletic Concessions - Kitchen'!S111+'Starbucks BBC'!S111+'Moes BBC'!S111+'Grille Works BBC'!S111+'Subway BBC'!S111+'Market Pavillion'!S111+'Chic Fil A BBC'!S111+Panera!S111+'Heritage Market'!S111</f>
        <v>0</v>
      </c>
      <c r="T111" s="80">
        <f t="shared" ref="T111:T116" si="47">IFERROR(S111/S$28,0)</f>
        <v>0</v>
      </c>
      <c r="U111" s="79">
        <f>'POD Breezeway'!U111+'Express GL'!U111+'Starbucks GL-SBX Truck'!U111+'Miro''s'!U111+'Faculty Club'!U111+'Almazar  &amp; Brand X'!U111+'Burger King'!U111+Bustelo!U111+Chilis!U111+Einstein!U111+Jamba!U111+'Pollo Tropical'!U111+'Subway GC'!U111+'Sushi Maki'!U111+Panda!U111+'Starbucks Mango'!U111+'Taco Bell'!U111+'Chick-fil-A'!U111+Dunkin!U111+Chipotle!U111+Sergios!U111+'Moes PG5'!U111+'Papa Johns'!U111+Salad!U111+'Half Moon &amp; Tropical Smoothie'!U111+'Athletic Concessions - Kitchen'!U111+'Starbucks BBC'!U111+'Moes BBC'!U111+'Grille Works BBC'!U111+'Subway BBC'!U111+'Market Pavillion'!U111+'Chic Fil A BBC'!U111+Panera!U111+'Heritage Market'!U111</f>
        <v>0</v>
      </c>
      <c r="V111" s="80">
        <f t="shared" ref="V111:V116" si="48">IFERROR(U111/U$28,0)</f>
        <v>0</v>
      </c>
    </row>
    <row r="112" spans="1:22" ht="12.75" customHeight="1">
      <c r="A112" s="2" t="s">
        <v>437</v>
      </c>
      <c r="B112" s="35"/>
      <c r="C112" s="79">
        <f>'POD Breezeway'!C112+'Express GL'!C112+'Starbucks GL-SBX Truck'!C112+'Miro''s'!C112+'Faculty Club'!C112+'Almazar  &amp; Brand X'!C112+'Burger King'!C112+Bustelo!C112+Chilis!C112+Einstein!C112+Jamba!C112+'Pollo Tropical'!C112+'Subway GC'!C112+'Sushi Maki'!C112+Panda!C112+'Starbucks Mango'!C112+'Taco Bell'!C112+'Chick-fil-A'!C112+Dunkin!C112+Chipotle!C112+Sergios!C112+'Moes PG5'!C112+'Papa Johns'!C112+Salad!C112+'Half Moon &amp; Tropical Smoothie'!C112+'Athletic Concessions - Kitchen'!C112+'Starbucks BBC'!C112+'Moes BBC'!C112+'Grille Works BBC'!C112+'Subway BBC'!C112+'Market Pavillion'!C112+'Chic Fil A BBC'!C112+Panera!C112+'Heritage Market'!C112</f>
        <v>0</v>
      </c>
      <c r="D112" s="80">
        <f t="shared" si="39"/>
        <v>0</v>
      </c>
      <c r="E112" s="79">
        <f>'POD Breezeway'!E112+'Express GL'!E112+'Starbucks GL-SBX Truck'!E112+'Miro''s'!E112+'Faculty Club'!E112+'Almazar  &amp; Brand X'!E112+'Burger King'!E112+Bustelo!E112+Chilis!E112+Einstein!E112+Jamba!E112+'Pollo Tropical'!E112+'Subway GC'!E112+'Sushi Maki'!E112+Panda!E112+'Starbucks Mango'!E112+'Taco Bell'!E112+'Chick-fil-A'!E112+Dunkin!E112+Chipotle!E112+Sergios!E112+'Moes PG5'!E112+'Papa Johns'!E112+Salad!E112+'Half Moon &amp; Tropical Smoothie'!E112+'Athletic Concessions - Kitchen'!E112+'Starbucks BBC'!E112+'Moes BBC'!E112+'Grille Works BBC'!E112+'Subway BBC'!E112+'Market Pavillion'!E112+'Chic Fil A BBC'!E112+Panera!E112+'Heritage Market'!E112</f>
        <v>0</v>
      </c>
      <c r="F112" s="80">
        <f t="shared" si="40"/>
        <v>0</v>
      </c>
      <c r="G112" s="79">
        <f>'POD Breezeway'!G112+'Express GL'!G112+'Starbucks GL-SBX Truck'!G112+'Miro''s'!G112+'Faculty Club'!G112+'Almazar  &amp; Brand X'!G112+'Burger King'!G112+Bustelo!G112+Chilis!G112+Einstein!G112+Jamba!G112+'Pollo Tropical'!G112+'Subway GC'!G112+'Sushi Maki'!G112+Panda!G112+'Starbucks Mango'!G112+'Taco Bell'!G112+'Chick-fil-A'!G112+Dunkin!G112+Chipotle!G112+Sergios!G112+'Moes PG5'!G112+'Papa Johns'!G112+Salad!G112+'Half Moon &amp; Tropical Smoothie'!G112+'Athletic Concessions - Kitchen'!G112+'Starbucks BBC'!G112+'Moes BBC'!G112+'Grille Works BBC'!G112+'Subway BBC'!G112+'Market Pavillion'!G112+'Chic Fil A BBC'!G112+Panera!G112+'Heritage Market'!G112</f>
        <v>0</v>
      </c>
      <c r="H112" s="80">
        <f t="shared" si="41"/>
        <v>0</v>
      </c>
      <c r="I112" s="79">
        <f>'POD Breezeway'!I112+'Express GL'!I112+'Starbucks GL-SBX Truck'!I112+'Miro''s'!I112+'Faculty Club'!I112+'Almazar  &amp; Brand X'!I112+'Burger King'!I112+Bustelo!I112+Chilis!I112+Einstein!I112+Jamba!I112+'Pollo Tropical'!I112+'Subway GC'!I112+'Sushi Maki'!I112+Panda!I112+'Starbucks Mango'!I112+'Taco Bell'!I112+'Chick-fil-A'!I112+Dunkin!I112+Chipotle!I112+Sergios!I112+'Moes PG5'!I112+'Papa Johns'!I112+Salad!I112+'Half Moon &amp; Tropical Smoothie'!I112+'Athletic Concessions - Kitchen'!I112+'Starbucks BBC'!I112+'Moes BBC'!I112+'Grille Works BBC'!I112+'Subway BBC'!I112+'Market Pavillion'!I112+'Chic Fil A BBC'!I112+Panera!I112+'Heritage Market'!I112</f>
        <v>0</v>
      </c>
      <c r="J112" s="80">
        <f t="shared" si="42"/>
        <v>0</v>
      </c>
      <c r="K112" s="79">
        <f>'POD Breezeway'!K112+'Express GL'!K112+'Starbucks GL-SBX Truck'!K112+'Miro''s'!K112+'Faculty Club'!K112+'Almazar  &amp; Brand X'!K112+'Burger King'!K112+Bustelo!K112+Chilis!K112+Einstein!K112+Jamba!K112+'Pollo Tropical'!K112+'Subway GC'!K112+'Sushi Maki'!K112+Panda!K112+'Starbucks Mango'!K112+'Taco Bell'!K112+'Chick-fil-A'!K112+Dunkin!K112+Chipotle!K112+Sergios!K112+'Moes PG5'!K112+'Papa Johns'!K112+Salad!K112+'Half Moon &amp; Tropical Smoothie'!K112+'Athletic Concessions - Kitchen'!K112+'Starbucks BBC'!K112+'Moes BBC'!K112+'Grille Works BBC'!K112+'Subway BBC'!K112+'Market Pavillion'!K112+'Chic Fil A BBC'!K112+Panera!K112+'Heritage Market'!K112</f>
        <v>0</v>
      </c>
      <c r="L112" s="80">
        <f t="shared" si="43"/>
        <v>0</v>
      </c>
      <c r="M112" s="79">
        <f>'POD Breezeway'!M112+'Express GL'!M112+'Starbucks GL-SBX Truck'!M112+'Miro''s'!M112+'Faculty Club'!M112+'Almazar  &amp; Brand X'!M112+'Burger King'!M112+Bustelo!M112+Chilis!M112+Einstein!M112+Jamba!M112+'Pollo Tropical'!M112+'Subway GC'!M112+'Sushi Maki'!M112+Panda!M112+'Starbucks Mango'!M112+'Taco Bell'!M112+'Chick-fil-A'!M112+Dunkin!M112+Chipotle!M112+Sergios!M112+'Moes PG5'!M112+'Papa Johns'!M112+Salad!M112+'Half Moon &amp; Tropical Smoothie'!M112+'Athletic Concessions - Kitchen'!M112+'Starbucks BBC'!M112+'Moes BBC'!M112+'Grille Works BBC'!M112+'Subway BBC'!M112+'Market Pavillion'!M112+'Chic Fil A BBC'!M112+Panera!M112+'Heritage Market'!M112</f>
        <v>0</v>
      </c>
      <c r="N112" s="80">
        <f t="shared" si="44"/>
        <v>0</v>
      </c>
      <c r="O112" s="79">
        <f>'POD Breezeway'!O112+'Express GL'!O112+'Starbucks GL-SBX Truck'!O112+'Miro''s'!O112+'Faculty Club'!O112+'Almazar  &amp; Brand X'!O112+'Burger King'!O112+Bustelo!O112+Chilis!O112+Einstein!O112+Jamba!O112+'Pollo Tropical'!O112+'Subway GC'!O112+'Sushi Maki'!O112+Panda!O112+'Starbucks Mango'!O112+'Taco Bell'!O112+'Chick-fil-A'!O112+Dunkin!O112+Chipotle!O112+Sergios!O112+'Moes PG5'!O112+'Papa Johns'!O112+Salad!O112+'Half Moon &amp; Tropical Smoothie'!O112+'Athletic Concessions - Kitchen'!O112+'Starbucks BBC'!O112+'Moes BBC'!O112+'Grille Works BBC'!O112+'Subway BBC'!O112+'Market Pavillion'!O112+'Chic Fil A BBC'!O112+Panera!O112+'Heritage Market'!O112</f>
        <v>0</v>
      </c>
      <c r="P112" s="80">
        <f t="shared" si="45"/>
        <v>0</v>
      </c>
      <c r="Q112" s="79">
        <f>'POD Breezeway'!Q112+'Express GL'!Q112+'Starbucks GL-SBX Truck'!Q112+'Miro''s'!Q112+'Faculty Club'!Q112+'Almazar  &amp; Brand X'!Q112+'Burger King'!Q112+Bustelo!Q112+Chilis!Q112+Einstein!Q112+Jamba!Q112+'Pollo Tropical'!Q112+'Subway GC'!Q112+'Sushi Maki'!Q112+Panda!Q112+'Starbucks Mango'!Q112+'Taco Bell'!Q112+'Chick-fil-A'!Q112+Dunkin!Q112+Chipotle!Q112+Sergios!Q112+'Moes PG5'!Q112+'Papa Johns'!Q112+Salad!Q112+'Half Moon &amp; Tropical Smoothie'!Q112+'Athletic Concessions - Kitchen'!Q112+'Starbucks BBC'!Q112+'Moes BBC'!Q112+'Grille Works BBC'!Q112+'Subway BBC'!Q112+'Market Pavillion'!Q112+'Chic Fil A BBC'!Q112+Panera!Q112+'Heritage Market'!Q112</f>
        <v>0</v>
      </c>
      <c r="R112" s="80">
        <f t="shared" si="46"/>
        <v>0</v>
      </c>
      <c r="S112" s="79">
        <f>'POD Breezeway'!S112+'Express GL'!S112+'Starbucks GL-SBX Truck'!S112+'Miro''s'!S112+'Faculty Club'!S112+'Almazar  &amp; Brand X'!S112+'Burger King'!S112+Bustelo!S112+Chilis!S112+Einstein!S112+Jamba!S112+'Pollo Tropical'!S112+'Subway GC'!S112+'Sushi Maki'!S112+Panda!S112+'Starbucks Mango'!S112+'Taco Bell'!S112+'Chick-fil-A'!S112+Dunkin!S112+Chipotle!S112+Sergios!S112+'Moes PG5'!S112+'Papa Johns'!S112+Salad!S112+'Half Moon &amp; Tropical Smoothie'!S112+'Athletic Concessions - Kitchen'!S112+'Starbucks BBC'!S112+'Moes BBC'!S112+'Grille Works BBC'!S112+'Subway BBC'!S112+'Market Pavillion'!S112+'Chic Fil A BBC'!S112+Panera!S112+'Heritage Market'!S112</f>
        <v>0</v>
      </c>
      <c r="T112" s="80">
        <f t="shared" si="47"/>
        <v>0</v>
      </c>
      <c r="U112" s="79">
        <f>'POD Breezeway'!U112+'Express GL'!U112+'Starbucks GL-SBX Truck'!U112+'Miro''s'!U112+'Faculty Club'!U112+'Almazar  &amp; Brand X'!U112+'Burger King'!U112+Bustelo!U112+Chilis!U112+Einstein!U112+Jamba!U112+'Pollo Tropical'!U112+'Subway GC'!U112+'Sushi Maki'!U112+Panda!U112+'Starbucks Mango'!U112+'Taco Bell'!U112+'Chick-fil-A'!U112+Dunkin!U112+Chipotle!U112+Sergios!U112+'Moes PG5'!U112+'Papa Johns'!U112+Salad!U112+'Half Moon &amp; Tropical Smoothie'!U112+'Athletic Concessions - Kitchen'!U112+'Starbucks BBC'!U112+'Moes BBC'!U112+'Grille Works BBC'!U112+'Subway BBC'!U112+'Market Pavillion'!U112+'Chic Fil A BBC'!U112+Panera!U112+'Heritage Market'!U112</f>
        <v>0</v>
      </c>
      <c r="V112" s="80">
        <f t="shared" si="48"/>
        <v>0</v>
      </c>
    </row>
    <row r="113" spans="1:22" ht="12.75" customHeight="1">
      <c r="A113" s="117" t="s">
        <v>433</v>
      </c>
      <c r="B113" s="41"/>
      <c r="C113" s="79">
        <f>'POD Breezeway'!C113+'Express GL'!C113+'Starbucks GL-SBX Truck'!C113+'Miro''s'!C113+'Faculty Club'!C113+'Almazar  &amp; Brand X'!C113+'Burger King'!C113+Bustelo!C113+Chilis!C113+Einstein!C113+Jamba!C113+'Pollo Tropical'!C113+'Subway GC'!C113+'Sushi Maki'!C113+Panda!C113+'Starbucks Mango'!C113+'Taco Bell'!C113+'Chick-fil-A'!C113+Dunkin!C113+Chipotle!C113+Sergios!C113+'Moes PG5'!C113+'Papa Johns'!C113+Salad!C113+'Half Moon &amp; Tropical Smoothie'!C113+'Athletic Concessions - Kitchen'!C113+'Starbucks BBC'!C113+'Moes BBC'!C113+'Grille Works BBC'!C113+'Subway BBC'!C113+'Market Pavillion'!C113+'Chic Fil A BBC'!C113+Panera!C113+'Heritage Market'!C113</f>
        <v>0</v>
      </c>
      <c r="D113" s="80">
        <f t="shared" si="39"/>
        <v>0</v>
      </c>
      <c r="E113" s="79">
        <f>'POD Breezeway'!E113+'Express GL'!E113+'Starbucks GL-SBX Truck'!E113+'Miro''s'!E113+'Faculty Club'!E113+'Almazar  &amp; Brand X'!E113+'Burger King'!E113+Bustelo!E113+Chilis!E113+Einstein!E113+Jamba!E113+'Pollo Tropical'!E113+'Subway GC'!E113+'Sushi Maki'!E113+Panda!E113+'Starbucks Mango'!E113+'Taco Bell'!E113+'Chick-fil-A'!E113+Dunkin!E113+Chipotle!E113+Sergios!E113+'Moes PG5'!E113+'Papa Johns'!E113+Salad!E113+'Half Moon &amp; Tropical Smoothie'!E113+'Athletic Concessions - Kitchen'!E113+'Starbucks BBC'!E113+'Moes BBC'!E113+'Grille Works BBC'!E113+'Subway BBC'!E113+'Market Pavillion'!E113+'Chic Fil A BBC'!E113+Panera!E113+'Heritage Market'!E113</f>
        <v>0</v>
      </c>
      <c r="F113" s="80">
        <f t="shared" si="40"/>
        <v>0</v>
      </c>
      <c r="G113" s="79">
        <f>'POD Breezeway'!G113+'Express GL'!G113+'Starbucks GL-SBX Truck'!G113+'Miro''s'!G113+'Faculty Club'!G113+'Almazar  &amp; Brand X'!G113+'Burger King'!G113+Bustelo!G113+Chilis!G113+Einstein!G113+Jamba!G113+'Pollo Tropical'!G113+'Subway GC'!G113+'Sushi Maki'!G113+Panda!G113+'Starbucks Mango'!G113+'Taco Bell'!G113+'Chick-fil-A'!G113+Dunkin!G113+Chipotle!G113+Sergios!G113+'Moes PG5'!G113+'Papa Johns'!G113+Salad!G113+'Half Moon &amp; Tropical Smoothie'!G113+'Athletic Concessions - Kitchen'!G113+'Starbucks BBC'!G113+'Moes BBC'!G113+'Grille Works BBC'!G113+'Subway BBC'!G113+'Market Pavillion'!G113+'Chic Fil A BBC'!G113+Panera!G113+'Heritage Market'!G113</f>
        <v>0</v>
      </c>
      <c r="H113" s="80">
        <f t="shared" si="41"/>
        <v>0</v>
      </c>
      <c r="I113" s="79">
        <f>'POD Breezeway'!I113+'Express GL'!I113+'Starbucks GL-SBX Truck'!I113+'Miro''s'!I113+'Faculty Club'!I113+'Almazar  &amp; Brand X'!I113+'Burger King'!I113+Bustelo!I113+Chilis!I113+Einstein!I113+Jamba!I113+'Pollo Tropical'!I113+'Subway GC'!I113+'Sushi Maki'!I113+Panda!I113+'Starbucks Mango'!I113+'Taco Bell'!I113+'Chick-fil-A'!I113+Dunkin!I113+Chipotle!I113+Sergios!I113+'Moes PG5'!I113+'Papa Johns'!I113+Salad!I113+'Half Moon &amp; Tropical Smoothie'!I113+'Athletic Concessions - Kitchen'!I113+'Starbucks BBC'!I113+'Moes BBC'!I113+'Grille Works BBC'!I113+'Subway BBC'!I113+'Market Pavillion'!I113+'Chic Fil A BBC'!I113+Panera!I113+'Heritage Market'!I113</f>
        <v>0</v>
      </c>
      <c r="J113" s="80">
        <f t="shared" si="42"/>
        <v>0</v>
      </c>
      <c r="K113" s="79">
        <f>'POD Breezeway'!K113+'Express GL'!K113+'Starbucks GL-SBX Truck'!K113+'Miro''s'!K113+'Faculty Club'!K113+'Almazar  &amp; Brand X'!K113+'Burger King'!K113+Bustelo!K113+Chilis!K113+Einstein!K113+Jamba!K113+'Pollo Tropical'!K113+'Subway GC'!K113+'Sushi Maki'!K113+Panda!K113+'Starbucks Mango'!K113+'Taco Bell'!K113+'Chick-fil-A'!K113+Dunkin!K113+Chipotle!K113+Sergios!K113+'Moes PG5'!K113+'Papa Johns'!K113+Salad!K113+'Half Moon &amp; Tropical Smoothie'!K113+'Athletic Concessions - Kitchen'!K113+'Starbucks BBC'!K113+'Moes BBC'!K113+'Grille Works BBC'!K113+'Subway BBC'!K113+'Market Pavillion'!K113+'Chic Fil A BBC'!K113+Panera!K113+'Heritage Market'!K113</f>
        <v>0</v>
      </c>
      <c r="L113" s="80">
        <f t="shared" si="43"/>
        <v>0</v>
      </c>
      <c r="M113" s="79">
        <f>'POD Breezeway'!M113+'Express GL'!M113+'Starbucks GL-SBX Truck'!M113+'Miro''s'!M113+'Faculty Club'!M113+'Almazar  &amp; Brand X'!M113+'Burger King'!M113+Bustelo!M113+Chilis!M113+Einstein!M113+Jamba!M113+'Pollo Tropical'!M113+'Subway GC'!M113+'Sushi Maki'!M113+Panda!M113+'Starbucks Mango'!M113+'Taco Bell'!M113+'Chick-fil-A'!M113+Dunkin!M113+Chipotle!M113+Sergios!M113+'Moes PG5'!M113+'Papa Johns'!M113+Salad!M113+'Half Moon &amp; Tropical Smoothie'!M113+'Athletic Concessions - Kitchen'!M113+'Starbucks BBC'!M113+'Moes BBC'!M113+'Grille Works BBC'!M113+'Subway BBC'!M113+'Market Pavillion'!M113+'Chic Fil A BBC'!M113+Panera!M113+'Heritage Market'!M113</f>
        <v>0</v>
      </c>
      <c r="N113" s="80">
        <f t="shared" si="44"/>
        <v>0</v>
      </c>
      <c r="O113" s="79">
        <f>'POD Breezeway'!O113+'Express GL'!O113+'Starbucks GL-SBX Truck'!O113+'Miro''s'!O113+'Faculty Club'!O113+'Almazar  &amp; Brand X'!O113+'Burger King'!O113+Bustelo!O113+Chilis!O113+Einstein!O113+Jamba!O113+'Pollo Tropical'!O113+'Subway GC'!O113+'Sushi Maki'!O113+Panda!O113+'Starbucks Mango'!O113+'Taco Bell'!O113+'Chick-fil-A'!O113+Dunkin!O113+Chipotle!O113+Sergios!O113+'Moes PG5'!O113+'Papa Johns'!O113+Salad!O113+'Half Moon &amp; Tropical Smoothie'!O113+'Athletic Concessions - Kitchen'!O113+'Starbucks BBC'!O113+'Moes BBC'!O113+'Grille Works BBC'!O113+'Subway BBC'!O113+'Market Pavillion'!O113+'Chic Fil A BBC'!O113+Panera!O113+'Heritage Market'!O113</f>
        <v>0</v>
      </c>
      <c r="P113" s="80">
        <f t="shared" si="45"/>
        <v>0</v>
      </c>
      <c r="Q113" s="79">
        <f>'POD Breezeway'!Q113+'Express GL'!Q113+'Starbucks GL-SBX Truck'!Q113+'Miro''s'!Q113+'Faculty Club'!Q113+'Almazar  &amp; Brand X'!Q113+'Burger King'!Q113+Bustelo!Q113+Chilis!Q113+Einstein!Q113+Jamba!Q113+'Pollo Tropical'!Q113+'Subway GC'!Q113+'Sushi Maki'!Q113+Panda!Q113+'Starbucks Mango'!Q113+'Taco Bell'!Q113+'Chick-fil-A'!Q113+Dunkin!Q113+Chipotle!Q113+Sergios!Q113+'Moes PG5'!Q113+'Papa Johns'!Q113+Salad!Q113+'Half Moon &amp; Tropical Smoothie'!Q113+'Athletic Concessions - Kitchen'!Q113+'Starbucks BBC'!Q113+'Moes BBC'!Q113+'Grille Works BBC'!Q113+'Subway BBC'!Q113+'Market Pavillion'!Q113+'Chic Fil A BBC'!Q113+Panera!Q113+'Heritage Market'!Q113</f>
        <v>0</v>
      </c>
      <c r="R113" s="80">
        <f t="shared" si="46"/>
        <v>0</v>
      </c>
      <c r="S113" s="79">
        <f>'POD Breezeway'!S113+'Express GL'!S113+'Starbucks GL-SBX Truck'!S113+'Miro''s'!S113+'Faculty Club'!S113+'Almazar  &amp; Brand X'!S113+'Burger King'!S113+Bustelo!S113+Chilis!S113+Einstein!S113+Jamba!S113+'Pollo Tropical'!S113+'Subway GC'!S113+'Sushi Maki'!S113+Panda!S113+'Starbucks Mango'!S113+'Taco Bell'!S113+'Chick-fil-A'!S113+Dunkin!S113+Chipotle!S113+Sergios!S113+'Moes PG5'!S113+'Papa Johns'!S113+Salad!S113+'Half Moon &amp; Tropical Smoothie'!S113+'Athletic Concessions - Kitchen'!S113+'Starbucks BBC'!S113+'Moes BBC'!S113+'Grille Works BBC'!S113+'Subway BBC'!S113+'Market Pavillion'!S113+'Chic Fil A BBC'!S113+Panera!S113+'Heritage Market'!S113</f>
        <v>0</v>
      </c>
      <c r="T113" s="80">
        <f t="shared" si="47"/>
        <v>0</v>
      </c>
      <c r="U113" s="79">
        <f>'POD Breezeway'!U113+'Express GL'!U113+'Starbucks GL-SBX Truck'!U113+'Miro''s'!U113+'Faculty Club'!U113+'Almazar  &amp; Brand X'!U113+'Burger King'!U113+Bustelo!U113+Chilis!U113+Einstein!U113+Jamba!U113+'Pollo Tropical'!U113+'Subway GC'!U113+'Sushi Maki'!U113+Panda!U113+'Starbucks Mango'!U113+'Taco Bell'!U113+'Chick-fil-A'!U113+Dunkin!U113+Chipotle!U113+Sergios!U113+'Moes PG5'!U113+'Papa Johns'!U113+Salad!U113+'Half Moon &amp; Tropical Smoothie'!U113+'Athletic Concessions - Kitchen'!U113+'Starbucks BBC'!U113+'Moes BBC'!U113+'Grille Works BBC'!U113+'Subway BBC'!U113+'Market Pavillion'!U113+'Chic Fil A BBC'!U113+Panera!U113+'Heritage Market'!U113</f>
        <v>0</v>
      </c>
      <c r="V113" s="80">
        <f t="shared" si="48"/>
        <v>0</v>
      </c>
    </row>
    <row r="114" spans="1:22" ht="12.75" customHeight="1">
      <c r="A114" s="117" t="s">
        <v>433</v>
      </c>
      <c r="B114" s="41"/>
      <c r="C114" s="79">
        <f>'POD Breezeway'!C114+'Express GL'!C114+'Starbucks GL-SBX Truck'!C114+'Miro''s'!C114+'Faculty Club'!C114+'Almazar  &amp; Brand X'!C114+'Burger King'!C114+Bustelo!C114+Chilis!C114+Einstein!C114+Jamba!C114+'Pollo Tropical'!C114+'Subway GC'!C114+'Sushi Maki'!C114+Panda!C114+'Starbucks Mango'!C114+'Taco Bell'!C114+'Chick-fil-A'!C114+Dunkin!C114+Chipotle!C114+Sergios!C114+'Moes PG5'!C114+'Papa Johns'!C114+Salad!C114+'Half Moon &amp; Tropical Smoothie'!C114+'Athletic Concessions - Kitchen'!C114+'Starbucks BBC'!C114+'Moes BBC'!C114+'Grille Works BBC'!C114+'Subway BBC'!C114+'Market Pavillion'!C114+'Chic Fil A BBC'!C114+Panera!C114+'Heritage Market'!C114</f>
        <v>0</v>
      </c>
      <c r="D114" s="80">
        <f t="shared" si="39"/>
        <v>0</v>
      </c>
      <c r="E114" s="79">
        <f>'POD Breezeway'!E114+'Express GL'!E114+'Starbucks GL-SBX Truck'!E114+'Miro''s'!E114+'Faculty Club'!E114+'Almazar  &amp; Brand X'!E114+'Burger King'!E114+Bustelo!E114+Chilis!E114+Einstein!E114+Jamba!E114+'Pollo Tropical'!E114+'Subway GC'!E114+'Sushi Maki'!E114+Panda!E114+'Starbucks Mango'!E114+'Taco Bell'!E114+'Chick-fil-A'!E114+Dunkin!E114+Chipotle!E114+Sergios!E114+'Moes PG5'!E114+'Papa Johns'!E114+Salad!E114+'Half Moon &amp; Tropical Smoothie'!E114+'Athletic Concessions - Kitchen'!E114+'Starbucks BBC'!E114+'Moes BBC'!E114+'Grille Works BBC'!E114+'Subway BBC'!E114+'Market Pavillion'!E114+'Chic Fil A BBC'!E114+Panera!E114+'Heritage Market'!E114</f>
        <v>0</v>
      </c>
      <c r="F114" s="80">
        <f t="shared" si="40"/>
        <v>0</v>
      </c>
      <c r="G114" s="79">
        <f>'POD Breezeway'!G114+'Express GL'!G114+'Starbucks GL-SBX Truck'!G114+'Miro''s'!G114+'Faculty Club'!G114+'Almazar  &amp; Brand X'!G114+'Burger King'!G114+Bustelo!G114+Chilis!G114+Einstein!G114+Jamba!G114+'Pollo Tropical'!G114+'Subway GC'!G114+'Sushi Maki'!G114+Panda!G114+'Starbucks Mango'!G114+'Taco Bell'!G114+'Chick-fil-A'!G114+Dunkin!G114+Chipotle!G114+Sergios!G114+'Moes PG5'!G114+'Papa Johns'!G114+Salad!G114+'Half Moon &amp; Tropical Smoothie'!G114+'Athletic Concessions - Kitchen'!G114+'Starbucks BBC'!G114+'Moes BBC'!G114+'Grille Works BBC'!G114+'Subway BBC'!G114+'Market Pavillion'!G114+'Chic Fil A BBC'!G114+Panera!G114+'Heritage Market'!G114</f>
        <v>0</v>
      </c>
      <c r="H114" s="80">
        <f t="shared" si="41"/>
        <v>0</v>
      </c>
      <c r="I114" s="79">
        <f>'POD Breezeway'!I114+'Express GL'!I114+'Starbucks GL-SBX Truck'!I114+'Miro''s'!I114+'Faculty Club'!I114+'Almazar  &amp; Brand X'!I114+'Burger King'!I114+Bustelo!I114+Chilis!I114+Einstein!I114+Jamba!I114+'Pollo Tropical'!I114+'Subway GC'!I114+'Sushi Maki'!I114+Panda!I114+'Starbucks Mango'!I114+'Taco Bell'!I114+'Chick-fil-A'!I114+Dunkin!I114+Chipotle!I114+Sergios!I114+'Moes PG5'!I114+'Papa Johns'!I114+Salad!I114+'Half Moon &amp; Tropical Smoothie'!I114+'Athletic Concessions - Kitchen'!I114+'Starbucks BBC'!I114+'Moes BBC'!I114+'Grille Works BBC'!I114+'Subway BBC'!I114+'Market Pavillion'!I114+'Chic Fil A BBC'!I114+Panera!I114+'Heritage Market'!I114</f>
        <v>0</v>
      </c>
      <c r="J114" s="80">
        <f t="shared" si="42"/>
        <v>0</v>
      </c>
      <c r="K114" s="79">
        <f>'POD Breezeway'!K114+'Express GL'!K114+'Starbucks GL-SBX Truck'!K114+'Miro''s'!K114+'Faculty Club'!K114+'Almazar  &amp; Brand X'!K114+'Burger King'!K114+Bustelo!K114+Chilis!K114+Einstein!K114+Jamba!K114+'Pollo Tropical'!K114+'Subway GC'!K114+'Sushi Maki'!K114+Panda!K114+'Starbucks Mango'!K114+'Taco Bell'!K114+'Chick-fil-A'!K114+Dunkin!K114+Chipotle!K114+Sergios!K114+'Moes PG5'!K114+'Papa Johns'!K114+Salad!K114+'Half Moon &amp; Tropical Smoothie'!K114+'Athletic Concessions - Kitchen'!K114+'Starbucks BBC'!K114+'Moes BBC'!K114+'Grille Works BBC'!K114+'Subway BBC'!K114+'Market Pavillion'!K114+'Chic Fil A BBC'!K114+Panera!K114+'Heritage Market'!K114</f>
        <v>0</v>
      </c>
      <c r="L114" s="80">
        <f t="shared" si="43"/>
        <v>0</v>
      </c>
      <c r="M114" s="79">
        <f>'POD Breezeway'!M114+'Express GL'!M114+'Starbucks GL-SBX Truck'!M114+'Miro''s'!M114+'Faculty Club'!M114+'Almazar  &amp; Brand X'!M114+'Burger King'!M114+Bustelo!M114+Chilis!M114+Einstein!M114+Jamba!M114+'Pollo Tropical'!M114+'Subway GC'!M114+'Sushi Maki'!M114+Panda!M114+'Starbucks Mango'!M114+'Taco Bell'!M114+'Chick-fil-A'!M114+Dunkin!M114+Chipotle!M114+Sergios!M114+'Moes PG5'!M114+'Papa Johns'!M114+Salad!M114+'Half Moon &amp; Tropical Smoothie'!M114+'Athletic Concessions - Kitchen'!M114+'Starbucks BBC'!M114+'Moes BBC'!M114+'Grille Works BBC'!M114+'Subway BBC'!M114+'Market Pavillion'!M114+'Chic Fil A BBC'!M114+Panera!M114+'Heritage Market'!M114</f>
        <v>0</v>
      </c>
      <c r="N114" s="80">
        <f t="shared" si="44"/>
        <v>0</v>
      </c>
      <c r="O114" s="79">
        <f>'POD Breezeway'!O114+'Express GL'!O114+'Starbucks GL-SBX Truck'!O114+'Miro''s'!O114+'Faculty Club'!O114+'Almazar  &amp; Brand X'!O114+'Burger King'!O114+Bustelo!O114+Chilis!O114+Einstein!O114+Jamba!O114+'Pollo Tropical'!O114+'Subway GC'!O114+'Sushi Maki'!O114+Panda!O114+'Starbucks Mango'!O114+'Taco Bell'!O114+'Chick-fil-A'!O114+Dunkin!O114+Chipotle!O114+Sergios!O114+'Moes PG5'!O114+'Papa Johns'!O114+Salad!O114+'Half Moon &amp; Tropical Smoothie'!O114+'Athletic Concessions - Kitchen'!O114+'Starbucks BBC'!O114+'Moes BBC'!O114+'Grille Works BBC'!O114+'Subway BBC'!O114+'Market Pavillion'!O114+'Chic Fil A BBC'!O114+Panera!O114+'Heritage Market'!O114</f>
        <v>0</v>
      </c>
      <c r="P114" s="80">
        <f t="shared" si="45"/>
        <v>0</v>
      </c>
      <c r="Q114" s="79">
        <f>'POD Breezeway'!Q114+'Express GL'!Q114+'Starbucks GL-SBX Truck'!Q114+'Miro''s'!Q114+'Faculty Club'!Q114+'Almazar  &amp; Brand X'!Q114+'Burger King'!Q114+Bustelo!Q114+Chilis!Q114+Einstein!Q114+Jamba!Q114+'Pollo Tropical'!Q114+'Subway GC'!Q114+'Sushi Maki'!Q114+Panda!Q114+'Starbucks Mango'!Q114+'Taco Bell'!Q114+'Chick-fil-A'!Q114+Dunkin!Q114+Chipotle!Q114+Sergios!Q114+'Moes PG5'!Q114+'Papa Johns'!Q114+Salad!Q114+'Half Moon &amp; Tropical Smoothie'!Q114+'Athletic Concessions - Kitchen'!Q114+'Starbucks BBC'!Q114+'Moes BBC'!Q114+'Grille Works BBC'!Q114+'Subway BBC'!Q114+'Market Pavillion'!Q114+'Chic Fil A BBC'!Q114+Panera!Q114+'Heritage Market'!Q114</f>
        <v>0</v>
      </c>
      <c r="R114" s="80">
        <f t="shared" si="46"/>
        <v>0</v>
      </c>
      <c r="S114" s="79">
        <f>'POD Breezeway'!S114+'Express GL'!S114+'Starbucks GL-SBX Truck'!S114+'Miro''s'!S114+'Faculty Club'!S114+'Almazar  &amp; Brand X'!S114+'Burger King'!S114+Bustelo!S114+Chilis!S114+Einstein!S114+Jamba!S114+'Pollo Tropical'!S114+'Subway GC'!S114+'Sushi Maki'!S114+Panda!S114+'Starbucks Mango'!S114+'Taco Bell'!S114+'Chick-fil-A'!S114+Dunkin!S114+Chipotle!S114+Sergios!S114+'Moes PG5'!S114+'Papa Johns'!S114+Salad!S114+'Half Moon &amp; Tropical Smoothie'!S114+'Athletic Concessions - Kitchen'!S114+'Starbucks BBC'!S114+'Moes BBC'!S114+'Grille Works BBC'!S114+'Subway BBC'!S114+'Market Pavillion'!S114+'Chic Fil A BBC'!S114+Panera!S114+'Heritage Market'!S114</f>
        <v>0</v>
      </c>
      <c r="T114" s="80">
        <f t="shared" si="47"/>
        <v>0</v>
      </c>
      <c r="U114" s="79">
        <f>'POD Breezeway'!U114+'Express GL'!U114+'Starbucks GL-SBX Truck'!U114+'Miro''s'!U114+'Faculty Club'!U114+'Almazar  &amp; Brand X'!U114+'Burger King'!U114+Bustelo!U114+Chilis!U114+Einstein!U114+Jamba!U114+'Pollo Tropical'!U114+'Subway GC'!U114+'Sushi Maki'!U114+Panda!U114+'Starbucks Mango'!U114+'Taco Bell'!U114+'Chick-fil-A'!U114+Dunkin!U114+Chipotle!U114+Sergios!U114+'Moes PG5'!U114+'Papa Johns'!U114+Salad!U114+'Half Moon &amp; Tropical Smoothie'!U114+'Athletic Concessions - Kitchen'!U114+'Starbucks BBC'!U114+'Moes BBC'!U114+'Grille Works BBC'!U114+'Subway BBC'!U114+'Market Pavillion'!U114+'Chic Fil A BBC'!U114+Panera!U114+'Heritage Market'!U114</f>
        <v>0</v>
      </c>
      <c r="V114" s="80">
        <f t="shared" si="48"/>
        <v>0</v>
      </c>
    </row>
    <row r="115" spans="1:22" ht="12.75" customHeight="1">
      <c r="A115" s="117" t="s">
        <v>433</v>
      </c>
      <c r="B115" s="41"/>
      <c r="C115" s="79">
        <f>'POD Breezeway'!C115+'Express GL'!C115+'Starbucks GL-SBX Truck'!C115+'Miro''s'!C115+'Faculty Club'!C115+'Almazar  &amp; Brand X'!C115+'Burger King'!C115+Bustelo!C115+Chilis!C115+Einstein!C115+Jamba!C115+'Pollo Tropical'!C115+'Subway GC'!C115+'Sushi Maki'!C115+Panda!C115+'Starbucks Mango'!C115+'Taco Bell'!C115+'Chick-fil-A'!C115+Dunkin!C115+Chipotle!C115+Sergios!C115+'Moes PG5'!C115+'Papa Johns'!C115+Salad!C115+'Half Moon &amp; Tropical Smoothie'!C115+'Athletic Concessions - Kitchen'!C115+'Starbucks BBC'!C115+'Moes BBC'!C115+'Grille Works BBC'!C115+'Subway BBC'!C115+'Market Pavillion'!C115+'Chic Fil A BBC'!C115+Panera!C115+'Heritage Market'!C115</f>
        <v>0</v>
      </c>
      <c r="D115" s="80">
        <f t="shared" si="39"/>
        <v>0</v>
      </c>
      <c r="E115" s="79">
        <f>'POD Breezeway'!E115+'Express GL'!E115+'Starbucks GL-SBX Truck'!E115+'Miro''s'!E115+'Faculty Club'!E115+'Almazar  &amp; Brand X'!E115+'Burger King'!E115+Bustelo!E115+Chilis!E115+Einstein!E115+Jamba!E115+'Pollo Tropical'!E115+'Subway GC'!E115+'Sushi Maki'!E115+Panda!E115+'Starbucks Mango'!E115+'Taco Bell'!E115+'Chick-fil-A'!E115+Dunkin!E115+Chipotle!E115+Sergios!E115+'Moes PG5'!E115+'Papa Johns'!E115+Salad!E115+'Half Moon &amp; Tropical Smoothie'!E115+'Athletic Concessions - Kitchen'!E115+'Starbucks BBC'!E115+'Moes BBC'!E115+'Grille Works BBC'!E115+'Subway BBC'!E115+'Market Pavillion'!E115+'Chic Fil A BBC'!E115+Panera!E115+'Heritage Market'!E115</f>
        <v>0</v>
      </c>
      <c r="F115" s="80">
        <f t="shared" si="40"/>
        <v>0</v>
      </c>
      <c r="G115" s="79">
        <f>'POD Breezeway'!G115+'Express GL'!G115+'Starbucks GL-SBX Truck'!G115+'Miro''s'!G115+'Faculty Club'!G115+'Almazar  &amp; Brand X'!G115+'Burger King'!G115+Bustelo!G115+Chilis!G115+Einstein!G115+Jamba!G115+'Pollo Tropical'!G115+'Subway GC'!G115+'Sushi Maki'!G115+Panda!G115+'Starbucks Mango'!G115+'Taco Bell'!G115+'Chick-fil-A'!G115+Dunkin!G115+Chipotle!G115+Sergios!G115+'Moes PG5'!G115+'Papa Johns'!G115+Salad!G115+'Half Moon &amp; Tropical Smoothie'!G115+'Athletic Concessions - Kitchen'!G115+'Starbucks BBC'!G115+'Moes BBC'!G115+'Grille Works BBC'!G115+'Subway BBC'!G115+'Market Pavillion'!G115+'Chic Fil A BBC'!G115+Panera!G115+'Heritage Market'!G115</f>
        <v>0</v>
      </c>
      <c r="H115" s="80">
        <f t="shared" si="41"/>
        <v>0</v>
      </c>
      <c r="I115" s="79">
        <f>'POD Breezeway'!I115+'Express GL'!I115+'Starbucks GL-SBX Truck'!I115+'Miro''s'!I115+'Faculty Club'!I115+'Almazar  &amp; Brand X'!I115+'Burger King'!I115+Bustelo!I115+Chilis!I115+Einstein!I115+Jamba!I115+'Pollo Tropical'!I115+'Subway GC'!I115+'Sushi Maki'!I115+Panda!I115+'Starbucks Mango'!I115+'Taco Bell'!I115+'Chick-fil-A'!I115+Dunkin!I115+Chipotle!I115+Sergios!I115+'Moes PG5'!I115+'Papa Johns'!I115+Salad!I115+'Half Moon &amp; Tropical Smoothie'!I115+'Athletic Concessions - Kitchen'!I115+'Starbucks BBC'!I115+'Moes BBC'!I115+'Grille Works BBC'!I115+'Subway BBC'!I115+'Market Pavillion'!I115+'Chic Fil A BBC'!I115+Panera!I115+'Heritage Market'!I115</f>
        <v>0</v>
      </c>
      <c r="J115" s="80">
        <f t="shared" si="42"/>
        <v>0</v>
      </c>
      <c r="K115" s="79">
        <f>'POD Breezeway'!K115+'Express GL'!K115+'Starbucks GL-SBX Truck'!K115+'Miro''s'!K115+'Faculty Club'!K115+'Almazar  &amp; Brand X'!K115+'Burger King'!K115+Bustelo!K115+Chilis!K115+Einstein!K115+Jamba!K115+'Pollo Tropical'!K115+'Subway GC'!K115+'Sushi Maki'!K115+Panda!K115+'Starbucks Mango'!K115+'Taco Bell'!K115+'Chick-fil-A'!K115+Dunkin!K115+Chipotle!K115+Sergios!K115+'Moes PG5'!K115+'Papa Johns'!K115+Salad!K115+'Half Moon &amp; Tropical Smoothie'!K115+'Athletic Concessions - Kitchen'!K115+'Starbucks BBC'!K115+'Moes BBC'!K115+'Grille Works BBC'!K115+'Subway BBC'!K115+'Market Pavillion'!K115+'Chic Fil A BBC'!K115+Panera!K115+'Heritage Market'!K115</f>
        <v>0</v>
      </c>
      <c r="L115" s="80">
        <f t="shared" si="43"/>
        <v>0</v>
      </c>
      <c r="M115" s="79">
        <f>'POD Breezeway'!M115+'Express GL'!M115+'Starbucks GL-SBX Truck'!M115+'Miro''s'!M115+'Faculty Club'!M115+'Almazar  &amp; Brand X'!M115+'Burger King'!M115+Bustelo!M115+Chilis!M115+Einstein!M115+Jamba!M115+'Pollo Tropical'!M115+'Subway GC'!M115+'Sushi Maki'!M115+Panda!M115+'Starbucks Mango'!M115+'Taco Bell'!M115+'Chick-fil-A'!M115+Dunkin!M115+Chipotle!M115+Sergios!M115+'Moes PG5'!M115+'Papa Johns'!M115+Salad!M115+'Half Moon &amp; Tropical Smoothie'!M115+'Athletic Concessions - Kitchen'!M115+'Starbucks BBC'!M115+'Moes BBC'!M115+'Grille Works BBC'!M115+'Subway BBC'!M115+'Market Pavillion'!M115+'Chic Fil A BBC'!M115+Panera!M115+'Heritage Market'!M115</f>
        <v>0</v>
      </c>
      <c r="N115" s="80">
        <f t="shared" si="44"/>
        <v>0</v>
      </c>
      <c r="O115" s="79">
        <f>'POD Breezeway'!O115+'Express GL'!O115+'Starbucks GL-SBX Truck'!O115+'Miro''s'!O115+'Faculty Club'!O115+'Almazar  &amp; Brand X'!O115+'Burger King'!O115+Bustelo!O115+Chilis!O115+Einstein!O115+Jamba!O115+'Pollo Tropical'!O115+'Subway GC'!O115+'Sushi Maki'!O115+Panda!O115+'Starbucks Mango'!O115+'Taco Bell'!O115+'Chick-fil-A'!O115+Dunkin!O115+Chipotle!O115+Sergios!O115+'Moes PG5'!O115+'Papa Johns'!O115+Salad!O115+'Half Moon &amp; Tropical Smoothie'!O115+'Athletic Concessions - Kitchen'!O115+'Starbucks BBC'!O115+'Moes BBC'!O115+'Grille Works BBC'!O115+'Subway BBC'!O115+'Market Pavillion'!O115+'Chic Fil A BBC'!O115+Panera!O115+'Heritage Market'!O115</f>
        <v>0</v>
      </c>
      <c r="P115" s="80">
        <f t="shared" si="45"/>
        <v>0</v>
      </c>
      <c r="Q115" s="79">
        <f>'POD Breezeway'!Q115+'Express GL'!Q115+'Starbucks GL-SBX Truck'!Q115+'Miro''s'!Q115+'Faculty Club'!Q115+'Almazar  &amp; Brand X'!Q115+'Burger King'!Q115+Bustelo!Q115+Chilis!Q115+Einstein!Q115+Jamba!Q115+'Pollo Tropical'!Q115+'Subway GC'!Q115+'Sushi Maki'!Q115+Panda!Q115+'Starbucks Mango'!Q115+'Taco Bell'!Q115+'Chick-fil-A'!Q115+Dunkin!Q115+Chipotle!Q115+Sergios!Q115+'Moes PG5'!Q115+'Papa Johns'!Q115+Salad!Q115+'Half Moon &amp; Tropical Smoothie'!Q115+'Athletic Concessions - Kitchen'!Q115+'Starbucks BBC'!Q115+'Moes BBC'!Q115+'Grille Works BBC'!Q115+'Subway BBC'!Q115+'Market Pavillion'!Q115+'Chic Fil A BBC'!Q115+Panera!Q115+'Heritage Market'!Q115</f>
        <v>0</v>
      </c>
      <c r="R115" s="80">
        <f t="shared" si="46"/>
        <v>0</v>
      </c>
      <c r="S115" s="79">
        <f>'POD Breezeway'!S115+'Express GL'!S115+'Starbucks GL-SBX Truck'!S115+'Miro''s'!S115+'Faculty Club'!S115+'Almazar  &amp; Brand X'!S115+'Burger King'!S115+Bustelo!S115+Chilis!S115+Einstein!S115+Jamba!S115+'Pollo Tropical'!S115+'Subway GC'!S115+'Sushi Maki'!S115+Panda!S115+'Starbucks Mango'!S115+'Taco Bell'!S115+'Chick-fil-A'!S115+Dunkin!S115+Chipotle!S115+Sergios!S115+'Moes PG5'!S115+'Papa Johns'!S115+Salad!S115+'Half Moon &amp; Tropical Smoothie'!S115+'Athletic Concessions - Kitchen'!S115+'Starbucks BBC'!S115+'Moes BBC'!S115+'Grille Works BBC'!S115+'Subway BBC'!S115+'Market Pavillion'!S115+'Chic Fil A BBC'!S115+Panera!S115+'Heritage Market'!S115</f>
        <v>0</v>
      </c>
      <c r="T115" s="80">
        <f t="shared" si="47"/>
        <v>0</v>
      </c>
      <c r="U115" s="79">
        <f>'POD Breezeway'!U115+'Express GL'!U115+'Starbucks GL-SBX Truck'!U115+'Miro''s'!U115+'Faculty Club'!U115+'Almazar  &amp; Brand X'!U115+'Burger King'!U115+Bustelo!U115+Chilis!U115+Einstein!U115+Jamba!U115+'Pollo Tropical'!U115+'Subway GC'!U115+'Sushi Maki'!U115+Panda!U115+'Starbucks Mango'!U115+'Taco Bell'!U115+'Chick-fil-A'!U115+Dunkin!U115+Chipotle!U115+Sergios!U115+'Moes PG5'!U115+'Papa Johns'!U115+Salad!U115+'Half Moon &amp; Tropical Smoothie'!U115+'Athletic Concessions - Kitchen'!U115+'Starbucks BBC'!U115+'Moes BBC'!U115+'Grille Works BBC'!U115+'Subway BBC'!U115+'Market Pavillion'!U115+'Chic Fil A BBC'!U115+Panera!U115+'Heritage Market'!U115</f>
        <v>0</v>
      </c>
      <c r="V115" s="80">
        <f t="shared" si="48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39"/>
        <v>0</v>
      </c>
      <c r="E116" s="85">
        <f>SUM(E111:E115)</f>
        <v>0</v>
      </c>
      <c r="F116" s="83">
        <f t="shared" si="40"/>
        <v>0</v>
      </c>
      <c r="G116" s="85">
        <f>SUM(G111:G115)</f>
        <v>0</v>
      </c>
      <c r="H116" s="83">
        <f t="shared" si="41"/>
        <v>0</v>
      </c>
      <c r="I116" s="85">
        <f>SUM(I111:I115)</f>
        <v>0</v>
      </c>
      <c r="J116" s="83">
        <f t="shared" si="42"/>
        <v>0</v>
      </c>
      <c r="K116" s="85">
        <f>SUM(K111:K115)</f>
        <v>0</v>
      </c>
      <c r="L116" s="83">
        <f t="shared" si="43"/>
        <v>0</v>
      </c>
      <c r="M116" s="85">
        <f>SUM(M111:M115)</f>
        <v>0</v>
      </c>
      <c r="N116" s="83">
        <f t="shared" si="44"/>
        <v>0</v>
      </c>
      <c r="O116" s="85">
        <f>SUM(O111:O115)</f>
        <v>0</v>
      </c>
      <c r="P116" s="83">
        <f t="shared" si="45"/>
        <v>0</v>
      </c>
      <c r="Q116" s="85">
        <f>SUM(Q111:Q115)</f>
        <v>0</v>
      </c>
      <c r="R116" s="83">
        <f t="shared" si="46"/>
        <v>0</v>
      </c>
      <c r="S116" s="85">
        <f>SUM(S111:S115)</f>
        <v>0</v>
      </c>
      <c r="T116" s="83">
        <f t="shared" si="47"/>
        <v>0</v>
      </c>
      <c r="U116" s="85">
        <f>SUM(U111:U115)</f>
        <v>0</v>
      </c>
      <c r="V116" s="83">
        <f t="shared" si="48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9" tint="0.39997558519241921"/>
  </sheetPr>
  <dimension ref="A1:X119"/>
  <sheetViews>
    <sheetView topLeftCell="A31" zoomScale="70" zoomScaleNormal="70" workbookViewId="0" xr3:uid="{2DFAA6B7-64D6-5785-A35B-5A71D07F531F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45.57031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499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501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Catering Services (MMC)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89" t="s">
        <v>348</v>
      </c>
      <c r="B7" s="89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</row>
    <row r="8" spans="1:22" ht="12.75" customHeight="1">
      <c r="A8" s="90" t="s">
        <v>349</v>
      </c>
      <c r="B8" s="90"/>
      <c r="C8" s="91"/>
      <c r="D8" s="90"/>
      <c r="E8" s="91"/>
      <c r="F8" s="90"/>
      <c r="G8" s="91"/>
      <c r="H8" s="90"/>
      <c r="I8" s="91"/>
      <c r="J8" s="90"/>
      <c r="K8" s="91"/>
      <c r="L8" s="90"/>
      <c r="M8" s="91"/>
      <c r="N8" s="90"/>
      <c r="O8" s="91"/>
      <c r="P8" s="90"/>
      <c r="Q8" s="91"/>
      <c r="R8" s="90"/>
      <c r="S8" s="91"/>
      <c r="T8" s="90"/>
      <c r="U8" s="91"/>
      <c r="V8" s="90"/>
    </row>
    <row r="9" spans="1:22" ht="12.75" customHeight="1">
      <c r="A9" s="90"/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</row>
    <row r="10" spans="1:22" ht="12.75" customHeight="1">
      <c r="A10" s="90" t="s">
        <v>449</v>
      </c>
      <c r="B10" s="90"/>
      <c r="C10" s="91"/>
      <c r="D10" s="90"/>
      <c r="E10" s="91"/>
      <c r="F10" s="90"/>
      <c r="G10" s="91"/>
      <c r="H10" s="90"/>
      <c r="I10" s="91"/>
      <c r="J10" s="90"/>
      <c r="K10" s="91"/>
      <c r="L10" s="90"/>
      <c r="M10" s="91"/>
      <c r="N10" s="90"/>
      <c r="O10" s="91"/>
      <c r="P10" s="90"/>
      <c r="Q10" s="91"/>
      <c r="R10" s="90"/>
      <c r="S10" s="91"/>
      <c r="T10" s="90"/>
      <c r="U10" s="91"/>
      <c r="V10" s="90"/>
    </row>
    <row r="11" spans="1:22" ht="12.75" customHeight="1">
      <c r="A11" s="90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1:22" ht="12.75" customHeight="1">
      <c r="A12" s="90" t="s">
        <v>450</v>
      </c>
      <c r="B12" s="90"/>
      <c r="C12" s="92"/>
      <c r="D12" s="90"/>
      <c r="E12" s="92"/>
      <c r="F12" s="90"/>
      <c r="G12" s="92"/>
      <c r="H12" s="90"/>
      <c r="I12" s="92"/>
      <c r="J12" s="90"/>
      <c r="K12" s="92"/>
      <c r="L12" s="90"/>
      <c r="M12" s="92"/>
      <c r="N12" s="90"/>
      <c r="O12" s="92"/>
      <c r="P12" s="90"/>
      <c r="Q12" s="92"/>
      <c r="R12" s="90"/>
      <c r="S12" s="92"/>
      <c r="T12" s="90"/>
      <c r="U12" s="92"/>
      <c r="V12" s="90"/>
    </row>
    <row r="13" spans="1:22" ht="12.75" customHeight="1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1:22" ht="12.75" customHeight="1">
      <c r="A14" s="90" t="s">
        <v>451</v>
      </c>
      <c r="B14" s="90"/>
      <c r="C14" s="124">
        <f>C12*C10*C8</f>
        <v>0</v>
      </c>
      <c r="D14" s="90"/>
      <c r="E14" s="124">
        <f>E12*E10*E8</f>
        <v>0</v>
      </c>
      <c r="F14" s="90"/>
      <c r="G14" s="124">
        <f>G12*G10*G8</f>
        <v>0</v>
      </c>
      <c r="H14" s="90"/>
      <c r="I14" s="124">
        <f>I12*I10*I8</f>
        <v>0</v>
      </c>
      <c r="J14" s="90"/>
      <c r="K14" s="124">
        <f>K12*K10*K8</f>
        <v>0</v>
      </c>
      <c r="L14" s="90"/>
      <c r="M14" s="124">
        <f>M12*M10*M8</f>
        <v>0</v>
      </c>
      <c r="N14" s="90"/>
      <c r="O14" s="124">
        <f>O12*O10*O8</f>
        <v>0</v>
      </c>
      <c r="P14" s="90"/>
      <c r="Q14" s="124">
        <f>Q12*Q10*Q8</f>
        <v>0</v>
      </c>
      <c r="R14" s="90"/>
      <c r="S14" s="124">
        <f>S12*S10*S8</f>
        <v>0</v>
      </c>
      <c r="T14" s="90"/>
      <c r="U14" s="124">
        <f>U12*U10*U8</f>
        <v>0</v>
      </c>
      <c r="V14" s="90"/>
    </row>
    <row r="15" spans="1:22" ht="12.75" customHeight="1">
      <c r="A15" s="39">
        <v>0.15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2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2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</row>
    <row r="19" spans="1:22" ht="12.75" customHeight="1">
      <c r="A19" s="122" t="s">
        <v>356</v>
      </c>
      <c r="B19" s="35"/>
      <c r="C19" s="79"/>
      <c r="D19" s="80">
        <f>IFERROR(C19/C$28,0)</f>
        <v>0</v>
      </c>
      <c r="E19" s="79"/>
      <c r="F19" s="80">
        <f>IFERROR(E19/E$28,0)</f>
        <v>0</v>
      </c>
      <c r="G19" s="79"/>
      <c r="H19" s="80">
        <f>IFERROR(G19/G$28,0)</f>
        <v>0</v>
      </c>
      <c r="I19" s="79"/>
      <c r="J19" s="80">
        <f>IFERROR(I19/I$28,0)</f>
        <v>0</v>
      </c>
      <c r="K19" s="79"/>
      <c r="L19" s="80">
        <f>IFERROR(K19/K$28,0)</f>
        <v>0</v>
      </c>
      <c r="M19" s="79"/>
      <c r="N19" s="80">
        <f>IFERROR(M19/M$28,0)</f>
        <v>0</v>
      </c>
      <c r="O19" s="79"/>
      <c r="P19" s="80">
        <f>IFERROR(O19/O$28,0)</f>
        <v>0</v>
      </c>
      <c r="Q19" s="79"/>
      <c r="R19" s="80">
        <f>IFERROR(Q19/Q$28,0)</f>
        <v>0</v>
      </c>
      <c r="S19" s="79"/>
      <c r="T19" s="80">
        <f>IFERROR(S19/S$28,0)</f>
        <v>0</v>
      </c>
      <c r="U19" s="79"/>
      <c r="V19" s="80">
        <f>IFERROR(U19/U$28,0)</f>
        <v>0</v>
      </c>
    </row>
    <row r="20" spans="1:22" ht="12.75" customHeight="1">
      <c r="A20" s="122" t="s">
        <v>357</v>
      </c>
      <c r="B20" s="35"/>
      <c r="C20" s="79"/>
      <c r="D20" s="80">
        <f>IFERROR(C20/C$28,0)</f>
        <v>0</v>
      </c>
      <c r="E20" s="79"/>
      <c r="F20" s="80">
        <f>IFERROR(E20/E$28,0)</f>
        <v>0</v>
      </c>
      <c r="G20" s="79"/>
      <c r="H20" s="80">
        <f>IFERROR(G20/G$28,0)</f>
        <v>0</v>
      </c>
      <c r="I20" s="79"/>
      <c r="J20" s="80">
        <f>IFERROR(I20/I$28,0)</f>
        <v>0</v>
      </c>
      <c r="K20" s="79"/>
      <c r="L20" s="80">
        <f>IFERROR(K20/K$28,0)</f>
        <v>0</v>
      </c>
      <c r="M20" s="79"/>
      <c r="N20" s="80">
        <f>IFERROR(M20/M$28,0)</f>
        <v>0</v>
      </c>
      <c r="O20" s="79"/>
      <c r="P20" s="80">
        <f>IFERROR(O20/O$28,0)</f>
        <v>0</v>
      </c>
      <c r="Q20" s="79"/>
      <c r="R20" s="80">
        <f>IFERROR(Q20/Q$28,0)</f>
        <v>0</v>
      </c>
      <c r="S20" s="79"/>
      <c r="T20" s="80">
        <f>IFERROR(S20/S$28,0)</f>
        <v>0</v>
      </c>
      <c r="U20" s="79"/>
      <c r="V20" s="80">
        <f>IFERROR(U20/U$28,0)</f>
        <v>0</v>
      </c>
    </row>
    <row r="21" spans="1:22" ht="12.75" customHeight="1">
      <c r="A21" s="122" t="s">
        <v>358</v>
      </c>
      <c r="B21" s="35"/>
      <c r="C21" s="79"/>
      <c r="D21" s="80">
        <f>IFERROR(C21/C$28,0)</f>
        <v>0</v>
      </c>
      <c r="E21" s="79"/>
      <c r="F21" s="80">
        <f>IFERROR(E21/E$28,0)</f>
        <v>0</v>
      </c>
      <c r="G21" s="79"/>
      <c r="H21" s="80">
        <f>IFERROR(G21/G$28,0)</f>
        <v>0</v>
      </c>
      <c r="I21" s="79"/>
      <c r="J21" s="80">
        <f>IFERROR(I21/I$28,0)</f>
        <v>0</v>
      </c>
      <c r="K21" s="79"/>
      <c r="L21" s="80">
        <f>IFERROR(K21/K$28,0)</f>
        <v>0</v>
      </c>
      <c r="M21" s="79"/>
      <c r="N21" s="80">
        <f>IFERROR(M21/M$28,0)</f>
        <v>0</v>
      </c>
      <c r="O21" s="79"/>
      <c r="P21" s="80">
        <f>IFERROR(O21/O$28,0)</f>
        <v>0</v>
      </c>
      <c r="Q21" s="79"/>
      <c r="R21" s="80">
        <f>IFERROR(Q21/Q$28,0)</f>
        <v>0</v>
      </c>
      <c r="S21" s="79"/>
      <c r="T21" s="80">
        <f>IFERROR(S21/S$28,0)</f>
        <v>0</v>
      </c>
      <c r="U21" s="79"/>
      <c r="V21" s="80">
        <f>IFERROR(U21/U$28,0)</f>
        <v>0</v>
      </c>
    </row>
    <row r="22" spans="1:22" ht="12.75" customHeight="1">
      <c r="A22" s="2" t="s">
        <v>359</v>
      </c>
      <c r="B22" s="35"/>
      <c r="C22" s="79"/>
      <c r="D22" s="80"/>
      <c r="E22" s="79"/>
      <c r="F22" s="80"/>
      <c r="G22" s="79"/>
      <c r="H22" s="80"/>
      <c r="I22" s="79"/>
      <c r="J22" s="80"/>
      <c r="K22" s="79"/>
      <c r="L22" s="80"/>
      <c r="M22" s="79"/>
      <c r="N22" s="80"/>
      <c r="O22" s="79"/>
      <c r="P22" s="80"/>
      <c r="Q22" s="79"/>
      <c r="R22" s="80"/>
      <c r="S22" s="79"/>
      <c r="T22" s="80"/>
      <c r="U22" s="79"/>
      <c r="V22" s="80"/>
    </row>
    <row r="23" spans="1:22" ht="12.75" customHeight="1">
      <c r="A23" s="122" t="s">
        <v>360</v>
      </c>
      <c r="B23" s="35"/>
      <c r="C23" s="79"/>
      <c r="D23" s="80">
        <f t="shared" ref="D23:D28" si="0">IFERROR(C23/C$28,0)</f>
        <v>0</v>
      </c>
      <c r="E23" s="79"/>
      <c r="F23" s="80">
        <f t="shared" ref="F23:F28" si="1">IFERROR(E23/E$28,0)</f>
        <v>0</v>
      </c>
      <c r="G23" s="79"/>
      <c r="H23" s="80">
        <f t="shared" ref="H23:H28" si="2">IFERROR(G23/G$28,0)</f>
        <v>0</v>
      </c>
      <c r="I23" s="79"/>
      <c r="J23" s="80">
        <f t="shared" ref="J23:J28" si="3">IFERROR(I23/I$28,0)</f>
        <v>0</v>
      </c>
      <c r="K23" s="79"/>
      <c r="L23" s="80">
        <f t="shared" ref="L23:L28" si="4">IFERROR(K23/K$28,0)</f>
        <v>0</v>
      </c>
      <c r="M23" s="79"/>
      <c r="N23" s="80">
        <f t="shared" ref="N23:N28" si="5">IFERROR(M23/M$28,0)</f>
        <v>0</v>
      </c>
      <c r="O23" s="79"/>
      <c r="P23" s="80">
        <f t="shared" ref="P23:P28" si="6">IFERROR(O23/O$28,0)</f>
        <v>0</v>
      </c>
      <c r="Q23" s="79"/>
      <c r="R23" s="80">
        <f t="shared" ref="R23:R28" si="7">IFERROR(Q23/Q$28,0)</f>
        <v>0</v>
      </c>
      <c r="S23" s="79"/>
      <c r="T23" s="80">
        <f t="shared" ref="T23:T28" si="8">IFERROR(S23/S$28,0)</f>
        <v>0</v>
      </c>
      <c r="U23" s="79"/>
      <c r="V23" s="80">
        <f t="shared" ref="V23:V28" si="9">IFERROR(U23/U$28,0)</f>
        <v>0</v>
      </c>
    </row>
    <row r="24" spans="1:22" ht="12.75" customHeight="1">
      <c r="A24" s="122" t="s">
        <v>361</v>
      </c>
      <c r="B24" s="35"/>
      <c r="C24" s="79"/>
      <c r="D24" s="80">
        <f t="shared" si="0"/>
        <v>0</v>
      </c>
      <c r="E24" s="79"/>
      <c r="F24" s="80">
        <f t="shared" si="1"/>
        <v>0</v>
      </c>
      <c r="G24" s="79"/>
      <c r="H24" s="80">
        <f t="shared" si="2"/>
        <v>0</v>
      </c>
      <c r="I24" s="79"/>
      <c r="J24" s="80">
        <f t="shared" si="3"/>
        <v>0</v>
      </c>
      <c r="K24" s="79"/>
      <c r="L24" s="80">
        <f t="shared" si="4"/>
        <v>0</v>
      </c>
      <c r="M24" s="79"/>
      <c r="N24" s="80">
        <f t="shared" si="5"/>
        <v>0</v>
      </c>
      <c r="O24" s="79"/>
      <c r="P24" s="80">
        <f t="shared" si="6"/>
        <v>0</v>
      </c>
      <c r="Q24" s="79"/>
      <c r="R24" s="80">
        <f t="shared" si="7"/>
        <v>0</v>
      </c>
      <c r="S24" s="79"/>
      <c r="T24" s="80">
        <f t="shared" si="8"/>
        <v>0</v>
      </c>
      <c r="U24" s="79"/>
      <c r="V24" s="80">
        <f t="shared" si="9"/>
        <v>0</v>
      </c>
    </row>
    <row r="25" spans="1:22" ht="12.75" customHeight="1">
      <c r="A25" s="2" t="s">
        <v>362</v>
      </c>
      <c r="B25" s="35"/>
      <c r="C25" s="111">
        <f>884700+68170</f>
        <v>952870</v>
      </c>
      <c r="D25" s="80">
        <f t="shared" si="0"/>
        <v>1</v>
      </c>
      <c r="E25" s="111">
        <f>+C25*1.02+14000</f>
        <v>985927.4</v>
      </c>
      <c r="F25" s="80">
        <f t="shared" si="1"/>
        <v>1</v>
      </c>
      <c r="G25" s="111">
        <f>+E25*1.02</f>
        <v>1005645.9480000001</v>
      </c>
      <c r="H25" s="80">
        <f t="shared" si="2"/>
        <v>1</v>
      </c>
      <c r="I25" s="111">
        <f>+G25*1.02</f>
        <v>1025758.8669600001</v>
      </c>
      <c r="J25" s="80">
        <f t="shared" si="3"/>
        <v>1</v>
      </c>
      <c r="K25" s="111">
        <f>+I25*1.02</f>
        <v>1046274.0442992002</v>
      </c>
      <c r="L25" s="80">
        <f t="shared" si="4"/>
        <v>1</v>
      </c>
      <c r="M25" s="111">
        <f>+K25*1.02</f>
        <v>1067199.5251851841</v>
      </c>
      <c r="N25" s="80">
        <f t="shared" si="5"/>
        <v>1</v>
      </c>
      <c r="O25" s="111">
        <f>+M25*1.02</f>
        <v>1088543.5156888878</v>
      </c>
      <c r="P25" s="80">
        <f t="shared" si="6"/>
        <v>1</v>
      </c>
      <c r="Q25" s="111">
        <f>+O25*1.02</f>
        <v>1110314.3860026656</v>
      </c>
      <c r="R25" s="80">
        <f t="shared" si="7"/>
        <v>1</v>
      </c>
      <c r="S25" s="111">
        <f>+Q25*1.02</f>
        <v>1132520.6737227188</v>
      </c>
      <c r="T25" s="80">
        <f t="shared" si="8"/>
        <v>1</v>
      </c>
      <c r="U25" s="111">
        <f>+S25*1.02</f>
        <v>1155171.0871971732</v>
      </c>
      <c r="V25" s="80">
        <f t="shared" si="9"/>
        <v>1</v>
      </c>
    </row>
    <row r="26" spans="1:22" ht="12.75" customHeight="1">
      <c r="A26" s="122" t="s">
        <v>363</v>
      </c>
      <c r="B26" s="35"/>
      <c r="C26" s="79"/>
      <c r="D26" s="80">
        <f t="shared" si="0"/>
        <v>0</v>
      </c>
      <c r="E26" s="79"/>
      <c r="F26" s="80">
        <f t="shared" si="1"/>
        <v>0</v>
      </c>
      <c r="G26" s="79"/>
      <c r="H26" s="80">
        <f t="shared" si="2"/>
        <v>0</v>
      </c>
      <c r="I26" s="79"/>
      <c r="J26" s="80">
        <f t="shared" si="3"/>
        <v>0</v>
      </c>
      <c r="K26" s="79"/>
      <c r="L26" s="80">
        <f t="shared" si="4"/>
        <v>0</v>
      </c>
      <c r="M26" s="79"/>
      <c r="N26" s="80">
        <f t="shared" si="5"/>
        <v>0</v>
      </c>
      <c r="O26" s="79"/>
      <c r="P26" s="80">
        <f t="shared" si="6"/>
        <v>0</v>
      </c>
      <c r="Q26" s="79"/>
      <c r="R26" s="80">
        <f t="shared" si="7"/>
        <v>0</v>
      </c>
      <c r="S26" s="79"/>
      <c r="T26" s="80">
        <f t="shared" si="8"/>
        <v>0</v>
      </c>
      <c r="U26" s="79"/>
      <c r="V26" s="80">
        <f t="shared" si="9"/>
        <v>0</v>
      </c>
    </row>
    <row r="27" spans="1:22" ht="12.75" customHeight="1">
      <c r="A27" s="2" t="s">
        <v>364</v>
      </c>
      <c r="B27" s="35"/>
      <c r="C27" s="112"/>
      <c r="D27" s="80">
        <f t="shared" si="0"/>
        <v>0</v>
      </c>
      <c r="E27" s="112"/>
      <c r="F27" s="80">
        <f t="shared" si="1"/>
        <v>0</v>
      </c>
      <c r="G27" s="112"/>
      <c r="H27" s="80">
        <f t="shared" si="2"/>
        <v>0</v>
      </c>
      <c r="I27" s="112"/>
      <c r="J27" s="80">
        <f t="shared" si="3"/>
        <v>0</v>
      </c>
      <c r="K27" s="112"/>
      <c r="L27" s="80">
        <f t="shared" si="4"/>
        <v>0</v>
      </c>
      <c r="M27" s="112"/>
      <c r="N27" s="80">
        <f t="shared" si="5"/>
        <v>0</v>
      </c>
      <c r="O27" s="112"/>
      <c r="P27" s="80">
        <f t="shared" si="6"/>
        <v>0</v>
      </c>
      <c r="Q27" s="112"/>
      <c r="R27" s="80">
        <f t="shared" si="7"/>
        <v>0</v>
      </c>
      <c r="S27" s="112"/>
      <c r="T27" s="80">
        <f t="shared" si="8"/>
        <v>0</v>
      </c>
      <c r="U27" s="112"/>
      <c r="V27" s="80">
        <f t="shared" si="9"/>
        <v>0</v>
      </c>
    </row>
    <row r="28" spans="1:22" ht="12.75" customHeight="1">
      <c r="A28" s="1" t="s">
        <v>365</v>
      </c>
      <c r="B28" s="53"/>
      <c r="C28" s="82">
        <f>SUM(C19:C27)</f>
        <v>952870</v>
      </c>
      <c r="D28" s="83">
        <f t="shared" si="0"/>
        <v>1</v>
      </c>
      <c r="E28" s="82">
        <f>SUM(E19:E27)</f>
        <v>985927.4</v>
      </c>
      <c r="F28" s="83">
        <f t="shared" si="1"/>
        <v>1</v>
      </c>
      <c r="G28" s="82">
        <f>SUM(G19:G27)</f>
        <v>1005645.9480000001</v>
      </c>
      <c r="H28" s="83">
        <f t="shared" si="2"/>
        <v>1</v>
      </c>
      <c r="I28" s="82">
        <f>SUM(I19:I27)</f>
        <v>1025758.8669600001</v>
      </c>
      <c r="J28" s="83">
        <f t="shared" si="3"/>
        <v>1</v>
      </c>
      <c r="K28" s="82">
        <f>SUM(K19:K27)</f>
        <v>1046274.0442992002</v>
      </c>
      <c r="L28" s="83">
        <f t="shared" si="4"/>
        <v>1</v>
      </c>
      <c r="M28" s="82">
        <f>SUM(M19:M27)</f>
        <v>1067199.5251851841</v>
      </c>
      <c r="N28" s="83">
        <f t="shared" si="5"/>
        <v>1</v>
      </c>
      <c r="O28" s="82">
        <f>SUM(O19:O27)</f>
        <v>1088543.5156888878</v>
      </c>
      <c r="P28" s="83">
        <f t="shared" si="6"/>
        <v>1</v>
      </c>
      <c r="Q28" s="82">
        <f>SUM(Q19:Q27)</f>
        <v>1110314.3860026656</v>
      </c>
      <c r="R28" s="83">
        <f t="shared" si="7"/>
        <v>1</v>
      </c>
      <c r="S28" s="82">
        <f>SUM(S19:S27)</f>
        <v>1132520.6737227188</v>
      </c>
      <c r="T28" s="83">
        <f t="shared" si="8"/>
        <v>1</v>
      </c>
      <c r="U28" s="82">
        <f>SUM(U19:U27)</f>
        <v>1155171.0871971732</v>
      </c>
      <c r="V28" s="83">
        <f t="shared" si="9"/>
        <v>1</v>
      </c>
    </row>
    <row r="29" spans="1:22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2" ht="12.75" customHeight="1">
      <c r="A30" s="1" t="s">
        <v>366</v>
      </c>
      <c r="B30" s="53"/>
      <c r="C30" s="80">
        <v>0.34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2" ht="12.75" customHeight="1">
      <c r="A31" s="2" t="s">
        <v>367</v>
      </c>
      <c r="B31" s="35"/>
      <c r="C31" s="179">
        <f>+C28*C30</f>
        <v>323975.80000000005</v>
      </c>
      <c r="D31" s="80">
        <f>IFERROR(C31/C$28,0)</f>
        <v>0.34</v>
      </c>
      <c r="E31" s="179">
        <f>+E28*D31</f>
        <v>335215.31600000005</v>
      </c>
      <c r="F31" s="80">
        <f>IFERROR(E31/E$28,0)</f>
        <v>0.34</v>
      </c>
      <c r="G31" s="179">
        <f>+G28*F31</f>
        <v>341919.62232000008</v>
      </c>
      <c r="H31" s="80">
        <f>IFERROR(G31/G$28,0)</f>
        <v>0.34</v>
      </c>
      <c r="I31" s="179">
        <f>+I28*H31</f>
        <v>348758.0147664001</v>
      </c>
      <c r="J31" s="80">
        <f>IFERROR(I31/I$28,0)</f>
        <v>0.34000000000000008</v>
      </c>
      <c r="K31" s="179">
        <f>+K28*J31</f>
        <v>355733.17506172817</v>
      </c>
      <c r="L31" s="80">
        <f>IFERROR(K31/K$28,0)</f>
        <v>0.34000000000000008</v>
      </c>
      <c r="M31" s="179">
        <f>+M28*L31</f>
        <v>362847.83856296266</v>
      </c>
      <c r="N31" s="80">
        <f>IFERROR(M31/M$28,0)</f>
        <v>0.34000000000000008</v>
      </c>
      <c r="O31" s="179">
        <f>+O28*N31</f>
        <v>370104.79533422191</v>
      </c>
      <c r="P31" s="80">
        <f>IFERROR(O31/O$28,0)</f>
        <v>0.34000000000000008</v>
      </c>
      <c r="Q31" s="179">
        <f>+Q28*P31</f>
        <v>377506.89124090638</v>
      </c>
      <c r="R31" s="80">
        <f>IFERROR(Q31/Q$28,0)</f>
        <v>0.34000000000000008</v>
      </c>
      <c r="S31" s="179">
        <f>+S28*R31</f>
        <v>385057.02906572452</v>
      </c>
      <c r="T31" s="80">
        <f>IFERROR(S31/S$28,0)</f>
        <v>0.34000000000000008</v>
      </c>
      <c r="U31" s="179">
        <f>+U28*T31</f>
        <v>392758.16964703897</v>
      </c>
      <c r="V31" s="80">
        <f>IFERROR(U31/U$28,0)</f>
        <v>0.34000000000000008</v>
      </c>
    </row>
    <row r="32" spans="1:22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323975.80000000005</v>
      </c>
      <c r="D33" s="83">
        <f>IFERROR(C33/C$28,0)</f>
        <v>0.34</v>
      </c>
      <c r="E33" s="82">
        <f>SUM(E31:E32)</f>
        <v>335215.31600000005</v>
      </c>
      <c r="F33" s="83">
        <f>IFERROR(E33/E$28,0)</f>
        <v>0.34</v>
      </c>
      <c r="G33" s="82">
        <f>SUM(G31:G32)</f>
        <v>341919.62232000008</v>
      </c>
      <c r="H33" s="83">
        <f>IFERROR(G33/G$28,0)</f>
        <v>0.34</v>
      </c>
      <c r="I33" s="82">
        <f>SUM(I31:I32)</f>
        <v>348758.0147664001</v>
      </c>
      <c r="J33" s="83">
        <f>IFERROR(I33/I$28,0)</f>
        <v>0.34000000000000008</v>
      </c>
      <c r="K33" s="82">
        <f>SUM(K31:K32)</f>
        <v>355733.17506172817</v>
      </c>
      <c r="L33" s="83">
        <f>IFERROR(K33/K$28,0)</f>
        <v>0.34000000000000008</v>
      </c>
      <c r="M33" s="82">
        <f>SUM(M31:M32)</f>
        <v>362847.83856296266</v>
      </c>
      <c r="N33" s="83">
        <f>IFERROR(M33/M$28,0)</f>
        <v>0.34000000000000008</v>
      </c>
      <c r="O33" s="82">
        <f>SUM(O31:O32)</f>
        <v>370104.79533422191</v>
      </c>
      <c r="P33" s="83">
        <f>IFERROR(O33/O$28,0)</f>
        <v>0.34000000000000008</v>
      </c>
      <c r="Q33" s="82">
        <f>SUM(Q31:Q32)</f>
        <v>377506.89124090638</v>
      </c>
      <c r="R33" s="83">
        <f>IFERROR(Q33/Q$28,0)</f>
        <v>0.34000000000000008</v>
      </c>
      <c r="S33" s="82">
        <f>SUM(S31:S32)</f>
        <v>385057.02906572452</v>
      </c>
      <c r="T33" s="83">
        <f>IFERROR(S33/S$28,0)</f>
        <v>0.34000000000000008</v>
      </c>
      <c r="U33" s="82">
        <f>SUM(U31:U32)</f>
        <v>392758.16964703897</v>
      </c>
      <c r="V33" s="83">
        <f>IFERROR(U33/U$28,0)</f>
        <v>0.34000000000000008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>
        <v>170707</v>
      </c>
      <c r="D36" s="80">
        <f t="shared" ref="D36:D46" si="10">IFERROR(C36/C$28,0)</f>
        <v>0.17915035629204404</v>
      </c>
      <c r="E36" s="179">
        <f>+C36*1.02</f>
        <v>174121.14</v>
      </c>
      <c r="F36" s="80">
        <f t="shared" ref="F36:F46" si="11">IFERROR(E36/E$28,0)</f>
        <v>0.17660645195579311</v>
      </c>
      <c r="G36" s="179">
        <f>+E36*1.02</f>
        <v>177603.56280000001</v>
      </c>
      <c r="H36" s="80">
        <f t="shared" ref="H36:H46" si="12">IFERROR(G36/G$28,0)</f>
        <v>0.17660645195579308</v>
      </c>
      <c r="I36" s="179">
        <f>+G36*1.02</f>
        <v>181155.63405600001</v>
      </c>
      <c r="J36" s="80">
        <f t="shared" ref="J36:J46" si="13">IFERROR(I36/I$28,0)</f>
        <v>0.17660645195579308</v>
      </c>
      <c r="K36" s="179">
        <f>+I36*1.02</f>
        <v>184778.74673712</v>
      </c>
      <c r="L36" s="80">
        <f t="shared" ref="L36:L46" si="14">IFERROR(K36/K$28,0)</f>
        <v>0.17660645195579308</v>
      </c>
      <c r="M36" s="179">
        <f>+K36*1.02</f>
        <v>188474.32167186242</v>
      </c>
      <c r="N36" s="80">
        <f t="shared" ref="N36:N46" si="15">IFERROR(M36/M$28,0)</f>
        <v>0.17660645195579311</v>
      </c>
      <c r="O36" s="179">
        <f>+M36*1.02</f>
        <v>192243.80810529966</v>
      </c>
      <c r="P36" s="80">
        <f t="shared" ref="P36:P46" si="16">IFERROR(O36/O$28,0)</f>
        <v>0.17660645195579308</v>
      </c>
      <c r="Q36" s="179">
        <f>+O36*1.02</f>
        <v>196088.68426740565</v>
      </c>
      <c r="R36" s="80">
        <f t="shared" ref="R36:R46" si="17">IFERROR(Q36/Q$28,0)</f>
        <v>0.17660645195579308</v>
      </c>
      <c r="S36" s="179">
        <f>+Q36*1.02</f>
        <v>200010.45795275376</v>
      </c>
      <c r="T36" s="80">
        <f t="shared" ref="T36:T46" si="18">IFERROR(S36/S$28,0)</f>
        <v>0.17660645195579308</v>
      </c>
      <c r="U36" s="179">
        <f>+S36*1.02</f>
        <v>204010.66711180884</v>
      </c>
      <c r="V36" s="80">
        <f t="shared" ref="V36:V46" si="19">IFERROR(U36/U$28,0)</f>
        <v>0.17660645195579311</v>
      </c>
    </row>
    <row r="37" spans="1:22" ht="12.75" customHeight="1">
      <c r="A37" s="2" t="s">
        <v>372</v>
      </c>
      <c r="B37" s="35"/>
      <c r="C37" s="179">
        <v>246091</v>
      </c>
      <c r="D37" s="80">
        <f t="shared" si="10"/>
        <v>0.25826293198442601</v>
      </c>
      <c r="E37" s="179">
        <f>+C37*1.02</f>
        <v>251012.82</v>
      </c>
      <c r="F37" s="80">
        <f t="shared" si="11"/>
        <v>0.25459564264062445</v>
      </c>
      <c r="G37" s="179">
        <f>+E37*1.02</f>
        <v>256033.07640000002</v>
      </c>
      <c r="H37" s="80">
        <f t="shared" si="12"/>
        <v>0.25459564264062445</v>
      </c>
      <c r="I37" s="179">
        <f>+G37*1.02</f>
        <v>261153.73792800002</v>
      </c>
      <c r="J37" s="80">
        <f t="shared" si="13"/>
        <v>0.25459564264062445</v>
      </c>
      <c r="K37" s="179">
        <f>+I37*1.02</f>
        <v>266376.81268656004</v>
      </c>
      <c r="L37" s="80">
        <f t="shared" si="14"/>
        <v>0.25459564264062445</v>
      </c>
      <c r="M37" s="179">
        <f>+K37*1.02</f>
        <v>271704.34894029127</v>
      </c>
      <c r="N37" s="80">
        <f t="shared" si="15"/>
        <v>0.25459564264062451</v>
      </c>
      <c r="O37" s="179">
        <f>+M37*1.02</f>
        <v>277138.4359190971</v>
      </c>
      <c r="P37" s="80">
        <f t="shared" si="16"/>
        <v>0.25459564264062451</v>
      </c>
      <c r="Q37" s="179">
        <f>+O37*1.02</f>
        <v>282681.20463747904</v>
      </c>
      <c r="R37" s="80">
        <f t="shared" si="17"/>
        <v>0.25459564264062445</v>
      </c>
      <c r="S37" s="179">
        <f>+Q37*1.02</f>
        <v>288334.82873022865</v>
      </c>
      <c r="T37" s="80">
        <f t="shared" si="18"/>
        <v>0.25459564264062451</v>
      </c>
      <c r="U37" s="179">
        <f>+S37*1.02</f>
        <v>294101.52530483325</v>
      </c>
      <c r="V37" s="80">
        <f t="shared" si="19"/>
        <v>0.25459564264062456</v>
      </c>
    </row>
    <row r="38" spans="1:22" ht="12.75" customHeight="1">
      <c r="A38" s="2" t="s">
        <v>373</v>
      </c>
      <c r="B38" s="35"/>
      <c r="C38" s="179"/>
      <c r="D38" s="80">
        <f t="shared" si="10"/>
        <v>0</v>
      </c>
      <c r="E38" s="179"/>
      <c r="F38" s="80">
        <f t="shared" si="11"/>
        <v>0</v>
      </c>
      <c r="G38" s="179"/>
      <c r="H38" s="80">
        <f t="shared" si="12"/>
        <v>0</v>
      </c>
      <c r="I38" s="179"/>
      <c r="J38" s="80">
        <f t="shared" si="13"/>
        <v>0</v>
      </c>
      <c r="K38" s="179"/>
      <c r="L38" s="80">
        <f t="shared" si="14"/>
        <v>0</v>
      </c>
      <c r="M38" s="179"/>
      <c r="N38" s="80">
        <f t="shared" si="15"/>
        <v>0</v>
      </c>
      <c r="O38" s="179"/>
      <c r="P38" s="80">
        <f t="shared" si="16"/>
        <v>0</v>
      </c>
      <c r="Q38" s="179"/>
      <c r="R38" s="80">
        <f t="shared" si="17"/>
        <v>0</v>
      </c>
      <c r="S38" s="179"/>
      <c r="T38" s="80">
        <f t="shared" si="18"/>
        <v>0</v>
      </c>
      <c r="U38" s="179"/>
      <c r="V38" s="80">
        <f t="shared" si="19"/>
        <v>0</v>
      </c>
    </row>
    <row r="39" spans="1:22" ht="12.75" customHeight="1">
      <c r="A39" s="2" t="s">
        <v>374</v>
      </c>
      <c r="B39" s="35"/>
      <c r="C39" s="179">
        <v>26430</v>
      </c>
      <c r="D39" s="80">
        <f t="shared" si="10"/>
        <v>2.7737256918572314E-2</v>
      </c>
      <c r="E39" s="179">
        <f>+C39*1.02</f>
        <v>26958.600000000002</v>
      </c>
      <c r="F39" s="80">
        <f t="shared" si="11"/>
        <v>2.7343392627083903E-2</v>
      </c>
      <c r="G39" s="179">
        <f>+E39*1.02</f>
        <v>27497.772000000004</v>
      </c>
      <c r="H39" s="80">
        <f t="shared" si="12"/>
        <v>2.7343392627083903E-2</v>
      </c>
      <c r="I39" s="179">
        <f>+G39*1.02</f>
        <v>28047.727440000006</v>
      </c>
      <c r="J39" s="80">
        <f t="shared" si="13"/>
        <v>2.7343392627083903E-2</v>
      </c>
      <c r="K39" s="179">
        <f>+I39*1.02</f>
        <v>28608.681988800006</v>
      </c>
      <c r="L39" s="80">
        <f t="shared" si="14"/>
        <v>2.7343392627083903E-2</v>
      </c>
      <c r="M39" s="179">
        <f>+K39*1.02</f>
        <v>29180.855628576006</v>
      </c>
      <c r="N39" s="80">
        <f t="shared" si="15"/>
        <v>2.7343392627083903E-2</v>
      </c>
      <c r="O39" s="179">
        <f>+M39*1.02</f>
        <v>29764.472741147525</v>
      </c>
      <c r="P39" s="80">
        <f t="shared" si="16"/>
        <v>2.7343392627083903E-2</v>
      </c>
      <c r="Q39" s="179">
        <f>+O39*1.02</f>
        <v>30359.762195970477</v>
      </c>
      <c r="R39" s="80">
        <f t="shared" si="17"/>
        <v>2.7343392627083903E-2</v>
      </c>
      <c r="S39" s="179">
        <f>+Q39*1.02</f>
        <v>30966.957439889888</v>
      </c>
      <c r="T39" s="80">
        <f t="shared" si="18"/>
        <v>2.7343392627083907E-2</v>
      </c>
      <c r="U39" s="179">
        <f>+S39*1.02</f>
        <v>31586.296588687685</v>
      </c>
      <c r="V39" s="80">
        <f t="shared" si="19"/>
        <v>2.7343392627083907E-2</v>
      </c>
    </row>
    <row r="40" spans="1:22" ht="12.75" customHeight="1">
      <c r="A40" s="2" t="s">
        <v>375</v>
      </c>
      <c r="B40" s="35"/>
      <c r="C40" s="179">
        <f>+C36*0.124</f>
        <v>21167.668000000001</v>
      </c>
      <c r="D40" s="80">
        <f t="shared" si="10"/>
        <v>2.2214644180213461E-2</v>
      </c>
      <c r="E40" s="179">
        <f>+E36*0.124</f>
        <v>21591.021360000002</v>
      </c>
      <c r="F40" s="80">
        <f t="shared" si="11"/>
        <v>2.1899200042518347E-2</v>
      </c>
      <c r="G40" s="179">
        <f>+G36*0.124</f>
        <v>22022.841787200003</v>
      </c>
      <c r="H40" s="80">
        <f t="shared" si="12"/>
        <v>2.1899200042518344E-2</v>
      </c>
      <c r="I40" s="179">
        <f>+I36*0.124</f>
        <v>22463.298622943999</v>
      </c>
      <c r="J40" s="80">
        <f t="shared" si="13"/>
        <v>2.189920004251834E-2</v>
      </c>
      <c r="K40" s="179">
        <f>+K36*0.124</f>
        <v>22912.564595402881</v>
      </c>
      <c r="L40" s="80">
        <f t="shared" si="14"/>
        <v>2.189920004251834E-2</v>
      </c>
      <c r="M40" s="179">
        <f>+M36*0.124</f>
        <v>23370.815887310939</v>
      </c>
      <c r="N40" s="80">
        <f t="shared" si="15"/>
        <v>2.1899200042518344E-2</v>
      </c>
      <c r="O40" s="179">
        <f>+O36*0.124</f>
        <v>23838.232205057157</v>
      </c>
      <c r="P40" s="80">
        <f t="shared" si="16"/>
        <v>2.189920004251834E-2</v>
      </c>
      <c r="Q40" s="179">
        <f>+Q36*0.124</f>
        <v>24314.996849158302</v>
      </c>
      <c r="R40" s="80">
        <f t="shared" si="17"/>
        <v>2.1899200042518344E-2</v>
      </c>
      <c r="S40" s="179">
        <f>+S36*0.124</f>
        <v>24801.296786141465</v>
      </c>
      <c r="T40" s="80">
        <f t="shared" si="18"/>
        <v>2.189920004251834E-2</v>
      </c>
      <c r="U40" s="179">
        <f>+U36*0.124</f>
        <v>25297.322721864297</v>
      </c>
      <c r="V40" s="80">
        <f t="shared" si="19"/>
        <v>2.1899200042518344E-2</v>
      </c>
    </row>
    <row r="41" spans="1:22" ht="12.75" customHeight="1">
      <c r="A41" s="2" t="s">
        <v>376</v>
      </c>
      <c r="B41" s="35"/>
      <c r="C41" s="179">
        <f>+C37*0.124</f>
        <v>30515.284</v>
      </c>
      <c r="D41" s="80">
        <f t="shared" si="10"/>
        <v>3.2024603566068822E-2</v>
      </c>
      <c r="E41" s="179">
        <f>+E37*0.124</f>
        <v>31125.589680000001</v>
      </c>
      <c r="F41" s="80">
        <f t="shared" si="11"/>
        <v>3.1569859687437432E-2</v>
      </c>
      <c r="G41" s="179">
        <f>+G37*0.124</f>
        <v>31748.101473600003</v>
      </c>
      <c r="H41" s="80">
        <f t="shared" si="12"/>
        <v>3.1569859687437432E-2</v>
      </c>
      <c r="I41" s="179">
        <f>+I37*0.124</f>
        <v>32383.063503072</v>
      </c>
      <c r="J41" s="80">
        <f t="shared" si="13"/>
        <v>3.1569859687437425E-2</v>
      </c>
      <c r="K41" s="179">
        <f>+K37*0.124</f>
        <v>33030.724773133443</v>
      </c>
      <c r="L41" s="80">
        <f t="shared" si="14"/>
        <v>3.1569859687437432E-2</v>
      </c>
      <c r="M41" s="179">
        <f>+M37*0.124</f>
        <v>33691.339268596115</v>
      </c>
      <c r="N41" s="80">
        <f t="shared" si="15"/>
        <v>3.1569859687437432E-2</v>
      </c>
      <c r="O41" s="179">
        <f>+O37*0.124</f>
        <v>34365.166053968038</v>
      </c>
      <c r="P41" s="80">
        <f t="shared" si="16"/>
        <v>3.1569859687437432E-2</v>
      </c>
      <c r="Q41" s="179">
        <f>+Q37*0.124</f>
        <v>35052.469375047403</v>
      </c>
      <c r="R41" s="80">
        <f t="shared" si="17"/>
        <v>3.1569859687437439E-2</v>
      </c>
      <c r="S41" s="179">
        <f>+S37*0.124</f>
        <v>35753.518762548352</v>
      </c>
      <c r="T41" s="80">
        <f t="shared" si="18"/>
        <v>3.1569859687437439E-2</v>
      </c>
      <c r="U41" s="179">
        <f>+U37*0.124</f>
        <v>36468.589137799325</v>
      </c>
      <c r="V41" s="80">
        <f t="shared" si="19"/>
        <v>3.1569859687437446E-2</v>
      </c>
    </row>
    <row r="42" spans="1:22" ht="12.75" customHeight="1">
      <c r="A42" s="2" t="s">
        <v>377</v>
      </c>
      <c r="B42" s="35"/>
      <c r="C42" s="179"/>
      <c r="D42" s="80">
        <f t="shared" si="10"/>
        <v>0</v>
      </c>
      <c r="E42" s="179"/>
      <c r="F42" s="80">
        <f t="shared" si="11"/>
        <v>0</v>
      </c>
      <c r="G42" s="179"/>
      <c r="H42" s="80">
        <f t="shared" si="12"/>
        <v>0</v>
      </c>
      <c r="I42" s="179"/>
      <c r="J42" s="80">
        <f t="shared" si="13"/>
        <v>0</v>
      </c>
      <c r="K42" s="179"/>
      <c r="L42" s="80">
        <f t="shared" si="14"/>
        <v>0</v>
      </c>
      <c r="M42" s="179"/>
      <c r="N42" s="80">
        <f t="shared" si="15"/>
        <v>0</v>
      </c>
      <c r="O42" s="179"/>
      <c r="P42" s="80">
        <f t="shared" si="16"/>
        <v>0</v>
      </c>
      <c r="Q42" s="179"/>
      <c r="R42" s="80">
        <f t="shared" si="17"/>
        <v>0</v>
      </c>
      <c r="S42" s="179"/>
      <c r="T42" s="80">
        <f t="shared" si="18"/>
        <v>0</v>
      </c>
      <c r="U42" s="179"/>
      <c r="V42" s="80">
        <f t="shared" si="19"/>
        <v>0</v>
      </c>
    </row>
    <row r="43" spans="1:22" ht="12.75" customHeight="1">
      <c r="A43" s="2" t="s">
        <v>378</v>
      </c>
      <c r="B43" s="35"/>
      <c r="C43" s="179"/>
      <c r="D43" s="80">
        <f t="shared" si="10"/>
        <v>0</v>
      </c>
      <c r="E43" s="179"/>
      <c r="F43" s="80">
        <f t="shared" si="11"/>
        <v>0</v>
      </c>
      <c r="G43" s="179"/>
      <c r="H43" s="80">
        <f t="shared" si="12"/>
        <v>0</v>
      </c>
      <c r="I43" s="179"/>
      <c r="J43" s="80">
        <f t="shared" si="13"/>
        <v>0</v>
      </c>
      <c r="K43" s="179"/>
      <c r="L43" s="80">
        <f t="shared" si="14"/>
        <v>0</v>
      </c>
      <c r="M43" s="179"/>
      <c r="N43" s="80">
        <f t="shared" si="15"/>
        <v>0</v>
      </c>
      <c r="O43" s="179"/>
      <c r="P43" s="80">
        <f t="shared" si="16"/>
        <v>0</v>
      </c>
      <c r="Q43" s="179"/>
      <c r="R43" s="80">
        <f t="shared" si="17"/>
        <v>0</v>
      </c>
      <c r="S43" s="179"/>
      <c r="T43" s="80">
        <f t="shared" si="18"/>
        <v>0</v>
      </c>
      <c r="U43" s="179"/>
      <c r="V43" s="80">
        <f t="shared" si="19"/>
        <v>0</v>
      </c>
    </row>
    <row r="44" spans="1:22" ht="12.75" customHeight="1">
      <c r="A44" s="2" t="s">
        <v>379</v>
      </c>
      <c r="B44" s="35"/>
      <c r="C44" s="179"/>
      <c r="D44" s="80">
        <f t="shared" si="10"/>
        <v>0</v>
      </c>
      <c r="E44" s="179"/>
      <c r="F44" s="80">
        <f t="shared" si="11"/>
        <v>0</v>
      </c>
      <c r="G44" s="179"/>
      <c r="H44" s="80">
        <f t="shared" si="12"/>
        <v>0</v>
      </c>
      <c r="I44" s="179"/>
      <c r="J44" s="80">
        <f t="shared" si="13"/>
        <v>0</v>
      </c>
      <c r="K44" s="179"/>
      <c r="L44" s="80">
        <f t="shared" si="14"/>
        <v>0</v>
      </c>
      <c r="M44" s="179"/>
      <c r="N44" s="80">
        <f t="shared" si="15"/>
        <v>0</v>
      </c>
      <c r="O44" s="179"/>
      <c r="P44" s="80">
        <f t="shared" si="16"/>
        <v>0</v>
      </c>
      <c r="Q44" s="179"/>
      <c r="R44" s="80">
        <f t="shared" si="17"/>
        <v>0</v>
      </c>
      <c r="S44" s="179"/>
      <c r="T44" s="80">
        <f t="shared" si="18"/>
        <v>0</v>
      </c>
      <c r="U44" s="179"/>
      <c r="V44" s="80">
        <f t="shared" si="19"/>
        <v>0</v>
      </c>
    </row>
    <row r="45" spans="1:22" ht="12.75" customHeight="1">
      <c r="A45" s="2" t="s">
        <v>380</v>
      </c>
      <c r="B45" s="35"/>
      <c r="C45" s="182">
        <f>+SUM(C36+C37+C39)*0.094</f>
        <v>41663.432000000001</v>
      </c>
      <c r="D45" s="80">
        <f t="shared" si="10"/>
        <v>4.3724151248333981E-2</v>
      </c>
      <c r="E45" s="182">
        <f>+SUM(E36+E37+E39)*0.094</f>
        <v>42496.700640000003</v>
      </c>
      <c r="F45" s="80">
        <f t="shared" si="11"/>
        <v>4.310327579900914E-2</v>
      </c>
      <c r="G45" s="182">
        <f>+SUM(G36+G37+G39)*0.094</f>
        <v>43346.634652799999</v>
      </c>
      <c r="H45" s="80">
        <f t="shared" si="12"/>
        <v>4.3103275799009133E-2</v>
      </c>
      <c r="I45" s="182">
        <f>+SUM(I36+I37+I39)*0.094</f>
        <v>44213.567345856005</v>
      </c>
      <c r="J45" s="80">
        <f t="shared" si="13"/>
        <v>4.3103275799009133E-2</v>
      </c>
      <c r="K45" s="182">
        <f>+SUM(K36+K37+K39)*0.094</f>
        <v>45097.838692773126</v>
      </c>
      <c r="L45" s="80">
        <f t="shared" si="14"/>
        <v>4.3103275799009133E-2</v>
      </c>
      <c r="M45" s="182">
        <f>+SUM(M36+M37+M39)*0.094</f>
        <v>45999.795466628595</v>
      </c>
      <c r="N45" s="80">
        <f t="shared" si="15"/>
        <v>4.3103275799009147E-2</v>
      </c>
      <c r="O45" s="182">
        <f>+SUM(O36+O37+O39)*0.094</f>
        <v>46919.791375961162</v>
      </c>
      <c r="P45" s="80">
        <f t="shared" si="16"/>
        <v>4.310327579900914E-2</v>
      </c>
      <c r="Q45" s="182">
        <f>+SUM(Q36+Q37+Q39)*0.094</f>
        <v>47858.187203480382</v>
      </c>
      <c r="R45" s="80">
        <f t="shared" si="17"/>
        <v>4.3103275799009133E-2</v>
      </c>
      <c r="S45" s="182">
        <f>+SUM(S36+S37+S39)*0.094</f>
        <v>48815.350947549996</v>
      </c>
      <c r="T45" s="80">
        <f t="shared" si="18"/>
        <v>4.310327579900914E-2</v>
      </c>
      <c r="U45" s="182">
        <f>+SUM(U36+U37+U39)*0.094</f>
        <v>49791.657966500999</v>
      </c>
      <c r="V45" s="80">
        <f t="shared" si="19"/>
        <v>4.3103275799009147E-2</v>
      </c>
    </row>
    <row r="46" spans="1:22" ht="12.75" customHeight="1">
      <c r="A46" s="1" t="s">
        <v>381</v>
      </c>
      <c r="B46" s="53"/>
      <c r="C46" s="82">
        <f>SUM(C36:C45)</f>
        <v>536574.38399999996</v>
      </c>
      <c r="D46" s="83">
        <f t="shared" si="10"/>
        <v>0.56311394418965854</v>
      </c>
      <c r="E46" s="82">
        <f>SUM(E36:E45)</f>
        <v>547305.87167999998</v>
      </c>
      <c r="F46" s="83">
        <f t="shared" si="11"/>
        <v>0.55511782275246635</v>
      </c>
      <c r="G46" s="82">
        <f>SUM(G36:G45)</f>
        <v>558251.98911360011</v>
      </c>
      <c r="H46" s="83">
        <f t="shared" si="12"/>
        <v>0.55511782275246646</v>
      </c>
      <c r="I46" s="82">
        <f>SUM(I36:I45)</f>
        <v>569417.02889587195</v>
      </c>
      <c r="J46" s="83">
        <f t="shared" si="13"/>
        <v>0.55511782275246624</v>
      </c>
      <c r="K46" s="82">
        <f>SUM(K36:K45)</f>
        <v>580805.36947378947</v>
      </c>
      <c r="L46" s="83">
        <f t="shared" si="14"/>
        <v>0.55511782275246624</v>
      </c>
      <c r="M46" s="82">
        <f>SUM(M36:M45)</f>
        <v>592421.47686326539</v>
      </c>
      <c r="N46" s="83">
        <f t="shared" si="15"/>
        <v>0.55511782275246646</v>
      </c>
      <c r="O46" s="82">
        <f>SUM(O36:O45)</f>
        <v>604269.9064005306</v>
      </c>
      <c r="P46" s="83">
        <f t="shared" si="16"/>
        <v>0.55511782275246635</v>
      </c>
      <c r="Q46" s="82">
        <f>SUM(Q36:Q45)</f>
        <v>616355.30452854116</v>
      </c>
      <c r="R46" s="83">
        <f t="shared" si="17"/>
        <v>0.55511782275246624</v>
      </c>
      <c r="S46" s="82">
        <f>SUM(S36:S45)</f>
        <v>628682.41061911208</v>
      </c>
      <c r="T46" s="83">
        <f t="shared" si="18"/>
        <v>0.55511782275246646</v>
      </c>
      <c r="U46" s="82">
        <f>SUM(U36:U45)</f>
        <v>641256.05883149442</v>
      </c>
      <c r="V46" s="83">
        <f t="shared" si="19"/>
        <v>0.55511782275246657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0">IFERROR(C52/C$28,0)</f>
        <v>0</v>
      </c>
      <c r="E52" s="179">
        <v>0</v>
      </c>
      <c r="F52" s="80">
        <f t="shared" ref="F52:F104" si="21">IFERROR(E52/E$28,0)</f>
        <v>0</v>
      </c>
      <c r="G52" s="179">
        <v>0</v>
      </c>
      <c r="H52" s="80">
        <f t="shared" ref="H52:H104" si="22">IFERROR(G52/G$28,0)</f>
        <v>0</v>
      </c>
      <c r="I52" s="179">
        <v>0</v>
      </c>
      <c r="J52" s="80">
        <f t="shared" ref="J52:J104" si="23">IFERROR(I52/I$28,0)</f>
        <v>0</v>
      </c>
      <c r="K52" s="179">
        <v>0</v>
      </c>
      <c r="L52" s="80">
        <f t="shared" ref="L52:L104" si="24">IFERROR(K52/K$28,0)</f>
        <v>0</v>
      </c>
      <c r="M52" s="179">
        <v>0</v>
      </c>
      <c r="N52" s="80">
        <f t="shared" ref="N52:N104" si="25">IFERROR(M52/M$28,0)</f>
        <v>0</v>
      </c>
      <c r="O52" s="179">
        <v>0</v>
      </c>
      <c r="P52" s="80">
        <f t="shared" ref="P52:P104" si="26">IFERROR(O52/O$28,0)</f>
        <v>0</v>
      </c>
      <c r="Q52" s="179">
        <v>0</v>
      </c>
      <c r="R52" s="80">
        <f t="shared" ref="R52:R104" si="27">IFERROR(Q52/Q$28,0)</f>
        <v>0</v>
      </c>
      <c r="S52" s="179">
        <v>0</v>
      </c>
      <c r="T52" s="80">
        <f t="shared" ref="T52:T104" si="28">IFERROR(S52/S$28,0)</f>
        <v>0</v>
      </c>
      <c r="U52" s="179">
        <v>0</v>
      </c>
      <c r="V52" s="80">
        <f t="shared" ref="V52" si="29">IFERROR(U52/U$28,0)</f>
        <v>0</v>
      </c>
      <c r="X52" s="202"/>
    </row>
    <row r="53" spans="1:24" ht="12.75" customHeight="1">
      <c r="A53" s="2" t="s">
        <v>384</v>
      </c>
      <c r="B53" s="35"/>
      <c r="C53" s="179">
        <v>0</v>
      </c>
      <c r="D53" s="80">
        <f t="shared" si="20"/>
        <v>0</v>
      </c>
      <c r="E53" s="179">
        <v>0</v>
      </c>
      <c r="F53" s="80">
        <f t="shared" si="21"/>
        <v>0</v>
      </c>
      <c r="G53" s="179">
        <v>0</v>
      </c>
      <c r="H53" s="80">
        <f t="shared" si="22"/>
        <v>0</v>
      </c>
      <c r="I53" s="179">
        <v>0</v>
      </c>
      <c r="J53" s="80">
        <f t="shared" si="23"/>
        <v>0</v>
      </c>
      <c r="K53" s="179">
        <v>0</v>
      </c>
      <c r="L53" s="80">
        <f t="shared" si="24"/>
        <v>0</v>
      </c>
      <c r="M53" s="179">
        <v>0</v>
      </c>
      <c r="N53" s="80">
        <f t="shared" si="25"/>
        <v>0</v>
      </c>
      <c r="O53" s="179">
        <v>0</v>
      </c>
      <c r="P53" s="80">
        <f t="shared" si="26"/>
        <v>0</v>
      </c>
      <c r="Q53" s="179">
        <v>0</v>
      </c>
      <c r="R53" s="80">
        <f t="shared" si="27"/>
        <v>0</v>
      </c>
      <c r="S53" s="179">
        <v>0</v>
      </c>
      <c r="T53" s="80">
        <f t="shared" si="28"/>
        <v>0</v>
      </c>
      <c r="U53" s="179">
        <v>0</v>
      </c>
      <c r="V53" s="80">
        <f t="shared" ref="V53:V105" si="30">IFERROR(U53/U$28,0)</f>
        <v>0</v>
      </c>
      <c r="X53" s="202"/>
    </row>
    <row r="54" spans="1:24" ht="12.75" customHeight="1">
      <c r="A54" s="2" t="s">
        <v>385</v>
      </c>
      <c r="B54" s="35"/>
      <c r="C54" s="179">
        <v>667.00900000000001</v>
      </c>
      <c r="D54" s="80">
        <f t="shared" si="20"/>
        <v>6.9999999999999999E-4</v>
      </c>
      <c r="E54" s="179">
        <v>690.14918</v>
      </c>
      <c r="F54" s="80">
        <f t="shared" si="21"/>
        <v>6.9999999999999999E-4</v>
      </c>
      <c r="G54" s="179">
        <v>703.95216360000018</v>
      </c>
      <c r="H54" s="80">
        <f t="shared" si="22"/>
        <v>7.000000000000001E-4</v>
      </c>
      <c r="I54" s="179">
        <v>718.0312068720001</v>
      </c>
      <c r="J54" s="80">
        <f t="shared" si="23"/>
        <v>6.9999999999999999E-4</v>
      </c>
      <c r="K54" s="179">
        <v>732.39183100944012</v>
      </c>
      <c r="L54" s="80">
        <f t="shared" si="24"/>
        <v>6.9999999999999999E-4</v>
      </c>
      <c r="M54" s="179">
        <v>747.03966762962887</v>
      </c>
      <c r="N54" s="80">
        <f t="shared" si="25"/>
        <v>6.9999999999999999E-4</v>
      </c>
      <c r="O54" s="179">
        <v>761.98046098222142</v>
      </c>
      <c r="P54" s="80">
        <f t="shared" si="26"/>
        <v>6.9999999999999999E-4</v>
      </c>
      <c r="Q54" s="179">
        <v>777.22007020186584</v>
      </c>
      <c r="R54" s="80">
        <f t="shared" si="27"/>
        <v>6.9999999999999988E-4</v>
      </c>
      <c r="S54" s="179">
        <v>792.76447160590317</v>
      </c>
      <c r="T54" s="80">
        <f t="shared" si="28"/>
        <v>6.9999999999999999E-4</v>
      </c>
      <c r="U54" s="179">
        <v>808.61976103802124</v>
      </c>
      <c r="V54" s="80">
        <f t="shared" si="30"/>
        <v>6.9999999999999999E-4</v>
      </c>
      <c r="X54" s="202"/>
    </row>
    <row r="55" spans="1:24" ht="12.75" customHeight="1">
      <c r="A55" s="2" t="s">
        <v>386</v>
      </c>
      <c r="B55" s="35"/>
      <c r="C55" s="179"/>
      <c r="D55" s="80">
        <f t="shared" si="20"/>
        <v>0</v>
      </c>
      <c r="E55" s="179"/>
      <c r="F55" s="80">
        <f t="shared" si="21"/>
        <v>0</v>
      </c>
      <c r="G55" s="179"/>
      <c r="H55" s="80">
        <f t="shared" si="22"/>
        <v>0</v>
      </c>
      <c r="I55" s="179"/>
      <c r="J55" s="80">
        <f t="shared" si="23"/>
        <v>0</v>
      </c>
      <c r="K55" s="179"/>
      <c r="L55" s="80">
        <f t="shared" si="24"/>
        <v>0</v>
      </c>
      <c r="M55" s="179"/>
      <c r="N55" s="80">
        <f t="shared" si="25"/>
        <v>0</v>
      </c>
      <c r="O55" s="179"/>
      <c r="P55" s="80">
        <f t="shared" si="26"/>
        <v>0</v>
      </c>
      <c r="Q55" s="179"/>
      <c r="R55" s="80">
        <f t="shared" si="27"/>
        <v>0</v>
      </c>
      <c r="S55" s="179"/>
      <c r="T55" s="80">
        <f t="shared" si="28"/>
        <v>0</v>
      </c>
      <c r="U55" s="179"/>
      <c r="V55" s="80">
        <f t="shared" si="30"/>
        <v>0</v>
      </c>
      <c r="X55" s="202"/>
    </row>
    <row r="56" spans="1:24" ht="12.75" customHeight="1">
      <c r="A56" s="2" t="s">
        <v>387</v>
      </c>
      <c r="B56" s="35"/>
      <c r="C56" s="179">
        <v>485.96370000000013</v>
      </c>
      <c r="D56" s="80">
        <f t="shared" si="20"/>
        <v>5.1000000000000015E-4</v>
      </c>
      <c r="E56" s="179">
        <v>502.82297400000004</v>
      </c>
      <c r="F56" s="80">
        <f t="shared" si="21"/>
        <v>5.1000000000000004E-4</v>
      </c>
      <c r="G56" s="179">
        <v>512.8794334800001</v>
      </c>
      <c r="H56" s="80">
        <f t="shared" si="22"/>
        <v>5.1000000000000004E-4</v>
      </c>
      <c r="I56" s="179">
        <v>523.13702214960017</v>
      </c>
      <c r="J56" s="80">
        <f t="shared" si="23"/>
        <v>5.1000000000000015E-4</v>
      </c>
      <c r="K56" s="179">
        <v>533.59976259259213</v>
      </c>
      <c r="L56" s="80">
        <f t="shared" si="24"/>
        <v>5.1000000000000004E-4</v>
      </c>
      <c r="M56" s="179">
        <v>544.27175784444387</v>
      </c>
      <c r="N56" s="80">
        <f t="shared" si="25"/>
        <v>5.1000000000000004E-4</v>
      </c>
      <c r="O56" s="179">
        <v>555.15719300133276</v>
      </c>
      <c r="P56" s="80">
        <f t="shared" si="26"/>
        <v>5.0999999999999993E-4</v>
      </c>
      <c r="Q56" s="179">
        <v>566.26033686135952</v>
      </c>
      <c r="R56" s="80">
        <f t="shared" si="27"/>
        <v>5.1000000000000004E-4</v>
      </c>
      <c r="S56" s="179">
        <v>577.5855435985867</v>
      </c>
      <c r="T56" s="80">
        <f t="shared" si="28"/>
        <v>5.1000000000000004E-4</v>
      </c>
      <c r="U56" s="179">
        <v>589.13725447055833</v>
      </c>
      <c r="V56" s="80">
        <f t="shared" si="30"/>
        <v>5.1000000000000004E-4</v>
      </c>
      <c r="X56" s="202"/>
    </row>
    <row r="57" spans="1:24" ht="12.75" customHeight="1">
      <c r="A57" s="2" t="s">
        <v>388</v>
      </c>
      <c r="B57" s="35"/>
      <c r="C57" s="179">
        <v>0</v>
      </c>
      <c r="D57" s="80">
        <f t="shared" si="20"/>
        <v>0</v>
      </c>
      <c r="E57" s="179">
        <v>0</v>
      </c>
      <c r="F57" s="80">
        <f t="shared" si="21"/>
        <v>0</v>
      </c>
      <c r="G57" s="179">
        <v>0</v>
      </c>
      <c r="H57" s="80">
        <f t="shared" si="22"/>
        <v>0</v>
      </c>
      <c r="I57" s="179">
        <v>0</v>
      </c>
      <c r="J57" s="80">
        <f t="shared" si="23"/>
        <v>0</v>
      </c>
      <c r="K57" s="179">
        <v>0</v>
      </c>
      <c r="L57" s="80">
        <f t="shared" si="24"/>
        <v>0</v>
      </c>
      <c r="M57" s="179">
        <v>0</v>
      </c>
      <c r="N57" s="80">
        <f t="shared" si="25"/>
        <v>0</v>
      </c>
      <c r="O57" s="179">
        <v>0</v>
      </c>
      <c r="P57" s="80">
        <f t="shared" si="26"/>
        <v>0</v>
      </c>
      <c r="Q57" s="179">
        <v>0</v>
      </c>
      <c r="R57" s="80">
        <f t="shared" si="27"/>
        <v>0</v>
      </c>
      <c r="S57" s="179">
        <v>0</v>
      </c>
      <c r="T57" s="80">
        <f t="shared" si="28"/>
        <v>0</v>
      </c>
      <c r="U57" s="179">
        <v>0</v>
      </c>
      <c r="V57" s="80">
        <f t="shared" si="30"/>
        <v>0</v>
      </c>
      <c r="X57" s="202"/>
    </row>
    <row r="58" spans="1:24" ht="12.75" customHeight="1">
      <c r="A58" s="2" t="s">
        <v>389</v>
      </c>
      <c r="B58" s="35"/>
      <c r="C58" s="179">
        <v>0</v>
      </c>
      <c r="D58" s="80">
        <f t="shared" si="20"/>
        <v>0</v>
      </c>
      <c r="E58" s="179">
        <v>0</v>
      </c>
      <c r="F58" s="80">
        <f t="shared" si="21"/>
        <v>0</v>
      </c>
      <c r="G58" s="179">
        <v>0</v>
      </c>
      <c r="H58" s="80">
        <f t="shared" si="22"/>
        <v>0</v>
      </c>
      <c r="I58" s="179">
        <v>0</v>
      </c>
      <c r="J58" s="80">
        <f t="shared" si="23"/>
        <v>0</v>
      </c>
      <c r="K58" s="179">
        <v>0</v>
      </c>
      <c r="L58" s="80">
        <f t="shared" si="24"/>
        <v>0</v>
      </c>
      <c r="M58" s="179">
        <v>0</v>
      </c>
      <c r="N58" s="80">
        <f t="shared" si="25"/>
        <v>0</v>
      </c>
      <c r="O58" s="179">
        <v>0</v>
      </c>
      <c r="P58" s="80">
        <f t="shared" si="26"/>
        <v>0</v>
      </c>
      <c r="Q58" s="179">
        <v>0</v>
      </c>
      <c r="R58" s="80">
        <f t="shared" si="27"/>
        <v>0</v>
      </c>
      <c r="S58" s="179">
        <v>0</v>
      </c>
      <c r="T58" s="80">
        <f t="shared" si="28"/>
        <v>0</v>
      </c>
      <c r="U58" s="179">
        <v>0</v>
      </c>
      <c r="V58" s="80">
        <f t="shared" si="30"/>
        <v>0</v>
      </c>
      <c r="X58" s="202"/>
    </row>
    <row r="59" spans="1:24" ht="12.75" customHeight="1">
      <c r="A59" s="2" t="s">
        <v>390</v>
      </c>
      <c r="B59" s="35"/>
      <c r="C59" s="179">
        <v>0</v>
      </c>
      <c r="D59" s="80">
        <f t="shared" si="20"/>
        <v>0</v>
      </c>
      <c r="E59" s="179">
        <v>0</v>
      </c>
      <c r="F59" s="80">
        <f t="shared" si="21"/>
        <v>0</v>
      </c>
      <c r="G59" s="179">
        <v>0</v>
      </c>
      <c r="H59" s="80">
        <f t="shared" si="22"/>
        <v>0</v>
      </c>
      <c r="I59" s="179">
        <v>0</v>
      </c>
      <c r="J59" s="80">
        <f t="shared" si="23"/>
        <v>0</v>
      </c>
      <c r="K59" s="179">
        <v>0</v>
      </c>
      <c r="L59" s="80">
        <f t="shared" si="24"/>
        <v>0</v>
      </c>
      <c r="M59" s="179">
        <v>0</v>
      </c>
      <c r="N59" s="80">
        <f t="shared" si="25"/>
        <v>0</v>
      </c>
      <c r="O59" s="179">
        <v>0</v>
      </c>
      <c r="P59" s="80">
        <f t="shared" si="26"/>
        <v>0</v>
      </c>
      <c r="Q59" s="179">
        <v>0</v>
      </c>
      <c r="R59" s="80">
        <f t="shared" si="27"/>
        <v>0</v>
      </c>
      <c r="S59" s="179">
        <v>0</v>
      </c>
      <c r="T59" s="80">
        <f t="shared" si="28"/>
        <v>0</v>
      </c>
      <c r="U59" s="179">
        <v>0</v>
      </c>
      <c r="V59" s="80">
        <f t="shared" si="30"/>
        <v>0</v>
      </c>
      <c r="X59" s="202"/>
    </row>
    <row r="60" spans="1:24" ht="12.75" customHeight="1">
      <c r="A60" s="2" t="s">
        <v>391</v>
      </c>
      <c r="B60" s="35"/>
      <c r="C60" s="179">
        <v>0</v>
      </c>
      <c r="D60" s="80">
        <f t="shared" si="20"/>
        <v>0</v>
      </c>
      <c r="E60" s="179">
        <v>0</v>
      </c>
      <c r="F60" s="80">
        <f t="shared" si="21"/>
        <v>0</v>
      </c>
      <c r="G60" s="179">
        <v>0</v>
      </c>
      <c r="H60" s="80">
        <f t="shared" si="22"/>
        <v>0</v>
      </c>
      <c r="I60" s="179">
        <v>0</v>
      </c>
      <c r="J60" s="80">
        <f t="shared" si="23"/>
        <v>0</v>
      </c>
      <c r="K60" s="179">
        <v>0</v>
      </c>
      <c r="L60" s="80">
        <f t="shared" si="24"/>
        <v>0</v>
      </c>
      <c r="M60" s="179">
        <v>0</v>
      </c>
      <c r="N60" s="80">
        <f t="shared" si="25"/>
        <v>0</v>
      </c>
      <c r="O60" s="179">
        <v>0</v>
      </c>
      <c r="P60" s="80">
        <f t="shared" si="26"/>
        <v>0</v>
      </c>
      <c r="Q60" s="179">
        <v>0</v>
      </c>
      <c r="R60" s="80">
        <f t="shared" si="27"/>
        <v>0</v>
      </c>
      <c r="S60" s="179">
        <v>0</v>
      </c>
      <c r="T60" s="80">
        <f t="shared" si="28"/>
        <v>0</v>
      </c>
      <c r="U60" s="179">
        <v>0</v>
      </c>
      <c r="V60" s="80">
        <f t="shared" si="30"/>
        <v>0</v>
      </c>
      <c r="X60" s="202"/>
    </row>
    <row r="61" spans="1:24" ht="12.75" customHeight="1">
      <c r="A61" s="2" t="s">
        <v>392</v>
      </c>
      <c r="B61" s="35"/>
      <c r="C61" s="179">
        <v>0</v>
      </c>
      <c r="D61" s="80">
        <f t="shared" si="20"/>
        <v>0</v>
      </c>
      <c r="E61" s="179">
        <v>0</v>
      </c>
      <c r="F61" s="80">
        <f t="shared" si="21"/>
        <v>0</v>
      </c>
      <c r="G61" s="179">
        <v>0</v>
      </c>
      <c r="H61" s="80">
        <f t="shared" si="22"/>
        <v>0</v>
      </c>
      <c r="I61" s="179">
        <v>0</v>
      </c>
      <c r="J61" s="80">
        <f t="shared" si="23"/>
        <v>0</v>
      </c>
      <c r="K61" s="179">
        <v>0</v>
      </c>
      <c r="L61" s="80">
        <f t="shared" si="24"/>
        <v>0</v>
      </c>
      <c r="M61" s="179">
        <v>0</v>
      </c>
      <c r="N61" s="80">
        <f t="shared" si="25"/>
        <v>0</v>
      </c>
      <c r="O61" s="179">
        <v>0</v>
      </c>
      <c r="P61" s="80">
        <f t="shared" si="26"/>
        <v>0</v>
      </c>
      <c r="Q61" s="179">
        <v>0</v>
      </c>
      <c r="R61" s="80">
        <f t="shared" si="27"/>
        <v>0</v>
      </c>
      <c r="S61" s="179">
        <v>0</v>
      </c>
      <c r="T61" s="80">
        <f t="shared" si="28"/>
        <v>0</v>
      </c>
      <c r="U61" s="179">
        <v>0</v>
      </c>
      <c r="V61" s="80">
        <f t="shared" si="30"/>
        <v>0</v>
      </c>
      <c r="X61" s="202"/>
    </row>
    <row r="62" spans="1:24" ht="12.75" customHeight="1">
      <c r="A62" s="2" t="s">
        <v>393</v>
      </c>
      <c r="B62" s="35"/>
      <c r="C62" s="179">
        <v>0</v>
      </c>
      <c r="D62" s="80">
        <f t="shared" si="20"/>
        <v>0</v>
      </c>
      <c r="E62" s="179">
        <v>0</v>
      </c>
      <c r="F62" s="80">
        <f t="shared" si="21"/>
        <v>0</v>
      </c>
      <c r="G62" s="179">
        <v>0</v>
      </c>
      <c r="H62" s="80">
        <f t="shared" si="22"/>
        <v>0</v>
      </c>
      <c r="I62" s="179">
        <v>0</v>
      </c>
      <c r="J62" s="80">
        <f t="shared" si="23"/>
        <v>0</v>
      </c>
      <c r="K62" s="179">
        <v>0</v>
      </c>
      <c r="L62" s="80">
        <f t="shared" si="24"/>
        <v>0</v>
      </c>
      <c r="M62" s="179">
        <v>0</v>
      </c>
      <c r="N62" s="80">
        <f t="shared" si="25"/>
        <v>0</v>
      </c>
      <c r="O62" s="179">
        <v>0</v>
      </c>
      <c r="P62" s="80">
        <f t="shared" si="26"/>
        <v>0</v>
      </c>
      <c r="Q62" s="179">
        <v>0</v>
      </c>
      <c r="R62" s="80">
        <f t="shared" si="27"/>
        <v>0</v>
      </c>
      <c r="S62" s="179">
        <v>0</v>
      </c>
      <c r="T62" s="80">
        <f t="shared" si="28"/>
        <v>0</v>
      </c>
      <c r="U62" s="179">
        <v>0</v>
      </c>
      <c r="V62" s="80">
        <f t="shared" si="30"/>
        <v>0</v>
      </c>
      <c r="X62" s="202"/>
    </row>
    <row r="63" spans="1:24" ht="12.75" customHeight="1">
      <c r="A63" s="2" t="s">
        <v>394</v>
      </c>
      <c r="B63" s="35"/>
      <c r="C63" s="179">
        <v>13075.697161738713</v>
      </c>
      <c r="D63" s="80">
        <f t="shared" si="20"/>
        <v>1.3722435549171149E-2</v>
      </c>
      <c r="E63" s="179">
        <v>7648.1547860100818</v>
      </c>
      <c r="F63" s="80">
        <f t="shared" si="21"/>
        <v>7.7573204538286308E-3</v>
      </c>
      <c r="G63" s="179">
        <v>8952.8087292343607</v>
      </c>
      <c r="H63" s="80">
        <f t="shared" si="22"/>
        <v>8.9025454207213289E-3</v>
      </c>
      <c r="I63" s="179">
        <v>9051.9733968282762</v>
      </c>
      <c r="J63" s="80">
        <f t="shared" si="23"/>
        <v>8.8246601500557749E-3</v>
      </c>
      <c r="K63" s="179">
        <v>9126.6826719607307</v>
      </c>
      <c r="L63" s="80">
        <f t="shared" si="24"/>
        <v>8.723032671687685E-3</v>
      </c>
      <c r="M63" s="179">
        <v>9289.6483610486066</v>
      </c>
      <c r="N63" s="80">
        <f t="shared" si="25"/>
        <v>8.7046968648497435E-3</v>
      </c>
      <c r="O63" s="179">
        <v>9456.046542672746</v>
      </c>
      <c r="P63" s="80">
        <f t="shared" si="26"/>
        <v>8.686879675810168E-3</v>
      </c>
      <c r="Q63" s="179">
        <v>9625.6175426006412</v>
      </c>
      <c r="R63" s="80">
        <f t="shared" si="27"/>
        <v>8.6692721124281037E-3</v>
      </c>
      <c r="S63" s="179">
        <v>9798.104005070094</v>
      </c>
      <c r="T63" s="80">
        <f t="shared" si="28"/>
        <v>8.6515895315735468E-3</v>
      </c>
      <c r="U63" s="179">
        <v>10355.131203191357</v>
      </c>
      <c r="V63" s="80">
        <f t="shared" si="30"/>
        <v>8.964153724030895E-3</v>
      </c>
      <c r="X63" s="202"/>
    </row>
    <row r="64" spans="1:24" ht="12.75" customHeight="1">
      <c r="A64" s="2" t="s">
        <v>395</v>
      </c>
      <c r="B64" s="35"/>
      <c r="C64" s="179">
        <v>4573.7759999999998</v>
      </c>
      <c r="D64" s="80">
        <f t="shared" si="20"/>
        <v>4.7999999999999996E-3</v>
      </c>
      <c r="E64" s="179">
        <v>4732.4515199999996</v>
      </c>
      <c r="F64" s="80">
        <f t="shared" si="21"/>
        <v>4.7999999999999996E-3</v>
      </c>
      <c r="G64" s="179">
        <v>4827.1005504000004</v>
      </c>
      <c r="H64" s="80">
        <f t="shared" si="22"/>
        <v>4.7999999999999996E-3</v>
      </c>
      <c r="I64" s="179">
        <v>4923.6425614080008</v>
      </c>
      <c r="J64" s="80">
        <f t="shared" si="23"/>
        <v>4.8000000000000004E-3</v>
      </c>
      <c r="K64" s="179">
        <v>5022.1154126361598</v>
      </c>
      <c r="L64" s="80">
        <f t="shared" si="24"/>
        <v>4.7999999999999987E-3</v>
      </c>
      <c r="M64" s="179">
        <v>5122.5577208888826</v>
      </c>
      <c r="N64" s="80">
        <f t="shared" si="25"/>
        <v>4.7999999999999987E-3</v>
      </c>
      <c r="O64" s="179">
        <v>5225.0088753066611</v>
      </c>
      <c r="P64" s="80">
        <f t="shared" si="26"/>
        <v>4.7999999999999996E-3</v>
      </c>
      <c r="Q64" s="179">
        <v>5329.5090528127939</v>
      </c>
      <c r="R64" s="80">
        <f t="shared" si="27"/>
        <v>4.7999999999999987E-3</v>
      </c>
      <c r="S64" s="179">
        <v>5436.0992338690503</v>
      </c>
      <c r="T64" s="80">
        <f t="shared" si="28"/>
        <v>4.7999999999999996E-3</v>
      </c>
      <c r="U64" s="179">
        <v>5544.8212185464308</v>
      </c>
      <c r="V64" s="80">
        <f t="shared" si="30"/>
        <v>4.7999999999999996E-3</v>
      </c>
      <c r="X64" s="202"/>
    </row>
    <row r="65" spans="1:24" ht="12.75" customHeight="1">
      <c r="A65" s="2" t="s">
        <v>396</v>
      </c>
      <c r="B65" s="35"/>
      <c r="C65" s="179">
        <v>476.435</v>
      </c>
      <c r="D65" s="80">
        <f t="shared" si="20"/>
        <v>5.0000000000000001E-4</v>
      </c>
      <c r="E65" s="179">
        <v>492.96370000000002</v>
      </c>
      <c r="F65" s="80">
        <f t="shared" si="21"/>
        <v>5.0000000000000001E-4</v>
      </c>
      <c r="G65" s="179">
        <v>502.8229740000001</v>
      </c>
      <c r="H65" s="80">
        <f t="shared" si="22"/>
        <v>5.0000000000000001E-4</v>
      </c>
      <c r="I65" s="179">
        <v>512.8794334800001</v>
      </c>
      <c r="J65" s="80">
        <f t="shared" si="23"/>
        <v>5.0000000000000001E-4</v>
      </c>
      <c r="K65" s="179">
        <v>523.13702214960006</v>
      </c>
      <c r="L65" s="80">
        <f t="shared" si="24"/>
        <v>5.0000000000000001E-4</v>
      </c>
      <c r="M65" s="179">
        <v>533.59976259259201</v>
      </c>
      <c r="N65" s="80">
        <f t="shared" si="25"/>
        <v>5.0000000000000001E-4</v>
      </c>
      <c r="O65" s="179">
        <v>544.27175784444387</v>
      </c>
      <c r="P65" s="80">
        <f t="shared" si="26"/>
        <v>5.0000000000000001E-4</v>
      </c>
      <c r="Q65" s="179">
        <v>555.15719300133276</v>
      </c>
      <c r="R65" s="80">
        <f t="shared" si="27"/>
        <v>4.999999999999999E-4</v>
      </c>
      <c r="S65" s="179">
        <v>566.26033686135941</v>
      </c>
      <c r="T65" s="80">
        <f t="shared" si="28"/>
        <v>5.0000000000000001E-4</v>
      </c>
      <c r="U65" s="179">
        <v>577.58554359858658</v>
      </c>
      <c r="V65" s="80">
        <f t="shared" si="30"/>
        <v>5.0000000000000001E-4</v>
      </c>
      <c r="X65" s="202"/>
    </row>
    <row r="66" spans="1:24" ht="12.75" customHeight="1">
      <c r="A66" s="2" t="s">
        <v>397</v>
      </c>
      <c r="B66" s="35"/>
      <c r="C66" s="179">
        <v>2668.0360000000001</v>
      </c>
      <c r="D66" s="80">
        <f t="shared" si="20"/>
        <v>2.8E-3</v>
      </c>
      <c r="E66" s="179">
        <v>2760.59672</v>
      </c>
      <c r="F66" s="80">
        <f t="shared" si="21"/>
        <v>2.8E-3</v>
      </c>
      <c r="G66" s="179">
        <v>2815.8086544000007</v>
      </c>
      <c r="H66" s="80">
        <f t="shared" si="22"/>
        <v>2.8000000000000004E-3</v>
      </c>
      <c r="I66" s="179">
        <v>2872.1248274880004</v>
      </c>
      <c r="J66" s="80">
        <f t="shared" si="23"/>
        <v>2.8E-3</v>
      </c>
      <c r="K66" s="179">
        <v>2929.5673240377605</v>
      </c>
      <c r="L66" s="80">
        <f t="shared" si="24"/>
        <v>2.8E-3</v>
      </c>
      <c r="M66" s="179">
        <v>2988.1586705185155</v>
      </c>
      <c r="N66" s="80">
        <f t="shared" si="25"/>
        <v>2.8E-3</v>
      </c>
      <c r="O66" s="179">
        <v>3047.9218439288857</v>
      </c>
      <c r="P66" s="80">
        <f t="shared" si="26"/>
        <v>2.8E-3</v>
      </c>
      <c r="Q66" s="179">
        <v>3108.8802808074634</v>
      </c>
      <c r="R66" s="80">
        <f t="shared" si="27"/>
        <v>2.7999999999999995E-3</v>
      </c>
      <c r="S66" s="179">
        <v>3171.0578864236127</v>
      </c>
      <c r="T66" s="80">
        <f t="shared" si="28"/>
        <v>2.8E-3</v>
      </c>
      <c r="U66" s="179">
        <v>3234.479044152085</v>
      </c>
      <c r="V66" s="80">
        <f t="shared" si="30"/>
        <v>2.8E-3</v>
      </c>
      <c r="X66" s="202"/>
    </row>
    <row r="67" spans="1:24" ht="12.75" customHeight="1">
      <c r="A67" s="2" t="s">
        <v>398</v>
      </c>
      <c r="B67" s="35"/>
      <c r="C67" s="179">
        <v>14293.050000000001</v>
      </c>
      <c r="D67" s="80">
        <f t="shared" si="20"/>
        <v>1.5000000000000001E-2</v>
      </c>
      <c r="E67" s="179">
        <v>14788.910999999998</v>
      </c>
      <c r="F67" s="80">
        <f t="shared" si="21"/>
        <v>1.4999999999999998E-2</v>
      </c>
      <c r="G67" s="179">
        <v>15084.689220000002</v>
      </c>
      <c r="H67" s="80">
        <f t="shared" si="22"/>
        <v>1.5000000000000001E-2</v>
      </c>
      <c r="I67" s="179">
        <v>15386.383004400002</v>
      </c>
      <c r="J67" s="80">
        <f t="shared" si="23"/>
        <v>1.5000000000000001E-2</v>
      </c>
      <c r="K67" s="179">
        <v>15694.110664488002</v>
      </c>
      <c r="L67" s="80">
        <f t="shared" si="24"/>
        <v>1.4999999999999999E-2</v>
      </c>
      <c r="M67" s="179">
        <v>16007.99287777776</v>
      </c>
      <c r="N67" s="80">
        <f t="shared" si="25"/>
        <v>1.4999999999999999E-2</v>
      </c>
      <c r="O67" s="179">
        <v>16328.152735333317</v>
      </c>
      <c r="P67" s="80">
        <f t="shared" si="26"/>
        <v>1.4999999999999999E-2</v>
      </c>
      <c r="Q67" s="179">
        <v>16654.715790039983</v>
      </c>
      <c r="R67" s="80">
        <f t="shared" si="27"/>
        <v>1.4999999999999999E-2</v>
      </c>
      <c r="S67" s="179">
        <v>16987.810105840785</v>
      </c>
      <c r="T67" s="80">
        <f t="shared" si="28"/>
        <v>1.5000000000000001E-2</v>
      </c>
      <c r="U67" s="179">
        <v>17327.566307957597</v>
      </c>
      <c r="V67" s="80">
        <f t="shared" si="30"/>
        <v>1.4999999999999999E-2</v>
      </c>
      <c r="X67" s="202"/>
    </row>
    <row r="68" spans="1:24" ht="12.75" customHeight="1">
      <c r="A68" s="2" t="s">
        <v>399</v>
      </c>
      <c r="B68" s="35"/>
      <c r="C68" s="179">
        <v>1619.8790000000001</v>
      </c>
      <c r="D68" s="80">
        <f t="shared" si="20"/>
        <v>1.7000000000000001E-3</v>
      </c>
      <c r="E68" s="179">
        <v>1676.0765799999999</v>
      </c>
      <c r="F68" s="80">
        <f t="shared" si="21"/>
        <v>1.6999999999999999E-3</v>
      </c>
      <c r="G68" s="179">
        <v>1709.5981116000003</v>
      </c>
      <c r="H68" s="80">
        <f t="shared" si="22"/>
        <v>1.7000000000000001E-3</v>
      </c>
      <c r="I68" s="179">
        <v>1743.7900738320004</v>
      </c>
      <c r="J68" s="80">
        <f t="shared" si="23"/>
        <v>1.7000000000000001E-3</v>
      </c>
      <c r="K68" s="179">
        <v>1778.6658753086401</v>
      </c>
      <c r="L68" s="80">
        <f t="shared" si="24"/>
        <v>1.6999999999999999E-3</v>
      </c>
      <c r="M68" s="179">
        <v>1814.2391928148127</v>
      </c>
      <c r="N68" s="80">
        <f t="shared" si="25"/>
        <v>1.6999999999999997E-3</v>
      </c>
      <c r="O68" s="179">
        <v>1850.523976671109</v>
      </c>
      <c r="P68" s="80">
        <f t="shared" si="26"/>
        <v>1.6999999999999999E-3</v>
      </c>
      <c r="Q68" s="179">
        <v>1887.5344562045314</v>
      </c>
      <c r="R68" s="80">
        <f t="shared" si="27"/>
        <v>1.6999999999999999E-3</v>
      </c>
      <c r="S68" s="179">
        <v>1925.2851453286219</v>
      </c>
      <c r="T68" s="80">
        <f t="shared" si="28"/>
        <v>1.6999999999999999E-3</v>
      </c>
      <c r="U68" s="179">
        <v>1963.7908482351943</v>
      </c>
      <c r="V68" s="80">
        <f t="shared" si="30"/>
        <v>1.6999999999999999E-3</v>
      </c>
      <c r="X68" s="202"/>
    </row>
    <row r="69" spans="1:24" ht="12.75" customHeight="1">
      <c r="A69" s="2" t="s">
        <v>400</v>
      </c>
      <c r="B69" s="35"/>
      <c r="C69" s="179">
        <v>0</v>
      </c>
      <c r="D69" s="80">
        <f t="shared" si="20"/>
        <v>0</v>
      </c>
      <c r="E69" s="179">
        <v>0</v>
      </c>
      <c r="F69" s="80">
        <f t="shared" si="21"/>
        <v>0</v>
      </c>
      <c r="G69" s="179">
        <v>0</v>
      </c>
      <c r="H69" s="80">
        <f t="shared" si="22"/>
        <v>0</v>
      </c>
      <c r="I69" s="179">
        <v>0</v>
      </c>
      <c r="J69" s="80">
        <f t="shared" si="23"/>
        <v>0</v>
      </c>
      <c r="K69" s="179">
        <v>0</v>
      </c>
      <c r="L69" s="80">
        <f t="shared" si="24"/>
        <v>0</v>
      </c>
      <c r="M69" s="179">
        <v>0</v>
      </c>
      <c r="N69" s="80">
        <f t="shared" si="25"/>
        <v>0</v>
      </c>
      <c r="O69" s="179">
        <v>0</v>
      </c>
      <c r="P69" s="80">
        <f t="shared" si="26"/>
        <v>0</v>
      </c>
      <c r="Q69" s="179">
        <v>0</v>
      </c>
      <c r="R69" s="80">
        <f t="shared" si="27"/>
        <v>0</v>
      </c>
      <c r="S69" s="179">
        <v>0</v>
      </c>
      <c r="T69" s="80">
        <f t="shared" si="28"/>
        <v>0</v>
      </c>
      <c r="U69" s="179">
        <v>0</v>
      </c>
      <c r="V69" s="80">
        <f t="shared" si="30"/>
        <v>0</v>
      </c>
      <c r="X69" s="202"/>
    </row>
    <row r="70" spans="1:24" ht="12.75" customHeight="1">
      <c r="A70" s="2" t="s">
        <v>401</v>
      </c>
      <c r="B70" s="35"/>
      <c r="C70" s="179">
        <v>95.28700000000002</v>
      </c>
      <c r="D70" s="80">
        <f t="shared" si="20"/>
        <v>1.0000000000000002E-4</v>
      </c>
      <c r="E70" s="179">
        <v>98.592739999999992</v>
      </c>
      <c r="F70" s="80">
        <f t="shared" si="21"/>
        <v>9.9999999999999991E-5</v>
      </c>
      <c r="G70" s="179">
        <v>100.56459480000001</v>
      </c>
      <c r="H70" s="80">
        <f t="shared" si="22"/>
        <v>1E-4</v>
      </c>
      <c r="I70" s="179">
        <v>102.57588669600003</v>
      </c>
      <c r="J70" s="80">
        <f t="shared" si="23"/>
        <v>1.0000000000000002E-4</v>
      </c>
      <c r="K70" s="179">
        <v>104.62740442992002</v>
      </c>
      <c r="L70" s="80">
        <f t="shared" si="24"/>
        <v>1E-4</v>
      </c>
      <c r="M70" s="179">
        <v>106.71995251851841</v>
      </c>
      <c r="N70" s="80">
        <f t="shared" si="25"/>
        <v>1E-4</v>
      </c>
      <c r="O70" s="179">
        <v>108.85435156888879</v>
      </c>
      <c r="P70" s="80">
        <f t="shared" si="26"/>
        <v>1E-4</v>
      </c>
      <c r="Q70" s="179">
        <v>111.03143860026655</v>
      </c>
      <c r="R70" s="80">
        <f t="shared" si="27"/>
        <v>9.9999999999999991E-5</v>
      </c>
      <c r="S70" s="179">
        <v>113.2520673722719</v>
      </c>
      <c r="T70" s="80">
        <f t="shared" si="28"/>
        <v>1E-4</v>
      </c>
      <c r="U70" s="179">
        <v>115.51710871971733</v>
      </c>
      <c r="V70" s="80">
        <f t="shared" si="30"/>
        <v>1E-4</v>
      </c>
      <c r="X70" s="202"/>
    </row>
    <row r="71" spans="1:24" ht="12.75" customHeight="1">
      <c r="A71" s="2" t="s">
        <v>402</v>
      </c>
      <c r="B71" s="35"/>
      <c r="C71" s="179">
        <v>0</v>
      </c>
      <c r="D71" s="80">
        <f t="shared" si="20"/>
        <v>0</v>
      </c>
      <c r="E71" s="179">
        <v>0</v>
      </c>
      <c r="F71" s="80">
        <f t="shared" si="21"/>
        <v>0</v>
      </c>
      <c r="G71" s="179">
        <v>0</v>
      </c>
      <c r="H71" s="80">
        <f t="shared" si="22"/>
        <v>0</v>
      </c>
      <c r="I71" s="179">
        <v>0</v>
      </c>
      <c r="J71" s="80">
        <f t="shared" si="23"/>
        <v>0</v>
      </c>
      <c r="K71" s="179">
        <v>0</v>
      </c>
      <c r="L71" s="80">
        <f t="shared" si="24"/>
        <v>0</v>
      </c>
      <c r="M71" s="179">
        <v>0</v>
      </c>
      <c r="N71" s="80">
        <f t="shared" si="25"/>
        <v>0</v>
      </c>
      <c r="O71" s="179">
        <v>0</v>
      </c>
      <c r="P71" s="80">
        <f t="shared" si="26"/>
        <v>0</v>
      </c>
      <c r="Q71" s="179">
        <v>0</v>
      </c>
      <c r="R71" s="80">
        <f t="shared" si="27"/>
        <v>0</v>
      </c>
      <c r="S71" s="179">
        <v>0</v>
      </c>
      <c r="T71" s="80">
        <f t="shared" si="28"/>
        <v>0</v>
      </c>
      <c r="U71" s="179">
        <v>0</v>
      </c>
      <c r="V71" s="80">
        <f t="shared" si="30"/>
        <v>0</v>
      </c>
      <c r="X71" s="202"/>
    </row>
    <row r="72" spans="1:24" ht="12.75" customHeight="1">
      <c r="A72" s="2" t="s">
        <v>403</v>
      </c>
      <c r="B72" s="35"/>
      <c r="C72" s="179">
        <v>0</v>
      </c>
      <c r="D72" s="80">
        <f t="shared" si="20"/>
        <v>0</v>
      </c>
      <c r="E72" s="179">
        <v>0</v>
      </c>
      <c r="F72" s="80">
        <f t="shared" si="21"/>
        <v>0</v>
      </c>
      <c r="G72" s="179">
        <v>0</v>
      </c>
      <c r="H72" s="80">
        <f t="shared" si="22"/>
        <v>0</v>
      </c>
      <c r="I72" s="179">
        <v>0</v>
      </c>
      <c r="J72" s="80">
        <f t="shared" si="23"/>
        <v>0</v>
      </c>
      <c r="K72" s="179">
        <v>0</v>
      </c>
      <c r="L72" s="80">
        <f t="shared" si="24"/>
        <v>0</v>
      </c>
      <c r="M72" s="179">
        <v>0</v>
      </c>
      <c r="N72" s="80">
        <f t="shared" si="25"/>
        <v>0</v>
      </c>
      <c r="O72" s="179">
        <v>0</v>
      </c>
      <c r="P72" s="80">
        <f t="shared" si="26"/>
        <v>0</v>
      </c>
      <c r="Q72" s="179">
        <v>0</v>
      </c>
      <c r="R72" s="80">
        <f t="shared" si="27"/>
        <v>0</v>
      </c>
      <c r="S72" s="179">
        <v>0</v>
      </c>
      <c r="T72" s="80">
        <f t="shared" si="28"/>
        <v>0</v>
      </c>
      <c r="U72" s="179">
        <v>0</v>
      </c>
      <c r="V72" s="80">
        <f t="shared" si="30"/>
        <v>0</v>
      </c>
      <c r="X72" s="202"/>
    </row>
    <row r="73" spans="1:24" ht="12.75" customHeight="1">
      <c r="A73" s="2" t="s">
        <v>404</v>
      </c>
      <c r="B73" s="35"/>
      <c r="C73" s="179">
        <v>0</v>
      </c>
      <c r="D73" s="80">
        <f t="shared" si="20"/>
        <v>0</v>
      </c>
      <c r="E73" s="179">
        <v>0</v>
      </c>
      <c r="F73" s="80">
        <f t="shared" si="21"/>
        <v>0</v>
      </c>
      <c r="G73" s="179">
        <v>0</v>
      </c>
      <c r="H73" s="80">
        <f t="shared" si="22"/>
        <v>0</v>
      </c>
      <c r="I73" s="179">
        <v>0</v>
      </c>
      <c r="J73" s="80">
        <f t="shared" si="23"/>
        <v>0</v>
      </c>
      <c r="K73" s="179">
        <v>0</v>
      </c>
      <c r="L73" s="80">
        <f t="shared" si="24"/>
        <v>0</v>
      </c>
      <c r="M73" s="179">
        <v>0</v>
      </c>
      <c r="N73" s="80">
        <f t="shared" si="25"/>
        <v>0</v>
      </c>
      <c r="O73" s="179">
        <v>0</v>
      </c>
      <c r="P73" s="80">
        <f t="shared" si="26"/>
        <v>0</v>
      </c>
      <c r="Q73" s="179">
        <v>0</v>
      </c>
      <c r="R73" s="80">
        <f t="shared" si="27"/>
        <v>0</v>
      </c>
      <c r="S73" s="179">
        <v>0</v>
      </c>
      <c r="T73" s="80">
        <f t="shared" si="28"/>
        <v>0</v>
      </c>
      <c r="U73" s="179">
        <v>0</v>
      </c>
      <c r="V73" s="80">
        <f t="shared" si="30"/>
        <v>0</v>
      </c>
      <c r="X73" s="202"/>
    </row>
    <row r="74" spans="1:24" ht="12.75" customHeight="1">
      <c r="A74" s="2" t="s">
        <v>405</v>
      </c>
      <c r="B74" s="35"/>
      <c r="C74" s="179">
        <v>0</v>
      </c>
      <c r="D74" s="80">
        <f t="shared" si="20"/>
        <v>0</v>
      </c>
      <c r="E74" s="179">
        <v>0</v>
      </c>
      <c r="F74" s="80">
        <f t="shared" si="21"/>
        <v>0</v>
      </c>
      <c r="G74" s="179">
        <v>0</v>
      </c>
      <c r="H74" s="80">
        <f t="shared" si="22"/>
        <v>0</v>
      </c>
      <c r="I74" s="179">
        <v>0</v>
      </c>
      <c r="J74" s="80">
        <f t="shared" si="23"/>
        <v>0</v>
      </c>
      <c r="K74" s="179">
        <v>0</v>
      </c>
      <c r="L74" s="80">
        <f t="shared" si="24"/>
        <v>0</v>
      </c>
      <c r="M74" s="179">
        <v>0</v>
      </c>
      <c r="N74" s="80">
        <f t="shared" si="25"/>
        <v>0</v>
      </c>
      <c r="O74" s="179">
        <v>0</v>
      </c>
      <c r="P74" s="80">
        <f t="shared" si="26"/>
        <v>0</v>
      </c>
      <c r="Q74" s="179">
        <v>0</v>
      </c>
      <c r="R74" s="80">
        <f t="shared" si="27"/>
        <v>0</v>
      </c>
      <c r="S74" s="179">
        <v>0</v>
      </c>
      <c r="T74" s="80">
        <f t="shared" si="28"/>
        <v>0</v>
      </c>
      <c r="U74" s="179">
        <v>0</v>
      </c>
      <c r="V74" s="80">
        <f t="shared" si="30"/>
        <v>0</v>
      </c>
      <c r="X74" s="202"/>
    </row>
    <row r="75" spans="1:24" ht="12.75" customHeight="1">
      <c r="A75" s="2" t="s">
        <v>406</v>
      </c>
      <c r="B75" s="35"/>
      <c r="C75" s="179">
        <v>4764.3500000000004</v>
      </c>
      <c r="D75" s="80">
        <f t="shared" si="20"/>
        <v>5.0000000000000001E-3</v>
      </c>
      <c r="E75" s="179">
        <v>4929.6369999999997</v>
      </c>
      <c r="F75" s="80">
        <f t="shared" si="21"/>
        <v>4.9999999999999992E-3</v>
      </c>
      <c r="G75" s="179">
        <v>5028.2297400000007</v>
      </c>
      <c r="H75" s="80">
        <f t="shared" si="22"/>
        <v>5.0000000000000001E-3</v>
      </c>
      <c r="I75" s="179">
        <v>5128.7943348000017</v>
      </c>
      <c r="J75" s="80">
        <f t="shared" si="23"/>
        <v>5.000000000000001E-3</v>
      </c>
      <c r="K75" s="179">
        <v>5231.3702214960012</v>
      </c>
      <c r="L75" s="80">
        <f t="shared" si="24"/>
        <v>5.0000000000000001E-3</v>
      </c>
      <c r="M75" s="179">
        <v>5335.9976259259201</v>
      </c>
      <c r="N75" s="80">
        <f t="shared" si="25"/>
        <v>5.0000000000000001E-3</v>
      </c>
      <c r="O75" s="179">
        <v>5442.7175784444398</v>
      </c>
      <c r="P75" s="80">
        <f t="shared" si="26"/>
        <v>5.000000000000001E-3</v>
      </c>
      <c r="Q75" s="179">
        <v>5551.5719300133278</v>
      </c>
      <c r="R75" s="80">
        <f t="shared" si="27"/>
        <v>5.0000000000000001E-3</v>
      </c>
      <c r="S75" s="179">
        <v>5662.6033686135952</v>
      </c>
      <c r="T75" s="80">
        <f t="shared" si="28"/>
        <v>5.000000000000001E-3</v>
      </c>
      <c r="U75" s="179">
        <v>5775.8554359858654</v>
      </c>
      <c r="V75" s="80">
        <f t="shared" si="30"/>
        <v>4.9999999999999992E-3</v>
      </c>
      <c r="X75" s="202"/>
    </row>
    <row r="76" spans="1:24" ht="12.75" customHeight="1">
      <c r="A76" s="2" t="s">
        <v>407</v>
      </c>
      <c r="B76" s="35"/>
      <c r="C76" s="179">
        <v>381.14800000000008</v>
      </c>
      <c r="D76" s="80">
        <f t="shared" si="20"/>
        <v>4.0000000000000007E-4</v>
      </c>
      <c r="E76" s="179">
        <v>394.37095999999997</v>
      </c>
      <c r="F76" s="80">
        <f t="shared" si="21"/>
        <v>3.9999999999999996E-4</v>
      </c>
      <c r="G76" s="179">
        <v>402.25837920000004</v>
      </c>
      <c r="H76" s="80">
        <f t="shared" si="22"/>
        <v>4.0000000000000002E-4</v>
      </c>
      <c r="I76" s="179">
        <v>410.3035467840001</v>
      </c>
      <c r="J76" s="80">
        <f t="shared" si="23"/>
        <v>4.0000000000000007E-4</v>
      </c>
      <c r="K76" s="179">
        <v>418.50961771968008</v>
      </c>
      <c r="L76" s="80">
        <f t="shared" si="24"/>
        <v>4.0000000000000002E-4</v>
      </c>
      <c r="M76" s="179">
        <v>426.87981007407365</v>
      </c>
      <c r="N76" s="80">
        <f t="shared" si="25"/>
        <v>4.0000000000000002E-4</v>
      </c>
      <c r="O76" s="179">
        <v>435.41740627555515</v>
      </c>
      <c r="P76" s="80">
        <f t="shared" si="26"/>
        <v>4.0000000000000002E-4</v>
      </c>
      <c r="Q76" s="179">
        <v>444.12575440106622</v>
      </c>
      <c r="R76" s="80">
        <f t="shared" si="27"/>
        <v>3.9999999999999996E-4</v>
      </c>
      <c r="S76" s="179">
        <v>453.00826948908758</v>
      </c>
      <c r="T76" s="80">
        <f t="shared" si="28"/>
        <v>4.0000000000000002E-4</v>
      </c>
      <c r="U76" s="179">
        <v>462.06843487886931</v>
      </c>
      <c r="V76" s="80">
        <f t="shared" si="30"/>
        <v>4.0000000000000002E-4</v>
      </c>
      <c r="X76" s="202"/>
    </row>
    <row r="77" spans="1:24" ht="12.75" customHeight="1">
      <c r="A77" s="2" t="s">
        <v>408</v>
      </c>
      <c r="B77" s="35"/>
      <c r="C77" s="179">
        <v>1238.731</v>
      </c>
      <c r="D77" s="80">
        <f t="shared" si="20"/>
        <v>1.2999999999999999E-3</v>
      </c>
      <c r="E77" s="179">
        <v>1281.7056199999997</v>
      </c>
      <c r="F77" s="80">
        <f t="shared" si="21"/>
        <v>1.2999999999999997E-3</v>
      </c>
      <c r="G77" s="179">
        <v>1307.3397324</v>
      </c>
      <c r="H77" s="80">
        <f t="shared" si="22"/>
        <v>1.2999999999999999E-3</v>
      </c>
      <c r="I77" s="179">
        <v>1333.4865270480002</v>
      </c>
      <c r="J77" s="80">
        <f t="shared" si="23"/>
        <v>1.2999999999999999E-3</v>
      </c>
      <c r="K77" s="179">
        <v>1360.15625758896</v>
      </c>
      <c r="L77" s="80">
        <f t="shared" si="24"/>
        <v>1.2999999999999997E-3</v>
      </c>
      <c r="M77" s="179">
        <v>1387.3593827407392</v>
      </c>
      <c r="N77" s="80">
        <f t="shared" si="25"/>
        <v>1.2999999999999999E-3</v>
      </c>
      <c r="O77" s="179">
        <v>1415.1065703955539</v>
      </c>
      <c r="P77" s="80">
        <f t="shared" si="26"/>
        <v>1.2999999999999997E-3</v>
      </c>
      <c r="Q77" s="179">
        <v>1443.4087018034652</v>
      </c>
      <c r="R77" s="80">
        <f t="shared" si="27"/>
        <v>1.2999999999999999E-3</v>
      </c>
      <c r="S77" s="179">
        <v>1472.2768758395346</v>
      </c>
      <c r="T77" s="80">
        <f t="shared" si="28"/>
        <v>1.3000000000000002E-3</v>
      </c>
      <c r="U77" s="179">
        <v>1501.7224133563252</v>
      </c>
      <c r="V77" s="80">
        <f t="shared" si="30"/>
        <v>1.3000000000000002E-3</v>
      </c>
      <c r="X77" s="202"/>
    </row>
    <row r="78" spans="1:24" ht="12.75" customHeight="1">
      <c r="A78" s="2" t="s">
        <v>409</v>
      </c>
      <c r="B78" s="35"/>
      <c r="C78" s="179">
        <v>20963.14</v>
      </c>
      <c r="D78" s="80">
        <f t="shared" si="20"/>
        <v>2.1999999999999999E-2</v>
      </c>
      <c r="E78" s="179">
        <v>21690.402799999996</v>
      </c>
      <c r="F78" s="80">
        <f t="shared" si="21"/>
        <v>2.1999999999999995E-2</v>
      </c>
      <c r="G78" s="179">
        <v>22124.210856000002</v>
      </c>
      <c r="H78" s="80">
        <f t="shared" si="22"/>
        <v>2.1999999999999999E-2</v>
      </c>
      <c r="I78" s="179">
        <v>22566.695073120001</v>
      </c>
      <c r="J78" s="80">
        <f t="shared" si="23"/>
        <v>2.1999999999999999E-2</v>
      </c>
      <c r="K78" s="179">
        <v>23018.028974582401</v>
      </c>
      <c r="L78" s="80">
        <f t="shared" si="24"/>
        <v>2.1999999999999999E-2</v>
      </c>
      <c r="M78" s="179">
        <v>23478.389554074049</v>
      </c>
      <c r="N78" s="80">
        <f t="shared" si="25"/>
        <v>2.1999999999999999E-2</v>
      </c>
      <c r="O78" s="179">
        <v>23947.95734515553</v>
      </c>
      <c r="P78" s="80">
        <f t="shared" si="26"/>
        <v>2.1999999999999999E-2</v>
      </c>
      <c r="Q78" s="179">
        <v>24426.916492058637</v>
      </c>
      <c r="R78" s="80">
        <f t="shared" si="27"/>
        <v>2.1999999999999995E-2</v>
      </c>
      <c r="S78" s="179">
        <v>24915.454821899813</v>
      </c>
      <c r="T78" s="80">
        <f t="shared" si="28"/>
        <v>2.1999999999999999E-2</v>
      </c>
      <c r="U78" s="179">
        <v>25413.763918337812</v>
      </c>
      <c r="V78" s="80">
        <f t="shared" si="30"/>
        <v>2.2000000000000002E-2</v>
      </c>
      <c r="X78" s="202"/>
    </row>
    <row r="79" spans="1:24" ht="12.75" customHeight="1">
      <c r="A79" s="2" t="s">
        <v>410</v>
      </c>
      <c r="B79" s="35"/>
      <c r="C79" s="179">
        <v>0</v>
      </c>
      <c r="D79" s="80">
        <f t="shared" si="20"/>
        <v>0</v>
      </c>
      <c r="E79" s="179">
        <v>0</v>
      </c>
      <c r="F79" s="80">
        <f t="shared" si="21"/>
        <v>0</v>
      </c>
      <c r="G79" s="179">
        <v>0</v>
      </c>
      <c r="H79" s="80">
        <f t="shared" si="22"/>
        <v>0</v>
      </c>
      <c r="I79" s="179">
        <v>0</v>
      </c>
      <c r="J79" s="80">
        <f t="shared" si="23"/>
        <v>0</v>
      </c>
      <c r="K79" s="179">
        <v>0</v>
      </c>
      <c r="L79" s="80">
        <f t="shared" si="24"/>
        <v>0</v>
      </c>
      <c r="M79" s="179">
        <v>0</v>
      </c>
      <c r="N79" s="80">
        <f t="shared" si="25"/>
        <v>0</v>
      </c>
      <c r="O79" s="179">
        <v>0</v>
      </c>
      <c r="P79" s="80">
        <f t="shared" si="26"/>
        <v>0</v>
      </c>
      <c r="Q79" s="179">
        <v>0</v>
      </c>
      <c r="R79" s="80">
        <f t="shared" si="27"/>
        <v>0</v>
      </c>
      <c r="S79" s="179">
        <v>0</v>
      </c>
      <c r="T79" s="80">
        <f t="shared" si="28"/>
        <v>0</v>
      </c>
      <c r="U79" s="179">
        <v>0</v>
      </c>
      <c r="V79" s="80">
        <f t="shared" si="30"/>
        <v>0</v>
      </c>
      <c r="X79" s="202"/>
    </row>
    <row r="80" spans="1:24" ht="12.75" customHeight="1">
      <c r="A80" s="2" t="s">
        <v>411</v>
      </c>
      <c r="B80" s="35"/>
      <c r="C80" s="179">
        <v>0</v>
      </c>
      <c r="D80" s="80">
        <f t="shared" si="20"/>
        <v>0</v>
      </c>
      <c r="E80" s="179">
        <v>0</v>
      </c>
      <c r="F80" s="80">
        <f t="shared" si="21"/>
        <v>0</v>
      </c>
      <c r="G80" s="179">
        <v>0</v>
      </c>
      <c r="H80" s="80">
        <f t="shared" si="22"/>
        <v>0</v>
      </c>
      <c r="I80" s="179">
        <v>0</v>
      </c>
      <c r="J80" s="80">
        <f t="shared" si="23"/>
        <v>0</v>
      </c>
      <c r="K80" s="179">
        <v>0</v>
      </c>
      <c r="L80" s="80">
        <f t="shared" si="24"/>
        <v>0</v>
      </c>
      <c r="M80" s="179">
        <v>0</v>
      </c>
      <c r="N80" s="80">
        <f t="shared" si="25"/>
        <v>0</v>
      </c>
      <c r="O80" s="179">
        <v>0</v>
      </c>
      <c r="P80" s="80">
        <f t="shared" si="26"/>
        <v>0</v>
      </c>
      <c r="Q80" s="179">
        <v>0</v>
      </c>
      <c r="R80" s="80">
        <f t="shared" si="27"/>
        <v>0</v>
      </c>
      <c r="S80" s="179">
        <v>0</v>
      </c>
      <c r="T80" s="80">
        <f t="shared" si="28"/>
        <v>0</v>
      </c>
      <c r="U80" s="179">
        <v>0</v>
      </c>
      <c r="V80" s="80">
        <f t="shared" si="30"/>
        <v>0</v>
      </c>
      <c r="X80" s="202"/>
    </row>
    <row r="81" spans="1:24" ht="12.75" customHeight="1">
      <c r="A81" s="2" t="s">
        <v>412</v>
      </c>
      <c r="B81" s="35"/>
      <c r="C81" s="179">
        <v>0</v>
      </c>
      <c r="D81" s="80">
        <f t="shared" si="20"/>
        <v>0</v>
      </c>
      <c r="E81" s="179">
        <v>0</v>
      </c>
      <c r="F81" s="80">
        <f t="shared" si="21"/>
        <v>0</v>
      </c>
      <c r="G81" s="179">
        <v>0</v>
      </c>
      <c r="H81" s="80">
        <f t="shared" si="22"/>
        <v>0</v>
      </c>
      <c r="I81" s="179">
        <v>0</v>
      </c>
      <c r="J81" s="80">
        <f t="shared" si="23"/>
        <v>0</v>
      </c>
      <c r="K81" s="179">
        <v>0</v>
      </c>
      <c r="L81" s="80">
        <f t="shared" si="24"/>
        <v>0</v>
      </c>
      <c r="M81" s="179">
        <v>0</v>
      </c>
      <c r="N81" s="80">
        <f t="shared" si="25"/>
        <v>0</v>
      </c>
      <c r="O81" s="179">
        <v>0</v>
      </c>
      <c r="P81" s="80">
        <f t="shared" si="26"/>
        <v>0</v>
      </c>
      <c r="Q81" s="179">
        <v>0</v>
      </c>
      <c r="R81" s="80">
        <f t="shared" si="27"/>
        <v>0</v>
      </c>
      <c r="S81" s="179">
        <v>0</v>
      </c>
      <c r="T81" s="80">
        <f t="shared" si="28"/>
        <v>0</v>
      </c>
      <c r="U81" s="179">
        <v>0</v>
      </c>
      <c r="V81" s="80">
        <f t="shared" si="30"/>
        <v>0</v>
      </c>
      <c r="X81" s="202"/>
    </row>
    <row r="82" spans="1:24" ht="12.75" customHeight="1">
      <c r="A82" s="2" t="s">
        <v>413</v>
      </c>
      <c r="B82" s="35"/>
      <c r="C82" s="179">
        <v>0</v>
      </c>
      <c r="D82" s="80">
        <f t="shared" si="20"/>
        <v>0</v>
      </c>
      <c r="E82" s="179">
        <v>0</v>
      </c>
      <c r="F82" s="80">
        <f t="shared" si="21"/>
        <v>0</v>
      </c>
      <c r="G82" s="179">
        <v>0</v>
      </c>
      <c r="H82" s="80">
        <f t="shared" si="22"/>
        <v>0</v>
      </c>
      <c r="I82" s="179">
        <v>0</v>
      </c>
      <c r="J82" s="80">
        <f t="shared" si="23"/>
        <v>0</v>
      </c>
      <c r="K82" s="179">
        <v>0</v>
      </c>
      <c r="L82" s="80">
        <f t="shared" si="24"/>
        <v>0</v>
      </c>
      <c r="M82" s="179">
        <v>0</v>
      </c>
      <c r="N82" s="80">
        <f t="shared" si="25"/>
        <v>0</v>
      </c>
      <c r="O82" s="179">
        <v>0</v>
      </c>
      <c r="P82" s="80">
        <f t="shared" si="26"/>
        <v>0</v>
      </c>
      <c r="Q82" s="179">
        <v>0</v>
      </c>
      <c r="R82" s="80">
        <f t="shared" si="27"/>
        <v>0</v>
      </c>
      <c r="S82" s="179">
        <v>0</v>
      </c>
      <c r="T82" s="80">
        <f t="shared" si="28"/>
        <v>0</v>
      </c>
      <c r="U82" s="179">
        <v>0</v>
      </c>
      <c r="V82" s="80">
        <f t="shared" si="30"/>
        <v>0</v>
      </c>
      <c r="X82" s="202"/>
    </row>
    <row r="83" spans="1:24" ht="12.75" customHeight="1">
      <c r="A83" s="2" t="s">
        <v>414</v>
      </c>
      <c r="B83" s="35"/>
      <c r="C83" s="179">
        <v>0</v>
      </c>
      <c r="D83" s="80">
        <f t="shared" si="20"/>
        <v>0</v>
      </c>
      <c r="E83" s="179">
        <v>0</v>
      </c>
      <c r="F83" s="80">
        <f t="shared" si="21"/>
        <v>0</v>
      </c>
      <c r="G83" s="179">
        <v>0</v>
      </c>
      <c r="H83" s="80">
        <f t="shared" si="22"/>
        <v>0</v>
      </c>
      <c r="I83" s="179">
        <v>0</v>
      </c>
      <c r="J83" s="80">
        <f t="shared" si="23"/>
        <v>0</v>
      </c>
      <c r="K83" s="179">
        <v>0</v>
      </c>
      <c r="L83" s="80">
        <f t="shared" si="24"/>
        <v>0</v>
      </c>
      <c r="M83" s="179">
        <v>0</v>
      </c>
      <c r="N83" s="80">
        <f t="shared" si="25"/>
        <v>0</v>
      </c>
      <c r="O83" s="179">
        <v>0</v>
      </c>
      <c r="P83" s="80">
        <f t="shared" si="26"/>
        <v>0</v>
      </c>
      <c r="Q83" s="179">
        <v>0</v>
      </c>
      <c r="R83" s="80">
        <f t="shared" si="27"/>
        <v>0</v>
      </c>
      <c r="S83" s="179">
        <v>0</v>
      </c>
      <c r="T83" s="80">
        <f t="shared" si="28"/>
        <v>0</v>
      </c>
      <c r="U83" s="179">
        <v>0</v>
      </c>
      <c r="V83" s="80">
        <f t="shared" si="30"/>
        <v>0</v>
      </c>
      <c r="X83" s="202"/>
    </row>
    <row r="84" spans="1:24" ht="12.75" customHeight="1">
      <c r="A84" s="2" t="s">
        <v>415</v>
      </c>
      <c r="B84" s="35"/>
      <c r="C84" s="179">
        <v>0</v>
      </c>
      <c r="D84" s="80">
        <f t="shared" si="20"/>
        <v>0</v>
      </c>
      <c r="E84" s="179">
        <v>0</v>
      </c>
      <c r="F84" s="80">
        <f t="shared" si="21"/>
        <v>0</v>
      </c>
      <c r="G84" s="179">
        <v>0</v>
      </c>
      <c r="H84" s="80">
        <f t="shared" si="22"/>
        <v>0</v>
      </c>
      <c r="I84" s="179">
        <v>0</v>
      </c>
      <c r="J84" s="80">
        <f t="shared" si="23"/>
        <v>0</v>
      </c>
      <c r="K84" s="179">
        <v>0</v>
      </c>
      <c r="L84" s="80">
        <f t="shared" si="24"/>
        <v>0</v>
      </c>
      <c r="M84" s="179">
        <v>0</v>
      </c>
      <c r="N84" s="80">
        <f t="shared" si="25"/>
        <v>0</v>
      </c>
      <c r="O84" s="179">
        <v>0</v>
      </c>
      <c r="P84" s="80">
        <f t="shared" si="26"/>
        <v>0</v>
      </c>
      <c r="Q84" s="179">
        <v>0</v>
      </c>
      <c r="R84" s="80">
        <f t="shared" si="27"/>
        <v>0</v>
      </c>
      <c r="S84" s="179">
        <v>0</v>
      </c>
      <c r="T84" s="80">
        <f t="shared" si="28"/>
        <v>0</v>
      </c>
      <c r="U84" s="179">
        <v>0</v>
      </c>
      <c r="V84" s="80">
        <f t="shared" si="30"/>
        <v>0</v>
      </c>
      <c r="X84" s="202"/>
    </row>
    <row r="85" spans="1:24" ht="12.75" customHeight="1">
      <c r="A85" s="2" t="s">
        <v>416</v>
      </c>
      <c r="B85" s="35"/>
      <c r="C85" s="179">
        <v>0</v>
      </c>
      <c r="D85" s="80">
        <f t="shared" si="20"/>
        <v>0</v>
      </c>
      <c r="E85" s="179">
        <v>0</v>
      </c>
      <c r="F85" s="80">
        <f t="shared" si="21"/>
        <v>0</v>
      </c>
      <c r="G85" s="179">
        <v>0</v>
      </c>
      <c r="H85" s="80">
        <f t="shared" si="22"/>
        <v>0</v>
      </c>
      <c r="I85" s="179">
        <v>0</v>
      </c>
      <c r="J85" s="80">
        <f t="shared" si="23"/>
        <v>0</v>
      </c>
      <c r="K85" s="179">
        <v>0</v>
      </c>
      <c r="L85" s="80">
        <f t="shared" si="24"/>
        <v>0</v>
      </c>
      <c r="M85" s="179">
        <v>0</v>
      </c>
      <c r="N85" s="80">
        <f t="shared" si="25"/>
        <v>0</v>
      </c>
      <c r="O85" s="179">
        <v>0</v>
      </c>
      <c r="P85" s="80">
        <f t="shared" si="26"/>
        <v>0</v>
      </c>
      <c r="Q85" s="179">
        <v>0</v>
      </c>
      <c r="R85" s="80">
        <f t="shared" si="27"/>
        <v>0</v>
      </c>
      <c r="S85" s="179">
        <v>0</v>
      </c>
      <c r="T85" s="80">
        <f t="shared" si="28"/>
        <v>0</v>
      </c>
      <c r="U85" s="179">
        <v>0</v>
      </c>
      <c r="V85" s="80">
        <f t="shared" si="30"/>
        <v>0</v>
      </c>
      <c r="X85" s="202"/>
    </row>
    <row r="86" spans="1:24" ht="12.75" customHeight="1">
      <c r="A86" s="2" t="s">
        <v>417</v>
      </c>
      <c r="B86" s="35"/>
      <c r="C86" s="179">
        <v>3811.48</v>
      </c>
      <c r="D86" s="80">
        <f t="shared" si="20"/>
        <v>4.0000000000000001E-3</v>
      </c>
      <c r="E86" s="179">
        <v>3943.7096000000001</v>
      </c>
      <c r="F86" s="80">
        <f t="shared" si="21"/>
        <v>4.0000000000000001E-3</v>
      </c>
      <c r="G86" s="179">
        <v>4022.5837920000008</v>
      </c>
      <c r="H86" s="80">
        <f t="shared" si="22"/>
        <v>4.0000000000000001E-3</v>
      </c>
      <c r="I86" s="179">
        <v>4103.0354678400008</v>
      </c>
      <c r="J86" s="80">
        <f t="shared" si="23"/>
        <v>4.0000000000000001E-3</v>
      </c>
      <c r="K86" s="179">
        <v>4185.0961771968005</v>
      </c>
      <c r="L86" s="80">
        <f t="shared" si="24"/>
        <v>4.0000000000000001E-3</v>
      </c>
      <c r="M86" s="179">
        <v>4268.7981007407361</v>
      </c>
      <c r="N86" s="80">
        <f t="shared" si="25"/>
        <v>4.0000000000000001E-3</v>
      </c>
      <c r="O86" s="179">
        <v>4354.1740627555509</v>
      </c>
      <c r="P86" s="80">
        <f t="shared" si="26"/>
        <v>4.0000000000000001E-3</v>
      </c>
      <c r="Q86" s="179">
        <v>4441.2575440106621</v>
      </c>
      <c r="R86" s="80">
        <f t="shared" si="27"/>
        <v>3.9999999999999992E-3</v>
      </c>
      <c r="S86" s="179">
        <v>4530.0826948908752</v>
      </c>
      <c r="T86" s="80">
        <f t="shared" si="28"/>
        <v>4.0000000000000001E-3</v>
      </c>
      <c r="U86" s="179">
        <v>4620.6843487886927</v>
      </c>
      <c r="V86" s="80">
        <f t="shared" si="30"/>
        <v>4.0000000000000001E-3</v>
      </c>
      <c r="X86" s="202"/>
    </row>
    <row r="87" spans="1:24" ht="12.75" customHeight="1">
      <c r="A87" s="2" t="s">
        <v>418</v>
      </c>
      <c r="B87" s="35"/>
      <c r="C87" s="179">
        <v>0</v>
      </c>
      <c r="D87" s="80">
        <f t="shared" si="20"/>
        <v>0</v>
      </c>
      <c r="E87" s="179">
        <v>0</v>
      </c>
      <c r="F87" s="80">
        <f t="shared" si="21"/>
        <v>0</v>
      </c>
      <c r="G87" s="179">
        <v>0</v>
      </c>
      <c r="H87" s="80">
        <f t="shared" si="22"/>
        <v>0</v>
      </c>
      <c r="I87" s="179">
        <v>0</v>
      </c>
      <c r="J87" s="80">
        <f t="shared" si="23"/>
        <v>0</v>
      </c>
      <c r="K87" s="179">
        <v>0</v>
      </c>
      <c r="L87" s="80">
        <f t="shared" si="24"/>
        <v>0</v>
      </c>
      <c r="M87" s="179">
        <v>0</v>
      </c>
      <c r="N87" s="80">
        <f t="shared" si="25"/>
        <v>0</v>
      </c>
      <c r="O87" s="179">
        <v>0</v>
      </c>
      <c r="P87" s="80">
        <f t="shared" si="26"/>
        <v>0</v>
      </c>
      <c r="Q87" s="179">
        <v>0</v>
      </c>
      <c r="R87" s="80">
        <f t="shared" si="27"/>
        <v>0</v>
      </c>
      <c r="S87" s="179">
        <v>0</v>
      </c>
      <c r="T87" s="80">
        <f t="shared" si="28"/>
        <v>0</v>
      </c>
      <c r="U87" s="179">
        <v>0</v>
      </c>
      <c r="V87" s="80">
        <f t="shared" si="30"/>
        <v>0</v>
      </c>
      <c r="X87" s="202"/>
    </row>
    <row r="88" spans="1:24" ht="12.75" customHeight="1">
      <c r="A88" s="2" t="s">
        <v>419</v>
      </c>
      <c r="B88" s="35"/>
      <c r="C88" s="179">
        <v>4859.6370000000006</v>
      </c>
      <c r="D88" s="80">
        <f t="shared" si="20"/>
        <v>5.1000000000000004E-3</v>
      </c>
      <c r="E88" s="179">
        <v>5028.2297399999998</v>
      </c>
      <c r="F88" s="80">
        <f t="shared" si="21"/>
        <v>5.0999999999999995E-3</v>
      </c>
      <c r="G88" s="179">
        <v>5128.7943348000017</v>
      </c>
      <c r="H88" s="80">
        <f t="shared" si="22"/>
        <v>5.1000000000000012E-3</v>
      </c>
      <c r="I88" s="179">
        <v>5231.3702214960022</v>
      </c>
      <c r="J88" s="80">
        <f t="shared" si="23"/>
        <v>5.1000000000000012E-3</v>
      </c>
      <c r="K88" s="179">
        <v>5335.9976259259211</v>
      </c>
      <c r="L88" s="80">
        <f t="shared" si="24"/>
        <v>5.1000000000000004E-3</v>
      </c>
      <c r="M88" s="179">
        <v>5442.7175784444389</v>
      </c>
      <c r="N88" s="80">
        <f t="shared" si="25"/>
        <v>5.1000000000000004E-3</v>
      </c>
      <c r="O88" s="179">
        <v>5551.5719300133278</v>
      </c>
      <c r="P88" s="80">
        <f t="shared" si="26"/>
        <v>5.1000000000000004E-3</v>
      </c>
      <c r="Q88" s="179">
        <v>5662.6033686135952</v>
      </c>
      <c r="R88" s="80">
        <f t="shared" si="27"/>
        <v>5.1000000000000004E-3</v>
      </c>
      <c r="S88" s="179">
        <v>5775.8554359858672</v>
      </c>
      <c r="T88" s="80">
        <f t="shared" si="28"/>
        <v>5.1000000000000012E-3</v>
      </c>
      <c r="U88" s="179">
        <v>5891.372544705584</v>
      </c>
      <c r="V88" s="80">
        <f t="shared" si="30"/>
        <v>5.1000000000000004E-3</v>
      </c>
      <c r="X88" s="202"/>
    </row>
    <row r="89" spans="1:24" ht="12.75" customHeight="1">
      <c r="A89" s="2" t="s">
        <v>420</v>
      </c>
      <c r="B89" s="35"/>
      <c r="C89" s="179">
        <v>0</v>
      </c>
      <c r="D89" s="80">
        <f t="shared" si="20"/>
        <v>0</v>
      </c>
      <c r="E89" s="179">
        <v>0</v>
      </c>
      <c r="F89" s="80">
        <f t="shared" si="21"/>
        <v>0</v>
      </c>
      <c r="G89" s="179">
        <v>0</v>
      </c>
      <c r="H89" s="80">
        <f t="shared" si="22"/>
        <v>0</v>
      </c>
      <c r="I89" s="179">
        <v>0</v>
      </c>
      <c r="J89" s="80">
        <f t="shared" si="23"/>
        <v>0</v>
      </c>
      <c r="K89" s="179">
        <v>0</v>
      </c>
      <c r="L89" s="80">
        <f t="shared" si="24"/>
        <v>0</v>
      </c>
      <c r="M89" s="179">
        <v>0</v>
      </c>
      <c r="N89" s="80">
        <f t="shared" si="25"/>
        <v>0</v>
      </c>
      <c r="O89" s="179">
        <v>0</v>
      </c>
      <c r="P89" s="80">
        <f t="shared" si="26"/>
        <v>0</v>
      </c>
      <c r="Q89" s="179">
        <v>0</v>
      </c>
      <c r="R89" s="80">
        <f t="shared" si="27"/>
        <v>0</v>
      </c>
      <c r="S89" s="179">
        <v>0</v>
      </c>
      <c r="T89" s="80">
        <f t="shared" si="28"/>
        <v>0</v>
      </c>
      <c r="U89" s="179">
        <v>0</v>
      </c>
      <c r="V89" s="80">
        <f t="shared" si="30"/>
        <v>0</v>
      </c>
      <c r="X89" s="202"/>
    </row>
    <row r="90" spans="1:24" ht="12.75" customHeight="1">
      <c r="A90" s="2" t="s">
        <v>421</v>
      </c>
      <c r="B90" s="35"/>
      <c r="C90" s="179">
        <v>190.57400000000004</v>
      </c>
      <c r="D90" s="80">
        <f t="shared" si="20"/>
        <v>2.0000000000000004E-4</v>
      </c>
      <c r="E90" s="179">
        <v>197.18547999999998</v>
      </c>
      <c r="F90" s="80">
        <f t="shared" si="21"/>
        <v>1.9999999999999998E-4</v>
      </c>
      <c r="G90" s="179">
        <v>201.12918960000002</v>
      </c>
      <c r="H90" s="80">
        <f t="shared" si="22"/>
        <v>2.0000000000000001E-4</v>
      </c>
      <c r="I90" s="179">
        <v>205.15177339200005</v>
      </c>
      <c r="J90" s="80">
        <f t="shared" si="23"/>
        <v>2.0000000000000004E-4</v>
      </c>
      <c r="K90" s="179">
        <v>209.25480885984004</v>
      </c>
      <c r="L90" s="80">
        <f t="shared" si="24"/>
        <v>2.0000000000000001E-4</v>
      </c>
      <c r="M90" s="179">
        <v>213.43990503703682</v>
      </c>
      <c r="N90" s="80">
        <f t="shared" si="25"/>
        <v>2.0000000000000001E-4</v>
      </c>
      <c r="O90" s="179">
        <v>217.70870313777758</v>
      </c>
      <c r="P90" s="80">
        <f t="shared" si="26"/>
        <v>2.0000000000000001E-4</v>
      </c>
      <c r="Q90" s="179">
        <v>222.06287720053311</v>
      </c>
      <c r="R90" s="80">
        <f t="shared" si="27"/>
        <v>1.9999999999999998E-4</v>
      </c>
      <c r="S90" s="179">
        <v>226.50413474454379</v>
      </c>
      <c r="T90" s="80">
        <f t="shared" si="28"/>
        <v>2.0000000000000001E-4</v>
      </c>
      <c r="U90" s="179">
        <v>231.03421743943466</v>
      </c>
      <c r="V90" s="80">
        <f t="shared" si="30"/>
        <v>2.0000000000000001E-4</v>
      </c>
      <c r="X90" s="202"/>
    </row>
    <row r="91" spans="1:24" ht="12.75" customHeight="1">
      <c r="A91" s="2" t="s">
        <v>422</v>
      </c>
      <c r="C91" s="179">
        <v>0</v>
      </c>
      <c r="D91" s="80">
        <f t="shared" si="20"/>
        <v>0</v>
      </c>
      <c r="E91" s="179">
        <v>0</v>
      </c>
      <c r="F91" s="80">
        <f t="shared" si="21"/>
        <v>0</v>
      </c>
      <c r="G91" s="179">
        <v>0</v>
      </c>
      <c r="H91" s="80">
        <f t="shared" si="22"/>
        <v>0</v>
      </c>
      <c r="I91" s="179">
        <v>0</v>
      </c>
      <c r="J91" s="80">
        <f t="shared" si="23"/>
        <v>0</v>
      </c>
      <c r="K91" s="179">
        <v>0</v>
      </c>
      <c r="L91" s="80">
        <f t="shared" si="24"/>
        <v>0</v>
      </c>
      <c r="M91" s="179">
        <v>0</v>
      </c>
      <c r="N91" s="80">
        <f t="shared" si="25"/>
        <v>0</v>
      </c>
      <c r="O91" s="179">
        <v>0</v>
      </c>
      <c r="P91" s="80">
        <f t="shared" si="26"/>
        <v>0</v>
      </c>
      <c r="Q91" s="179">
        <v>0</v>
      </c>
      <c r="R91" s="80">
        <f t="shared" si="27"/>
        <v>0</v>
      </c>
      <c r="S91" s="179">
        <v>0</v>
      </c>
      <c r="T91" s="80">
        <f t="shared" si="28"/>
        <v>0</v>
      </c>
      <c r="U91" s="179">
        <v>0</v>
      </c>
      <c r="V91" s="80">
        <f t="shared" si="30"/>
        <v>0</v>
      </c>
      <c r="X91" s="202"/>
    </row>
    <row r="92" spans="1:24" ht="12.75" customHeight="1">
      <c r="A92" s="2" t="s">
        <v>423</v>
      </c>
      <c r="B92" s="35"/>
      <c r="C92" s="179">
        <v>4954.924</v>
      </c>
      <c r="D92" s="80">
        <f t="shared" si="20"/>
        <v>5.1999999999999998E-3</v>
      </c>
      <c r="E92" s="179">
        <v>5126.8224799999989</v>
      </c>
      <c r="F92" s="80">
        <f t="shared" si="21"/>
        <v>5.1999999999999989E-3</v>
      </c>
      <c r="G92" s="179">
        <v>5229.3589296</v>
      </c>
      <c r="H92" s="80">
        <f t="shared" si="22"/>
        <v>5.1999999999999998E-3</v>
      </c>
      <c r="I92" s="179">
        <v>5333.9461081920008</v>
      </c>
      <c r="J92" s="80">
        <f t="shared" si="23"/>
        <v>5.1999999999999998E-3</v>
      </c>
      <c r="K92" s="179">
        <v>5440.62503035584</v>
      </c>
      <c r="L92" s="80">
        <f t="shared" si="24"/>
        <v>5.1999999999999989E-3</v>
      </c>
      <c r="M92" s="179">
        <v>5549.4375309629568</v>
      </c>
      <c r="N92" s="80">
        <f t="shared" si="25"/>
        <v>5.1999999999999998E-3</v>
      </c>
      <c r="O92" s="179">
        <v>5660.4262815822158</v>
      </c>
      <c r="P92" s="80">
        <f t="shared" si="26"/>
        <v>5.1999999999999989E-3</v>
      </c>
      <c r="Q92" s="179">
        <v>5773.6348072138608</v>
      </c>
      <c r="R92" s="80">
        <f t="shared" si="27"/>
        <v>5.1999999999999998E-3</v>
      </c>
      <c r="S92" s="179">
        <v>5889.1075033581383</v>
      </c>
      <c r="T92" s="80">
        <f t="shared" si="28"/>
        <v>5.2000000000000006E-3</v>
      </c>
      <c r="U92" s="179">
        <v>6006.8896534253008</v>
      </c>
      <c r="V92" s="80">
        <f t="shared" si="30"/>
        <v>5.2000000000000006E-3</v>
      </c>
      <c r="X92" s="202"/>
    </row>
    <row r="93" spans="1:24" ht="12.75" customHeight="1">
      <c r="A93" s="2" t="s">
        <v>424</v>
      </c>
      <c r="B93" s="35"/>
      <c r="C93" s="179">
        <v>0</v>
      </c>
      <c r="D93" s="80">
        <f t="shared" si="20"/>
        <v>0</v>
      </c>
      <c r="E93" s="179">
        <v>0</v>
      </c>
      <c r="F93" s="80">
        <f t="shared" si="21"/>
        <v>0</v>
      </c>
      <c r="G93" s="179">
        <v>0</v>
      </c>
      <c r="H93" s="80">
        <f t="shared" si="22"/>
        <v>0</v>
      </c>
      <c r="I93" s="179">
        <v>0</v>
      </c>
      <c r="J93" s="80">
        <f t="shared" si="23"/>
        <v>0</v>
      </c>
      <c r="K93" s="179">
        <v>0</v>
      </c>
      <c r="L93" s="80">
        <f t="shared" si="24"/>
        <v>0</v>
      </c>
      <c r="M93" s="179">
        <v>0</v>
      </c>
      <c r="N93" s="80">
        <f t="shared" si="25"/>
        <v>0</v>
      </c>
      <c r="O93" s="179">
        <v>0</v>
      </c>
      <c r="P93" s="80">
        <f t="shared" si="26"/>
        <v>0</v>
      </c>
      <c r="Q93" s="179">
        <v>0</v>
      </c>
      <c r="R93" s="80">
        <f t="shared" si="27"/>
        <v>0</v>
      </c>
      <c r="S93" s="179">
        <v>0</v>
      </c>
      <c r="T93" s="80">
        <f t="shared" si="28"/>
        <v>0</v>
      </c>
      <c r="U93" s="179">
        <v>0</v>
      </c>
      <c r="V93" s="80">
        <f t="shared" si="30"/>
        <v>0</v>
      </c>
      <c r="X93" s="202"/>
    </row>
    <row r="94" spans="1:24" ht="12.75" customHeight="1">
      <c r="A94" s="2" t="s">
        <v>425</v>
      </c>
      <c r="B94" s="35"/>
      <c r="C94" s="179">
        <v>0</v>
      </c>
      <c r="D94" s="80">
        <f t="shared" si="20"/>
        <v>0</v>
      </c>
      <c r="E94" s="179">
        <v>0</v>
      </c>
      <c r="F94" s="80">
        <f t="shared" si="21"/>
        <v>0</v>
      </c>
      <c r="G94" s="179">
        <v>0</v>
      </c>
      <c r="H94" s="80">
        <f t="shared" si="22"/>
        <v>0</v>
      </c>
      <c r="I94" s="179">
        <v>0</v>
      </c>
      <c r="J94" s="80">
        <f t="shared" si="23"/>
        <v>0</v>
      </c>
      <c r="K94" s="179">
        <v>0</v>
      </c>
      <c r="L94" s="80">
        <f t="shared" si="24"/>
        <v>0</v>
      </c>
      <c r="M94" s="179">
        <v>0</v>
      </c>
      <c r="N94" s="80">
        <f t="shared" si="25"/>
        <v>0</v>
      </c>
      <c r="O94" s="179">
        <v>0</v>
      </c>
      <c r="P94" s="80">
        <f t="shared" si="26"/>
        <v>0</v>
      </c>
      <c r="Q94" s="179">
        <v>0</v>
      </c>
      <c r="R94" s="80">
        <f t="shared" si="27"/>
        <v>0</v>
      </c>
      <c r="S94" s="179">
        <v>0</v>
      </c>
      <c r="T94" s="80">
        <f t="shared" si="28"/>
        <v>0</v>
      </c>
      <c r="U94" s="179">
        <v>0</v>
      </c>
      <c r="V94" s="80">
        <f t="shared" si="30"/>
        <v>0</v>
      </c>
      <c r="X94" s="202"/>
    </row>
    <row r="95" spans="1:24" ht="12.75" customHeight="1">
      <c r="A95" s="2" t="s">
        <v>426</v>
      </c>
      <c r="B95" s="35"/>
      <c r="C95" s="179">
        <v>0</v>
      </c>
      <c r="D95" s="80">
        <f t="shared" si="20"/>
        <v>0</v>
      </c>
      <c r="E95" s="179">
        <v>0</v>
      </c>
      <c r="F95" s="80">
        <f t="shared" si="21"/>
        <v>0</v>
      </c>
      <c r="G95" s="179">
        <v>0</v>
      </c>
      <c r="H95" s="80">
        <f t="shared" si="22"/>
        <v>0</v>
      </c>
      <c r="I95" s="179">
        <v>0</v>
      </c>
      <c r="J95" s="80">
        <f t="shared" si="23"/>
        <v>0</v>
      </c>
      <c r="K95" s="179">
        <v>0</v>
      </c>
      <c r="L95" s="80">
        <f t="shared" si="24"/>
        <v>0</v>
      </c>
      <c r="M95" s="179">
        <v>0</v>
      </c>
      <c r="N95" s="80">
        <f t="shared" si="25"/>
        <v>0</v>
      </c>
      <c r="O95" s="179">
        <v>0</v>
      </c>
      <c r="P95" s="80">
        <f t="shared" si="26"/>
        <v>0</v>
      </c>
      <c r="Q95" s="179">
        <v>0</v>
      </c>
      <c r="R95" s="80">
        <f t="shared" si="27"/>
        <v>0</v>
      </c>
      <c r="S95" s="179">
        <v>0</v>
      </c>
      <c r="T95" s="80">
        <f t="shared" si="28"/>
        <v>0</v>
      </c>
      <c r="U95" s="179">
        <v>0</v>
      </c>
      <c r="V95" s="80">
        <f t="shared" si="30"/>
        <v>0</v>
      </c>
      <c r="X95" s="202"/>
    </row>
    <row r="96" spans="1:24" ht="12.75" customHeight="1">
      <c r="A96" s="2" t="s">
        <v>427</v>
      </c>
      <c r="B96" s="35"/>
      <c r="C96" s="179">
        <v>0</v>
      </c>
      <c r="D96" s="80">
        <f t="shared" si="20"/>
        <v>0</v>
      </c>
      <c r="E96" s="179">
        <v>0</v>
      </c>
      <c r="F96" s="80">
        <f t="shared" si="21"/>
        <v>0</v>
      </c>
      <c r="G96" s="179">
        <v>0</v>
      </c>
      <c r="H96" s="80">
        <f t="shared" si="22"/>
        <v>0</v>
      </c>
      <c r="I96" s="179">
        <v>0</v>
      </c>
      <c r="J96" s="80">
        <f t="shared" si="23"/>
        <v>0</v>
      </c>
      <c r="K96" s="179">
        <v>0</v>
      </c>
      <c r="L96" s="80">
        <f t="shared" si="24"/>
        <v>0</v>
      </c>
      <c r="M96" s="179">
        <v>0</v>
      </c>
      <c r="N96" s="80">
        <f t="shared" si="25"/>
        <v>0</v>
      </c>
      <c r="O96" s="179">
        <v>0</v>
      </c>
      <c r="P96" s="80">
        <f t="shared" si="26"/>
        <v>0</v>
      </c>
      <c r="Q96" s="179">
        <v>0</v>
      </c>
      <c r="R96" s="80">
        <f t="shared" si="27"/>
        <v>0</v>
      </c>
      <c r="S96" s="179">
        <v>0</v>
      </c>
      <c r="T96" s="80">
        <f t="shared" si="28"/>
        <v>0</v>
      </c>
      <c r="U96" s="179">
        <v>0</v>
      </c>
      <c r="V96" s="80">
        <f t="shared" si="30"/>
        <v>0</v>
      </c>
      <c r="X96" s="202"/>
    </row>
    <row r="97" spans="1:24" ht="12.75" customHeight="1">
      <c r="A97" s="2" t="s">
        <v>428</v>
      </c>
      <c r="B97" s="35"/>
      <c r="C97" s="179">
        <v>19635.000400000001</v>
      </c>
      <c r="D97" s="80">
        <f t="shared" si="20"/>
        <v>2.0606169152140377E-2</v>
      </c>
      <c r="E97" s="179">
        <v>20027.700408000001</v>
      </c>
      <c r="F97" s="80">
        <f t="shared" si="21"/>
        <v>2.0313565084001114E-2</v>
      </c>
      <c r="G97" s="179">
        <v>20428.254416160002</v>
      </c>
      <c r="H97" s="80">
        <f t="shared" si="22"/>
        <v>2.0313565084001114E-2</v>
      </c>
      <c r="I97" s="179">
        <v>20836.819504483199</v>
      </c>
      <c r="J97" s="80">
        <f t="shared" si="23"/>
        <v>2.031356508400111E-2</v>
      </c>
      <c r="K97" s="179">
        <v>21253.555894572866</v>
      </c>
      <c r="L97" s="80">
        <f t="shared" si="24"/>
        <v>2.0313565084001114E-2</v>
      </c>
      <c r="M97" s="179">
        <v>21678.627012464327</v>
      </c>
      <c r="N97" s="80">
        <f t="shared" si="25"/>
        <v>2.0313565084001117E-2</v>
      </c>
      <c r="O97" s="179">
        <v>22112.19955271361</v>
      </c>
      <c r="P97" s="80">
        <f t="shared" si="26"/>
        <v>2.0313565084001114E-2</v>
      </c>
      <c r="Q97" s="179">
        <v>22554.443543767884</v>
      </c>
      <c r="R97" s="80">
        <f t="shared" si="27"/>
        <v>2.0313565084001114E-2</v>
      </c>
      <c r="S97" s="179">
        <v>23005.532414643243</v>
      </c>
      <c r="T97" s="80">
        <f t="shared" si="28"/>
        <v>2.0313565084001117E-2</v>
      </c>
      <c r="U97" s="179">
        <v>23465.643062936109</v>
      </c>
      <c r="V97" s="80">
        <f t="shared" si="30"/>
        <v>2.0313565084001121E-2</v>
      </c>
      <c r="X97" s="202"/>
    </row>
    <row r="98" spans="1:24" ht="12.75" customHeight="1">
      <c r="A98" s="117" t="s">
        <v>431</v>
      </c>
      <c r="B98" s="35"/>
      <c r="C98" s="179">
        <v>1143.444</v>
      </c>
      <c r="D98" s="80">
        <f t="shared" si="20"/>
        <v>1.1999999999999999E-3</v>
      </c>
      <c r="E98" s="179">
        <v>1183.1128799999999</v>
      </c>
      <c r="F98" s="80">
        <f t="shared" si="21"/>
        <v>1.1999999999999999E-3</v>
      </c>
      <c r="G98" s="179">
        <v>1206.7751376000001</v>
      </c>
      <c r="H98" s="80">
        <f t="shared" si="22"/>
        <v>1.1999999999999999E-3</v>
      </c>
      <c r="I98" s="179">
        <v>1230.9106403520002</v>
      </c>
      <c r="J98" s="80">
        <f t="shared" si="23"/>
        <v>1.2000000000000001E-3</v>
      </c>
      <c r="K98" s="179">
        <v>1255.52885315904</v>
      </c>
      <c r="L98" s="80">
        <f t="shared" si="24"/>
        <v>1.1999999999999997E-3</v>
      </c>
      <c r="M98" s="179">
        <v>1280.6394302222207</v>
      </c>
      <c r="N98" s="80">
        <f t="shared" si="25"/>
        <v>1.1999999999999997E-3</v>
      </c>
      <c r="O98" s="179">
        <v>1306.2522188266653</v>
      </c>
      <c r="P98" s="80">
        <f t="shared" si="26"/>
        <v>1.1999999999999999E-3</v>
      </c>
      <c r="Q98" s="179">
        <v>1332.3772632031985</v>
      </c>
      <c r="R98" s="80">
        <f t="shared" si="27"/>
        <v>1.1999999999999997E-3</v>
      </c>
      <c r="S98" s="179">
        <v>1359.0248084672626</v>
      </c>
      <c r="T98" s="80">
        <f t="shared" si="28"/>
        <v>1.1999999999999999E-3</v>
      </c>
      <c r="U98" s="179">
        <v>1386.2053046366077</v>
      </c>
      <c r="V98" s="80">
        <f t="shared" si="30"/>
        <v>1.1999999999999999E-3</v>
      </c>
      <c r="X98" s="202"/>
    </row>
    <row r="99" spans="1:24" ht="12.75" customHeight="1">
      <c r="A99" s="117" t="s">
        <v>431</v>
      </c>
      <c r="B99" s="35"/>
      <c r="C99" s="179">
        <v>0</v>
      </c>
      <c r="D99" s="80">
        <f t="shared" si="20"/>
        <v>0</v>
      </c>
      <c r="E99" s="179">
        <v>0</v>
      </c>
      <c r="F99" s="80">
        <f t="shared" si="21"/>
        <v>0</v>
      </c>
      <c r="G99" s="179">
        <v>0</v>
      </c>
      <c r="H99" s="80">
        <f t="shared" si="22"/>
        <v>0</v>
      </c>
      <c r="I99" s="179">
        <v>0</v>
      </c>
      <c r="J99" s="80">
        <f t="shared" si="23"/>
        <v>0</v>
      </c>
      <c r="K99" s="179">
        <v>0</v>
      </c>
      <c r="L99" s="80">
        <f t="shared" si="24"/>
        <v>0</v>
      </c>
      <c r="M99" s="179">
        <v>0</v>
      </c>
      <c r="N99" s="80">
        <f t="shared" si="25"/>
        <v>0</v>
      </c>
      <c r="O99" s="179">
        <v>0</v>
      </c>
      <c r="P99" s="80">
        <f t="shared" si="26"/>
        <v>0</v>
      </c>
      <c r="Q99" s="179">
        <v>0</v>
      </c>
      <c r="R99" s="80">
        <f t="shared" si="27"/>
        <v>0</v>
      </c>
      <c r="S99" s="179">
        <v>0</v>
      </c>
      <c r="T99" s="80">
        <f t="shared" si="28"/>
        <v>0</v>
      </c>
      <c r="U99" s="179">
        <v>0</v>
      </c>
      <c r="V99" s="80">
        <f t="shared" si="30"/>
        <v>0</v>
      </c>
      <c r="X99" s="202"/>
    </row>
    <row r="100" spans="1:24" ht="12.75" customHeight="1">
      <c r="A100" s="117" t="s">
        <v>431</v>
      </c>
      <c r="B100" s="35"/>
      <c r="C100" s="179">
        <v>0</v>
      </c>
      <c r="D100" s="80">
        <f t="shared" si="20"/>
        <v>0</v>
      </c>
      <c r="E100" s="179">
        <v>0</v>
      </c>
      <c r="F100" s="80">
        <f t="shared" si="21"/>
        <v>0</v>
      </c>
      <c r="G100" s="179">
        <v>0</v>
      </c>
      <c r="H100" s="80">
        <f t="shared" si="22"/>
        <v>0</v>
      </c>
      <c r="I100" s="179">
        <v>0</v>
      </c>
      <c r="J100" s="80">
        <f t="shared" si="23"/>
        <v>0</v>
      </c>
      <c r="K100" s="179">
        <v>0</v>
      </c>
      <c r="L100" s="80">
        <f t="shared" si="24"/>
        <v>0</v>
      </c>
      <c r="M100" s="179">
        <v>0</v>
      </c>
      <c r="N100" s="80">
        <f t="shared" si="25"/>
        <v>0</v>
      </c>
      <c r="O100" s="179">
        <v>0</v>
      </c>
      <c r="P100" s="80">
        <f t="shared" si="26"/>
        <v>0</v>
      </c>
      <c r="Q100" s="179">
        <v>0</v>
      </c>
      <c r="R100" s="80">
        <f t="shared" si="27"/>
        <v>0</v>
      </c>
      <c r="S100" s="179">
        <v>0</v>
      </c>
      <c r="T100" s="80">
        <f t="shared" si="28"/>
        <v>0</v>
      </c>
      <c r="U100" s="179">
        <v>0</v>
      </c>
      <c r="V100" s="80">
        <f t="shared" si="30"/>
        <v>0</v>
      </c>
      <c r="X100" s="202"/>
    </row>
    <row r="101" spans="1:24" ht="12.75" customHeight="1">
      <c r="A101" s="2" t="s">
        <v>432</v>
      </c>
      <c r="B101" s="35"/>
      <c r="C101" s="179"/>
      <c r="D101" s="80">
        <f t="shared" si="20"/>
        <v>0</v>
      </c>
      <c r="E101" s="179"/>
      <c r="F101" s="80">
        <f t="shared" si="21"/>
        <v>0</v>
      </c>
      <c r="G101" s="179"/>
      <c r="H101" s="80">
        <f t="shared" si="22"/>
        <v>0</v>
      </c>
      <c r="I101" s="179">
        <v>0</v>
      </c>
      <c r="J101" s="80">
        <f t="shared" si="23"/>
        <v>0</v>
      </c>
      <c r="K101" s="179">
        <v>0</v>
      </c>
      <c r="L101" s="80">
        <f t="shared" si="24"/>
        <v>0</v>
      </c>
      <c r="M101" s="179">
        <v>0</v>
      </c>
      <c r="N101" s="80">
        <f t="shared" si="25"/>
        <v>0</v>
      </c>
      <c r="O101" s="179">
        <v>0</v>
      </c>
      <c r="P101" s="80">
        <f t="shared" si="26"/>
        <v>0</v>
      </c>
      <c r="Q101" s="179">
        <v>0</v>
      </c>
      <c r="R101" s="80">
        <f t="shared" si="27"/>
        <v>0</v>
      </c>
      <c r="S101" s="179">
        <v>0</v>
      </c>
      <c r="T101" s="80">
        <f t="shared" si="28"/>
        <v>0</v>
      </c>
      <c r="U101" s="179">
        <v>0</v>
      </c>
      <c r="V101" s="80">
        <f t="shared" si="30"/>
        <v>0</v>
      </c>
      <c r="X101" s="202"/>
    </row>
    <row r="102" spans="1:24" ht="12.75" customHeight="1">
      <c r="A102" s="117" t="s">
        <v>433</v>
      </c>
      <c r="B102" s="35"/>
      <c r="C102" s="179">
        <v>9528.7000000000007</v>
      </c>
      <c r="D102" s="80">
        <f t="shared" si="20"/>
        <v>0.01</v>
      </c>
      <c r="E102" s="179">
        <v>9859.2739999999994</v>
      </c>
      <c r="F102" s="80">
        <f t="shared" si="21"/>
        <v>9.9999999999999985E-3</v>
      </c>
      <c r="G102" s="179">
        <v>10056.459480000001</v>
      </c>
      <c r="H102" s="80">
        <f t="shared" si="22"/>
        <v>0.01</v>
      </c>
      <c r="I102" s="179">
        <v>10257.588669600003</v>
      </c>
      <c r="J102" s="80">
        <f t="shared" si="23"/>
        <v>1.0000000000000002E-2</v>
      </c>
      <c r="K102" s="179">
        <v>10462.740442992002</v>
      </c>
      <c r="L102" s="80">
        <f t="shared" si="24"/>
        <v>0.01</v>
      </c>
      <c r="M102" s="179">
        <v>10671.99525185184</v>
      </c>
      <c r="N102" s="80">
        <f t="shared" si="25"/>
        <v>0.01</v>
      </c>
      <c r="O102" s="179">
        <v>10885.43515688888</v>
      </c>
      <c r="P102" s="80">
        <f t="shared" si="26"/>
        <v>1.0000000000000002E-2</v>
      </c>
      <c r="Q102" s="179">
        <v>11103.143860026656</v>
      </c>
      <c r="R102" s="80">
        <f t="shared" si="27"/>
        <v>0.01</v>
      </c>
      <c r="S102" s="179">
        <v>11325.20673722719</v>
      </c>
      <c r="T102" s="80">
        <f t="shared" si="28"/>
        <v>1.0000000000000002E-2</v>
      </c>
      <c r="U102" s="179">
        <v>11551.710871971731</v>
      </c>
      <c r="V102" s="80">
        <f t="shared" si="30"/>
        <v>9.9999999999999985E-3</v>
      </c>
      <c r="X102" s="202"/>
    </row>
    <row r="103" spans="1:24" ht="12.75" customHeight="1">
      <c r="A103" s="117" t="s">
        <v>433</v>
      </c>
      <c r="B103" s="35"/>
      <c r="C103" s="179">
        <v>0</v>
      </c>
      <c r="D103" s="80">
        <f t="shared" si="20"/>
        <v>0</v>
      </c>
      <c r="E103" s="179">
        <v>0</v>
      </c>
      <c r="F103" s="80">
        <f t="shared" si="21"/>
        <v>0</v>
      </c>
      <c r="G103" s="179">
        <v>0</v>
      </c>
      <c r="H103" s="80">
        <f t="shared" si="22"/>
        <v>0</v>
      </c>
      <c r="I103" s="179">
        <v>0</v>
      </c>
      <c r="J103" s="80">
        <f t="shared" si="23"/>
        <v>0</v>
      </c>
      <c r="K103" s="179">
        <v>0</v>
      </c>
      <c r="L103" s="80">
        <f t="shared" si="24"/>
        <v>0</v>
      </c>
      <c r="M103" s="179">
        <v>0</v>
      </c>
      <c r="N103" s="80">
        <f t="shared" si="25"/>
        <v>0</v>
      </c>
      <c r="O103" s="179">
        <v>0</v>
      </c>
      <c r="P103" s="80">
        <f t="shared" si="26"/>
        <v>0</v>
      </c>
      <c r="Q103" s="179">
        <v>0</v>
      </c>
      <c r="R103" s="80">
        <f t="shared" si="27"/>
        <v>0</v>
      </c>
      <c r="S103" s="179">
        <v>0</v>
      </c>
      <c r="T103" s="80">
        <f t="shared" si="28"/>
        <v>0</v>
      </c>
      <c r="U103" s="179">
        <v>0</v>
      </c>
      <c r="V103" s="80">
        <f t="shared" si="30"/>
        <v>0</v>
      </c>
      <c r="X103" s="202"/>
    </row>
    <row r="104" spans="1:24" ht="12.75" customHeight="1">
      <c r="A104" s="117" t="s">
        <v>433</v>
      </c>
      <c r="B104" s="1"/>
      <c r="C104" s="179">
        <v>0</v>
      </c>
      <c r="D104" s="80">
        <f t="shared" si="20"/>
        <v>0</v>
      </c>
      <c r="E104" s="179">
        <v>0</v>
      </c>
      <c r="F104" s="80">
        <f t="shared" si="21"/>
        <v>0</v>
      </c>
      <c r="G104" s="179">
        <v>0</v>
      </c>
      <c r="H104" s="80">
        <f t="shared" si="22"/>
        <v>0</v>
      </c>
      <c r="I104" s="179">
        <v>0</v>
      </c>
      <c r="J104" s="80">
        <f t="shared" si="23"/>
        <v>0</v>
      </c>
      <c r="K104" s="179">
        <v>0</v>
      </c>
      <c r="L104" s="80">
        <f t="shared" si="24"/>
        <v>0</v>
      </c>
      <c r="M104" s="179">
        <v>0</v>
      </c>
      <c r="N104" s="80">
        <f t="shared" si="25"/>
        <v>0</v>
      </c>
      <c r="O104" s="179">
        <v>0</v>
      </c>
      <c r="P104" s="80">
        <f t="shared" si="26"/>
        <v>0</v>
      </c>
      <c r="Q104" s="179">
        <v>0</v>
      </c>
      <c r="R104" s="80">
        <f t="shared" si="27"/>
        <v>0</v>
      </c>
      <c r="S104" s="179">
        <v>0</v>
      </c>
      <c r="T104" s="80">
        <f t="shared" si="28"/>
        <v>0</v>
      </c>
      <c r="U104" s="179">
        <v>0</v>
      </c>
      <c r="V104" s="80">
        <f t="shared" si="30"/>
        <v>0</v>
      </c>
      <c r="X104" s="202"/>
    </row>
    <row r="105" spans="1:24" ht="12.75" customHeight="1">
      <c r="A105" s="1" t="s">
        <v>434</v>
      </c>
      <c r="B105" s="53"/>
      <c r="C105" s="82">
        <f>SUM(C52:C104)</f>
        <v>109426.26126173871</v>
      </c>
      <c r="D105" s="83">
        <f t="shared" ref="D105" si="31">IFERROR(C105/C$28,0)</f>
        <v>0.11483860470131152</v>
      </c>
      <c r="E105" s="82">
        <f>SUM(E52:E104)</f>
        <v>107052.87016801009</v>
      </c>
      <c r="F105" s="83">
        <f t="shared" ref="F105" si="32">IFERROR(E105/E$28,0)</f>
        <v>0.10858088553782975</v>
      </c>
      <c r="G105" s="82">
        <f>SUM(G52:G104)</f>
        <v>110345.61841887438</v>
      </c>
      <c r="H105" s="83">
        <f t="shared" ref="H105" si="33">IFERROR(G105/G$28,0)</f>
        <v>0.10972611050472245</v>
      </c>
      <c r="I105" s="82">
        <f>SUM(I52:I104)</f>
        <v>112472.63928026111</v>
      </c>
      <c r="J105" s="83">
        <f t="shared" ref="J105" si="34">IFERROR(I105/I$28,0)</f>
        <v>0.1096482252340569</v>
      </c>
      <c r="K105" s="82">
        <f>SUM(K52:K104)</f>
        <v>114615.76187306219</v>
      </c>
      <c r="L105" s="83">
        <f t="shared" ref="L105" si="35">IFERROR(K105/K$28,0)</f>
        <v>0.10954659775568878</v>
      </c>
      <c r="M105" s="82">
        <f>SUM(M52:M104)</f>
        <v>116888.5091461721</v>
      </c>
      <c r="N105" s="83">
        <f t="shared" ref="N105" si="36">IFERROR(M105/M$28,0)</f>
        <v>0.10952826194885086</v>
      </c>
      <c r="O105" s="82">
        <f>SUM(O52:O104)</f>
        <v>119206.8845434987</v>
      </c>
      <c r="P105" s="83">
        <f t="shared" ref="P105" si="37">IFERROR(O105/O$28,0)</f>
        <v>0.10951044475981127</v>
      </c>
      <c r="Q105" s="82">
        <f>SUM(Q52:Q104)</f>
        <v>121571.47230344311</v>
      </c>
      <c r="R105" s="83">
        <f t="shared" ref="R105" si="38">IFERROR(Q105/Q$28,0)</f>
        <v>0.10949283719642919</v>
      </c>
      <c r="S105" s="82">
        <f>SUM(S52:S104)</f>
        <v>123982.87586112942</v>
      </c>
      <c r="T105" s="83">
        <f t="shared" ref="T105" si="39">IFERROR(S105/S$28,0)</f>
        <v>0.10947515461557465</v>
      </c>
      <c r="U105" s="82">
        <f>SUM(U52:U104)</f>
        <v>126823.59849637189</v>
      </c>
      <c r="V105" s="83">
        <f t="shared" si="30"/>
        <v>0.10978771880803202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-17106.445261738714</v>
      </c>
      <c r="D107" s="83">
        <f>IFERROR(C107/C$28,0)</f>
        <v>-1.7952548890970137E-2</v>
      </c>
      <c r="E107" s="82">
        <f>E28-E33-E46-E105</f>
        <v>-3646.6578480100434</v>
      </c>
      <c r="F107" s="83">
        <f>IFERROR(E107/E$28,0)</f>
        <v>-3.6987082902960639E-3</v>
      </c>
      <c r="G107" s="82">
        <f>G28-G33-G46-G105</f>
        <v>-4871.2818524744798</v>
      </c>
      <c r="H107" s="83">
        <f>IFERROR(G107/G$28,0)</f>
        <v>-4.8439332571889203E-3</v>
      </c>
      <c r="I107" s="82">
        <f>I28-I33-I46-I105</f>
        <v>-4888.8159825330222</v>
      </c>
      <c r="J107" s="83">
        <f>IFERROR(I107/I$28,0)</f>
        <v>-4.7660479865231946E-3</v>
      </c>
      <c r="K107" s="82">
        <f>K28-K33-K46-K105</f>
        <v>-4880.2621093795897</v>
      </c>
      <c r="L107" s="83">
        <f>IFERROR(K107/K$28,0)</f>
        <v>-4.664420508155122E-3</v>
      </c>
      <c r="M107" s="82">
        <f>M28-M33-M46-M105</f>
        <v>-4958.2993872160005</v>
      </c>
      <c r="N107" s="83">
        <f>IFERROR(M107/M$28,0)</f>
        <v>-4.646084701317328E-3</v>
      </c>
      <c r="O107" s="82">
        <f>O28-O33-O46-O105</f>
        <v>-5038.0705893634149</v>
      </c>
      <c r="P107" s="83">
        <f>IFERROR(O107/O$28,0)</f>
        <v>-4.6282675122776857E-3</v>
      </c>
      <c r="Q107" s="82">
        <f>Q28-Q33-Q46-Q105</f>
        <v>-5119.2820702250901</v>
      </c>
      <c r="R107" s="83">
        <f>IFERROR(Q107/Q$28,0)</f>
        <v>-4.610659948895591E-3</v>
      </c>
      <c r="S107" s="82">
        <f>S28-S33-S46-S105</f>
        <v>-5201.6418232471187</v>
      </c>
      <c r="T107" s="83">
        <f>IFERROR(S107/S$28,0)</f>
        <v>-4.5929773680411104E-3</v>
      </c>
      <c r="U107" s="82">
        <f>U28-U33-U46-U105</f>
        <v>-5666.739777732073</v>
      </c>
      <c r="V107" s="83">
        <f>IFERROR(U107/U$28,0)</f>
        <v>-4.9055415604985896E-3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9" tint="0.39997558519241921"/>
  </sheetPr>
  <dimension ref="A1:X119"/>
  <sheetViews>
    <sheetView topLeftCell="A9" zoomScale="70" zoomScaleNormal="70" workbookViewId="0" xr3:uid="{F1DDE993-1B6C-5616-88E6-1BE0F5D2AD08}">
      <selection activeCell="Y81" sqref="Y81"/>
    </sheetView>
  </sheetViews>
  <sheetFormatPr defaultColWidth="9.140625" defaultRowHeight="12.75" customHeight="1"/>
  <cols>
    <col min="1" max="1" width="9.5703125" style="2" customWidth="1"/>
    <col min="2" max="2" width="45.57031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499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502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Catering Services (BBC)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89" t="s">
        <v>348</v>
      </c>
      <c r="B7" s="89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</row>
    <row r="8" spans="1:22" ht="12.75" customHeight="1">
      <c r="A8" s="90" t="s">
        <v>349</v>
      </c>
      <c r="B8" s="90"/>
      <c r="C8" s="91"/>
      <c r="D8" s="90"/>
      <c r="E8" s="91"/>
      <c r="F8" s="90"/>
      <c r="G8" s="91"/>
      <c r="H8" s="90"/>
      <c r="I8" s="91"/>
      <c r="J8" s="90"/>
      <c r="K8" s="91"/>
      <c r="L8" s="90"/>
      <c r="M8" s="91"/>
      <c r="N8" s="90"/>
      <c r="O8" s="91"/>
      <c r="P8" s="90"/>
      <c r="Q8" s="91"/>
      <c r="R8" s="90"/>
      <c r="S8" s="91"/>
      <c r="T8" s="90"/>
      <c r="U8" s="91"/>
      <c r="V8" s="90"/>
    </row>
    <row r="9" spans="1:22" ht="12.75" customHeight="1">
      <c r="A9" s="90"/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</row>
    <row r="10" spans="1:22" ht="12.75" customHeight="1">
      <c r="A10" s="90" t="s">
        <v>449</v>
      </c>
      <c r="B10" s="90"/>
      <c r="C10" s="91"/>
      <c r="D10" s="90"/>
      <c r="E10" s="91"/>
      <c r="F10" s="90"/>
      <c r="G10" s="91"/>
      <c r="H10" s="90"/>
      <c r="I10" s="91"/>
      <c r="J10" s="90"/>
      <c r="K10" s="91"/>
      <c r="L10" s="90"/>
      <c r="M10" s="91"/>
      <c r="N10" s="90"/>
      <c r="O10" s="91"/>
      <c r="P10" s="90"/>
      <c r="Q10" s="91"/>
      <c r="R10" s="90"/>
      <c r="S10" s="91"/>
      <c r="T10" s="90"/>
      <c r="U10" s="91"/>
      <c r="V10" s="90"/>
    </row>
    <row r="11" spans="1:22" ht="12.75" customHeight="1">
      <c r="A11" s="90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1:22" ht="12.75" customHeight="1">
      <c r="A12" s="90" t="s">
        <v>450</v>
      </c>
      <c r="B12" s="90"/>
      <c r="C12" s="92"/>
      <c r="D12" s="90"/>
      <c r="E12" s="92"/>
      <c r="F12" s="90"/>
      <c r="G12" s="92"/>
      <c r="H12" s="90"/>
      <c r="I12" s="92"/>
      <c r="J12" s="90"/>
      <c r="K12" s="92"/>
      <c r="L12" s="90"/>
      <c r="M12" s="92"/>
      <c r="N12" s="90"/>
      <c r="O12" s="92"/>
      <c r="P12" s="90"/>
      <c r="Q12" s="92"/>
      <c r="R12" s="90"/>
      <c r="S12" s="92"/>
      <c r="T12" s="90"/>
      <c r="U12" s="92"/>
      <c r="V12" s="90"/>
    </row>
    <row r="13" spans="1:22" ht="12.75" customHeight="1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1:22" ht="12.75" customHeight="1">
      <c r="A14" s="90" t="s">
        <v>451</v>
      </c>
      <c r="B14" s="90"/>
      <c r="C14" s="124">
        <f>C12*C10*C8</f>
        <v>0</v>
      </c>
      <c r="D14" s="90"/>
      <c r="E14" s="124">
        <f>E12*E10*E8</f>
        <v>0</v>
      </c>
      <c r="F14" s="90"/>
      <c r="G14" s="124">
        <f>G12*G10*G8</f>
        <v>0</v>
      </c>
      <c r="H14" s="90"/>
      <c r="I14" s="124">
        <f>I12*I10*I8</f>
        <v>0</v>
      </c>
      <c r="J14" s="90"/>
      <c r="K14" s="124">
        <f>K12*K10*K8</f>
        <v>0</v>
      </c>
      <c r="L14" s="90"/>
      <c r="M14" s="124">
        <f>M12*M10*M8</f>
        <v>0</v>
      </c>
      <c r="N14" s="90"/>
      <c r="O14" s="124">
        <f>O12*O10*O8</f>
        <v>0</v>
      </c>
      <c r="P14" s="90"/>
      <c r="Q14" s="124">
        <f>Q12*Q10*Q8</f>
        <v>0</v>
      </c>
      <c r="R14" s="90"/>
      <c r="S14" s="124">
        <f>S12*S10*S8</f>
        <v>0</v>
      </c>
      <c r="T14" s="90"/>
      <c r="U14" s="124">
        <f>U12*U10*U8</f>
        <v>0</v>
      </c>
      <c r="V14" s="90"/>
    </row>
    <row r="15" spans="1:22" ht="12.75" customHeight="1">
      <c r="A15" s="39">
        <v>0.15</v>
      </c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2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2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</row>
    <row r="19" spans="1:22" ht="12.75" customHeight="1">
      <c r="A19" s="122" t="s">
        <v>356</v>
      </c>
      <c r="B19" s="35"/>
      <c r="C19" s="79"/>
      <c r="D19" s="80">
        <f>IFERROR(C19/C$28,0)</f>
        <v>0</v>
      </c>
      <c r="E19" s="79"/>
      <c r="F19" s="80">
        <f>IFERROR(E19/E$28,0)</f>
        <v>0</v>
      </c>
      <c r="G19" s="79"/>
      <c r="H19" s="80">
        <f>IFERROR(G19/G$28,0)</f>
        <v>0</v>
      </c>
      <c r="I19" s="79"/>
      <c r="J19" s="80">
        <f>IFERROR(I19/I$28,0)</f>
        <v>0</v>
      </c>
      <c r="K19" s="79"/>
      <c r="L19" s="80">
        <f>IFERROR(K19/K$28,0)</f>
        <v>0</v>
      </c>
      <c r="M19" s="79"/>
      <c r="N19" s="80">
        <f>IFERROR(M19/M$28,0)</f>
        <v>0</v>
      </c>
      <c r="O19" s="79"/>
      <c r="P19" s="80">
        <f>IFERROR(O19/O$28,0)</f>
        <v>0</v>
      </c>
      <c r="Q19" s="79"/>
      <c r="R19" s="80">
        <f>IFERROR(Q19/Q$28,0)</f>
        <v>0</v>
      </c>
      <c r="S19" s="79"/>
      <c r="T19" s="80">
        <f>IFERROR(S19/S$28,0)</f>
        <v>0</v>
      </c>
      <c r="U19" s="79"/>
      <c r="V19" s="80">
        <f>IFERROR(U19/U$28,0)</f>
        <v>0</v>
      </c>
    </row>
    <row r="20" spans="1:22" ht="12.75" customHeight="1">
      <c r="A20" s="122" t="s">
        <v>357</v>
      </c>
      <c r="B20" s="35"/>
      <c r="C20" s="79"/>
      <c r="D20" s="80">
        <f>IFERROR(C20/C$28,0)</f>
        <v>0</v>
      </c>
      <c r="E20" s="79"/>
      <c r="F20" s="80">
        <f>IFERROR(E20/E$28,0)</f>
        <v>0</v>
      </c>
      <c r="G20" s="79"/>
      <c r="H20" s="80">
        <f>IFERROR(G20/G$28,0)</f>
        <v>0</v>
      </c>
      <c r="I20" s="79"/>
      <c r="J20" s="80">
        <f>IFERROR(I20/I$28,0)</f>
        <v>0</v>
      </c>
      <c r="K20" s="79"/>
      <c r="L20" s="80">
        <f>IFERROR(K20/K$28,0)</f>
        <v>0</v>
      </c>
      <c r="M20" s="79"/>
      <c r="N20" s="80">
        <f>IFERROR(M20/M$28,0)</f>
        <v>0</v>
      </c>
      <c r="O20" s="79"/>
      <c r="P20" s="80">
        <f>IFERROR(O20/O$28,0)</f>
        <v>0</v>
      </c>
      <c r="Q20" s="79"/>
      <c r="R20" s="80">
        <f>IFERROR(Q20/Q$28,0)</f>
        <v>0</v>
      </c>
      <c r="S20" s="79"/>
      <c r="T20" s="80">
        <f>IFERROR(S20/S$28,0)</f>
        <v>0</v>
      </c>
      <c r="U20" s="79"/>
      <c r="V20" s="80">
        <f>IFERROR(U20/U$28,0)</f>
        <v>0</v>
      </c>
    </row>
    <row r="21" spans="1:22" ht="12.75" customHeight="1">
      <c r="A21" s="122" t="s">
        <v>358</v>
      </c>
      <c r="B21" s="35"/>
      <c r="C21" s="79"/>
      <c r="D21" s="80">
        <f>IFERROR(C21/C$28,0)</f>
        <v>0</v>
      </c>
      <c r="E21" s="79"/>
      <c r="F21" s="80">
        <f>IFERROR(E21/E$28,0)</f>
        <v>0</v>
      </c>
      <c r="G21" s="79"/>
      <c r="H21" s="80">
        <f>IFERROR(G21/G$28,0)</f>
        <v>0</v>
      </c>
      <c r="I21" s="79"/>
      <c r="J21" s="80">
        <f>IFERROR(I21/I$28,0)</f>
        <v>0</v>
      </c>
      <c r="K21" s="79"/>
      <c r="L21" s="80">
        <f>IFERROR(K21/K$28,0)</f>
        <v>0</v>
      </c>
      <c r="M21" s="79"/>
      <c r="N21" s="80">
        <f>IFERROR(M21/M$28,0)</f>
        <v>0</v>
      </c>
      <c r="O21" s="79"/>
      <c r="P21" s="80">
        <f>IFERROR(O21/O$28,0)</f>
        <v>0</v>
      </c>
      <c r="Q21" s="79"/>
      <c r="R21" s="80">
        <f>IFERROR(Q21/Q$28,0)</f>
        <v>0</v>
      </c>
      <c r="S21" s="79"/>
      <c r="T21" s="80">
        <f>IFERROR(S21/S$28,0)</f>
        <v>0</v>
      </c>
      <c r="U21" s="79"/>
      <c r="V21" s="80">
        <f>IFERROR(U21/U$28,0)</f>
        <v>0</v>
      </c>
    </row>
    <row r="22" spans="1:22" ht="12.75" customHeight="1">
      <c r="A22" s="2" t="s">
        <v>359</v>
      </c>
      <c r="B22" s="35"/>
      <c r="C22" s="79"/>
      <c r="D22" s="80"/>
      <c r="E22" s="79"/>
      <c r="F22" s="80"/>
      <c r="G22" s="79"/>
      <c r="H22" s="80"/>
      <c r="I22" s="79"/>
      <c r="J22" s="80"/>
      <c r="K22" s="79"/>
      <c r="L22" s="80"/>
      <c r="M22" s="79"/>
      <c r="N22" s="80"/>
      <c r="O22" s="79"/>
      <c r="P22" s="80"/>
      <c r="Q22" s="79"/>
      <c r="R22" s="80"/>
      <c r="S22" s="79"/>
      <c r="T22" s="80"/>
      <c r="U22" s="79"/>
      <c r="V22" s="80"/>
    </row>
    <row r="23" spans="1:22" ht="12.75" customHeight="1">
      <c r="A23" s="122" t="s">
        <v>360</v>
      </c>
      <c r="B23" s="35"/>
      <c r="C23" s="79"/>
      <c r="D23" s="80">
        <f t="shared" ref="D23:D28" si="0">IFERROR(C23/C$28,0)</f>
        <v>0</v>
      </c>
      <c r="E23" s="79"/>
      <c r="F23" s="80">
        <f t="shared" ref="F23:F28" si="1">IFERROR(E23/E$28,0)</f>
        <v>0</v>
      </c>
      <c r="G23" s="79"/>
      <c r="H23" s="80">
        <f t="shared" ref="H23:H28" si="2">IFERROR(G23/G$28,0)</f>
        <v>0</v>
      </c>
      <c r="I23" s="79"/>
      <c r="J23" s="80">
        <f t="shared" ref="J23:J28" si="3">IFERROR(I23/I$28,0)</f>
        <v>0</v>
      </c>
      <c r="K23" s="79"/>
      <c r="L23" s="80">
        <f t="shared" ref="L23:L28" si="4">IFERROR(K23/K$28,0)</f>
        <v>0</v>
      </c>
      <c r="M23" s="79"/>
      <c r="N23" s="80">
        <f t="shared" ref="N23:N28" si="5">IFERROR(M23/M$28,0)</f>
        <v>0</v>
      </c>
      <c r="O23" s="79"/>
      <c r="P23" s="80">
        <f t="shared" ref="P23:P28" si="6">IFERROR(O23/O$28,0)</f>
        <v>0</v>
      </c>
      <c r="Q23" s="79"/>
      <c r="R23" s="80">
        <f t="shared" ref="R23:R28" si="7">IFERROR(Q23/Q$28,0)</f>
        <v>0</v>
      </c>
      <c r="S23" s="79"/>
      <c r="T23" s="80">
        <f t="shared" ref="T23:T28" si="8">IFERROR(S23/S$28,0)</f>
        <v>0</v>
      </c>
      <c r="U23" s="79"/>
      <c r="V23" s="80">
        <f t="shared" ref="V23:V28" si="9">IFERROR(U23/U$28,0)</f>
        <v>0</v>
      </c>
    </row>
    <row r="24" spans="1:22" ht="12.75" customHeight="1">
      <c r="A24" s="122" t="s">
        <v>361</v>
      </c>
      <c r="B24" s="35"/>
      <c r="C24" s="79"/>
      <c r="D24" s="80">
        <f t="shared" si="0"/>
        <v>0</v>
      </c>
      <c r="E24" s="79"/>
      <c r="F24" s="80">
        <f t="shared" si="1"/>
        <v>0</v>
      </c>
      <c r="G24" s="79"/>
      <c r="H24" s="80">
        <f t="shared" si="2"/>
        <v>0</v>
      </c>
      <c r="I24" s="79"/>
      <c r="J24" s="80">
        <f t="shared" si="3"/>
        <v>0</v>
      </c>
      <c r="K24" s="79"/>
      <c r="L24" s="80">
        <f t="shared" si="4"/>
        <v>0</v>
      </c>
      <c r="M24" s="79"/>
      <c r="N24" s="80">
        <f t="shared" si="5"/>
        <v>0</v>
      </c>
      <c r="O24" s="79"/>
      <c r="P24" s="80">
        <f t="shared" si="6"/>
        <v>0</v>
      </c>
      <c r="Q24" s="79"/>
      <c r="R24" s="80">
        <f t="shared" si="7"/>
        <v>0</v>
      </c>
      <c r="S24" s="79"/>
      <c r="T24" s="80">
        <f t="shared" si="8"/>
        <v>0</v>
      </c>
      <c r="U24" s="79"/>
      <c r="V24" s="80">
        <f t="shared" si="9"/>
        <v>0</v>
      </c>
    </row>
    <row r="25" spans="1:22" ht="12.75" customHeight="1">
      <c r="A25" s="2" t="s">
        <v>362</v>
      </c>
      <c r="B25" s="35"/>
      <c r="C25" s="111">
        <v>188500</v>
      </c>
      <c r="D25" s="80">
        <f t="shared" si="0"/>
        <v>1</v>
      </c>
      <c r="E25" s="111">
        <f>+C25*1.02</f>
        <v>192270</v>
      </c>
      <c r="F25" s="80">
        <f t="shared" si="1"/>
        <v>1</v>
      </c>
      <c r="G25" s="111">
        <f>+E25*1.02</f>
        <v>196115.4</v>
      </c>
      <c r="H25" s="80">
        <f t="shared" si="2"/>
        <v>1</v>
      </c>
      <c r="I25" s="111">
        <f>+G25*1.02</f>
        <v>200037.70799999998</v>
      </c>
      <c r="J25" s="80">
        <f t="shared" si="3"/>
        <v>1</v>
      </c>
      <c r="K25" s="111">
        <f>+I25*1.02</f>
        <v>204038.46216</v>
      </c>
      <c r="L25" s="80">
        <f t="shared" si="4"/>
        <v>1</v>
      </c>
      <c r="M25" s="111">
        <f>+K25*1.02</f>
        <v>208119.23140319998</v>
      </c>
      <c r="N25" s="80">
        <f t="shared" si="5"/>
        <v>1</v>
      </c>
      <c r="O25" s="111">
        <f>+M25*1.02</f>
        <v>212281.61603126398</v>
      </c>
      <c r="P25" s="80">
        <f t="shared" si="6"/>
        <v>1</v>
      </c>
      <c r="Q25" s="111">
        <f>+O25*1.02</f>
        <v>216527.24835188925</v>
      </c>
      <c r="R25" s="80">
        <f t="shared" si="7"/>
        <v>1</v>
      </c>
      <c r="S25" s="111">
        <f>+Q25*1.02</f>
        <v>220857.79331892706</v>
      </c>
      <c r="T25" s="80">
        <f t="shared" si="8"/>
        <v>1</v>
      </c>
      <c r="U25" s="111">
        <f>+S25*1.02</f>
        <v>225274.9491853056</v>
      </c>
      <c r="V25" s="80">
        <f t="shared" si="9"/>
        <v>1</v>
      </c>
    </row>
    <row r="26" spans="1:22" ht="12.75" customHeight="1">
      <c r="A26" s="122" t="s">
        <v>363</v>
      </c>
      <c r="B26" s="35"/>
      <c r="C26" s="79"/>
      <c r="D26" s="80">
        <f t="shared" si="0"/>
        <v>0</v>
      </c>
      <c r="E26" s="79"/>
      <c r="F26" s="80">
        <f t="shared" si="1"/>
        <v>0</v>
      </c>
      <c r="G26" s="79"/>
      <c r="H26" s="80">
        <f t="shared" si="2"/>
        <v>0</v>
      </c>
      <c r="I26" s="79"/>
      <c r="J26" s="80">
        <f t="shared" si="3"/>
        <v>0</v>
      </c>
      <c r="K26" s="79"/>
      <c r="L26" s="80">
        <f t="shared" si="4"/>
        <v>0</v>
      </c>
      <c r="M26" s="79"/>
      <c r="N26" s="80">
        <f t="shared" si="5"/>
        <v>0</v>
      </c>
      <c r="O26" s="79"/>
      <c r="P26" s="80">
        <f t="shared" si="6"/>
        <v>0</v>
      </c>
      <c r="Q26" s="79"/>
      <c r="R26" s="80">
        <f t="shared" si="7"/>
        <v>0</v>
      </c>
      <c r="S26" s="79"/>
      <c r="T26" s="80">
        <f t="shared" si="8"/>
        <v>0</v>
      </c>
      <c r="U26" s="79"/>
      <c r="V26" s="80">
        <f t="shared" si="9"/>
        <v>0</v>
      </c>
    </row>
    <row r="27" spans="1:22" ht="12.75" customHeight="1">
      <c r="A27" s="2" t="s">
        <v>364</v>
      </c>
      <c r="B27" s="35"/>
      <c r="C27" s="112"/>
      <c r="D27" s="80">
        <f t="shared" si="0"/>
        <v>0</v>
      </c>
      <c r="E27" s="112"/>
      <c r="F27" s="80">
        <f t="shared" si="1"/>
        <v>0</v>
      </c>
      <c r="G27" s="112"/>
      <c r="H27" s="80">
        <f t="shared" si="2"/>
        <v>0</v>
      </c>
      <c r="I27" s="112"/>
      <c r="J27" s="80">
        <f t="shared" si="3"/>
        <v>0</v>
      </c>
      <c r="K27" s="112"/>
      <c r="L27" s="80">
        <f t="shared" si="4"/>
        <v>0</v>
      </c>
      <c r="M27" s="112"/>
      <c r="N27" s="80">
        <f t="shared" si="5"/>
        <v>0</v>
      </c>
      <c r="O27" s="112"/>
      <c r="P27" s="80">
        <f t="shared" si="6"/>
        <v>0</v>
      </c>
      <c r="Q27" s="112"/>
      <c r="R27" s="80">
        <f t="shared" si="7"/>
        <v>0</v>
      </c>
      <c r="S27" s="112"/>
      <c r="T27" s="80">
        <f t="shared" si="8"/>
        <v>0</v>
      </c>
      <c r="U27" s="112"/>
      <c r="V27" s="80">
        <f t="shared" si="9"/>
        <v>0</v>
      </c>
    </row>
    <row r="28" spans="1:22" ht="12.75" customHeight="1">
      <c r="A28" s="1" t="s">
        <v>365</v>
      </c>
      <c r="B28" s="53"/>
      <c r="C28" s="82">
        <f>SUM(C19:C27)</f>
        <v>188500</v>
      </c>
      <c r="D28" s="83">
        <f t="shared" si="0"/>
        <v>1</v>
      </c>
      <c r="E28" s="82">
        <f>SUM(E19:E27)</f>
        <v>192270</v>
      </c>
      <c r="F28" s="83">
        <f t="shared" si="1"/>
        <v>1</v>
      </c>
      <c r="G28" s="82">
        <f>SUM(G19:G27)</f>
        <v>196115.4</v>
      </c>
      <c r="H28" s="83">
        <f t="shared" si="2"/>
        <v>1</v>
      </c>
      <c r="I28" s="82">
        <f>SUM(I19:I27)</f>
        <v>200037.70799999998</v>
      </c>
      <c r="J28" s="83">
        <f t="shared" si="3"/>
        <v>1</v>
      </c>
      <c r="K28" s="82">
        <f>SUM(K19:K27)</f>
        <v>204038.46216</v>
      </c>
      <c r="L28" s="83">
        <f t="shared" si="4"/>
        <v>1</v>
      </c>
      <c r="M28" s="82">
        <f>SUM(M19:M27)</f>
        <v>208119.23140319998</v>
      </c>
      <c r="N28" s="83">
        <f t="shared" si="5"/>
        <v>1</v>
      </c>
      <c r="O28" s="82">
        <f>SUM(O19:O27)</f>
        <v>212281.61603126398</v>
      </c>
      <c r="P28" s="83">
        <f t="shared" si="6"/>
        <v>1</v>
      </c>
      <c r="Q28" s="82">
        <f>SUM(Q19:Q27)</f>
        <v>216527.24835188925</v>
      </c>
      <c r="R28" s="83">
        <f t="shared" si="7"/>
        <v>1</v>
      </c>
      <c r="S28" s="82">
        <f>SUM(S19:S27)</f>
        <v>220857.79331892706</v>
      </c>
      <c r="T28" s="83">
        <f t="shared" si="8"/>
        <v>1</v>
      </c>
      <c r="U28" s="82">
        <f>SUM(U19:U27)</f>
        <v>225274.9491853056</v>
      </c>
      <c r="V28" s="83">
        <f t="shared" si="9"/>
        <v>1</v>
      </c>
    </row>
    <row r="29" spans="1:22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2" ht="12.75" customHeight="1">
      <c r="A30" s="1" t="s">
        <v>366</v>
      </c>
      <c r="B30" s="53"/>
      <c r="C30" s="80">
        <v>0.34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2" ht="12.75" customHeight="1">
      <c r="A31" s="2" t="s">
        <v>367</v>
      </c>
      <c r="B31" s="35"/>
      <c r="C31" s="179">
        <f>+C28*C30</f>
        <v>64090.000000000007</v>
      </c>
      <c r="D31" s="80">
        <f>IFERROR(C31/C$28,0)</f>
        <v>0.34</v>
      </c>
      <c r="E31" s="220">
        <f>+D31*E28</f>
        <v>65371.8</v>
      </c>
      <c r="F31" s="80">
        <f>IFERROR(E31/E$28,0)</f>
        <v>0.34</v>
      </c>
      <c r="G31" s="220">
        <f>+F31*G28</f>
        <v>66679.236000000004</v>
      </c>
      <c r="H31" s="80">
        <f>IFERROR(G31/G$28,0)</f>
        <v>0.34</v>
      </c>
      <c r="I31" s="220">
        <f>+H31*I28</f>
        <v>68012.820720000003</v>
      </c>
      <c r="J31" s="80">
        <f>IFERROR(I31/I$28,0)</f>
        <v>0.34</v>
      </c>
      <c r="K31" s="220">
        <f>+J31*K28</f>
        <v>69373.07713440001</v>
      </c>
      <c r="L31" s="80">
        <f>IFERROR(K31/K$28,0)</f>
        <v>0.34000000000000008</v>
      </c>
      <c r="M31" s="220">
        <f>+L31*M28</f>
        <v>70760.538677088014</v>
      </c>
      <c r="N31" s="80">
        <f>IFERROR(M31/M$28,0)</f>
        <v>0.34000000000000008</v>
      </c>
      <c r="O31" s="220">
        <f>+N31*O28</f>
        <v>72175.749450629766</v>
      </c>
      <c r="P31" s="80">
        <f>IFERROR(O31/O$28,0)</f>
        <v>0.34000000000000008</v>
      </c>
      <c r="Q31" s="220">
        <f>+P31*Q28</f>
        <v>73619.264439642371</v>
      </c>
      <c r="R31" s="80">
        <f>IFERROR(Q31/Q$28,0)</f>
        <v>0.34000000000000014</v>
      </c>
      <c r="S31" s="220">
        <f>+R31*S28</f>
        <v>75091.649728435223</v>
      </c>
      <c r="T31" s="80">
        <f>IFERROR(S31/S$28,0)</f>
        <v>0.34000000000000014</v>
      </c>
      <c r="U31" s="220">
        <f>+T31*U28</f>
        <v>76593.482723003937</v>
      </c>
      <c r="V31" s="80">
        <f>IFERROR(U31/U$28,0)</f>
        <v>0.34000000000000014</v>
      </c>
    </row>
    <row r="32" spans="1:22" ht="12.75" customHeight="1">
      <c r="A32" s="8" t="s">
        <v>368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64090.000000000007</v>
      </c>
      <c r="D33" s="83">
        <f>IFERROR(C33/C$28,0)</f>
        <v>0.34</v>
      </c>
      <c r="E33" s="82">
        <f>SUM(E31:E32)</f>
        <v>65371.8</v>
      </c>
      <c r="F33" s="83">
        <f>IFERROR(E33/E$28,0)</f>
        <v>0.34</v>
      </c>
      <c r="G33" s="82">
        <f>SUM(G31:G32)</f>
        <v>66679.236000000004</v>
      </c>
      <c r="H33" s="83">
        <f>IFERROR(G33/G$28,0)</f>
        <v>0.34</v>
      </c>
      <c r="I33" s="82">
        <f>SUM(I31:I32)</f>
        <v>68012.820720000003</v>
      </c>
      <c r="J33" s="83">
        <f>IFERROR(I33/I$28,0)</f>
        <v>0.34</v>
      </c>
      <c r="K33" s="82">
        <f>SUM(K31:K32)</f>
        <v>69373.07713440001</v>
      </c>
      <c r="L33" s="83">
        <f>IFERROR(K33/K$28,0)</f>
        <v>0.34000000000000008</v>
      </c>
      <c r="M33" s="82">
        <f>SUM(M31:M32)</f>
        <v>70760.538677088014</v>
      </c>
      <c r="N33" s="83">
        <f>IFERROR(M33/M$28,0)</f>
        <v>0.34000000000000008</v>
      </c>
      <c r="O33" s="82">
        <f>SUM(O31:O32)</f>
        <v>72175.749450629766</v>
      </c>
      <c r="P33" s="83">
        <f>IFERROR(O33/O$28,0)</f>
        <v>0.34000000000000008</v>
      </c>
      <c r="Q33" s="82">
        <f>SUM(Q31:Q32)</f>
        <v>73619.264439642371</v>
      </c>
      <c r="R33" s="83">
        <f>IFERROR(Q33/Q$28,0)</f>
        <v>0.34000000000000014</v>
      </c>
      <c r="S33" s="82">
        <f>SUM(S31:S32)</f>
        <v>75091.649728435223</v>
      </c>
      <c r="T33" s="83">
        <f>IFERROR(S33/S$28,0)</f>
        <v>0.34000000000000014</v>
      </c>
      <c r="U33" s="82">
        <f>SUM(U31:U32)</f>
        <v>76593.482723003937</v>
      </c>
      <c r="V33" s="83">
        <f>IFERROR(U33/U$28,0)</f>
        <v>0.34000000000000014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/>
      <c r="D36" s="80">
        <f t="shared" ref="D36:D46" si="10">IFERROR(C36/C$28,0)</f>
        <v>0</v>
      </c>
      <c r="E36" s="179"/>
      <c r="F36" s="80">
        <f t="shared" ref="F36:F46" si="11">IFERROR(E36/E$28,0)</f>
        <v>0</v>
      </c>
      <c r="G36" s="179"/>
      <c r="H36" s="80">
        <f t="shared" ref="H36:H46" si="12">IFERROR(G36/G$28,0)</f>
        <v>0</v>
      </c>
      <c r="I36" s="179"/>
      <c r="J36" s="80">
        <f t="shared" ref="J36:J46" si="13">IFERROR(I36/I$28,0)</f>
        <v>0</v>
      </c>
      <c r="K36" s="179"/>
      <c r="L36" s="80">
        <f t="shared" ref="L36:L46" si="14">IFERROR(K36/K$28,0)</f>
        <v>0</v>
      </c>
      <c r="M36" s="179"/>
      <c r="N36" s="80">
        <f t="shared" ref="N36:N46" si="15">IFERROR(M36/M$28,0)</f>
        <v>0</v>
      </c>
      <c r="O36" s="179"/>
      <c r="P36" s="80">
        <f t="shared" ref="P36:P46" si="16">IFERROR(O36/O$28,0)</f>
        <v>0</v>
      </c>
      <c r="Q36" s="179"/>
      <c r="R36" s="80">
        <f t="shared" ref="R36:R46" si="17">IFERROR(Q36/Q$28,0)</f>
        <v>0</v>
      </c>
      <c r="S36" s="179"/>
      <c r="T36" s="80">
        <f t="shared" ref="T36:T46" si="18">IFERROR(S36/S$28,0)</f>
        <v>0</v>
      </c>
      <c r="U36" s="179"/>
      <c r="V36" s="80">
        <f t="shared" ref="V36:V46" si="19">IFERROR(U36/U$28,0)</f>
        <v>0</v>
      </c>
    </row>
    <row r="37" spans="1:22" ht="12.75" customHeight="1">
      <c r="A37" s="2" t="s">
        <v>372</v>
      </c>
      <c r="B37" s="35"/>
      <c r="C37" s="179">
        <v>50704</v>
      </c>
      <c r="D37" s="80">
        <f t="shared" si="10"/>
        <v>0.26898673740053053</v>
      </c>
      <c r="E37" s="179">
        <v>50704</v>
      </c>
      <c r="F37" s="80">
        <f t="shared" si="11"/>
        <v>0.26371248764757893</v>
      </c>
      <c r="G37" s="179">
        <v>50704</v>
      </c>
      <c r="H37" s="80">
        <f t="shared" si="12"/>
        <v>0.25854165455644995</v>
      </c>
      <c r="I37" s="179">
        <v>50704</v>
      </c>
      <c r="J37" s="80">
        <f t="shared" si="13"/>
        <v>0.25347221034946071</v>
      </c>
      <c r="K37" s="179">
        <v>50704</v>
      </c>
      <c r="L37" s="80">
        <f t="shared" si="14"/>
        <v>0.24850216700927522</v>
      </c>
      <c r="M37" s="179">
        <v>50704</v>
      </c>
      <c r="N37" s="80">
        <f t="shared" si="15"/>
        <v>0.24362957549928943</v>
      </c>
      <c r="O37" s="179">
        <v>50704</v>
      </c>
      <c r="P37" s="80">
        <f t="shared" si="16"/>
        <v>0.23885252499930337</v>
      </c>
      <c r="Q37" s="179">
        <v>50704</v>
      </c>
      <c r="R37" s="80">
        <f t="shared" si="17"/>
        <v>0.23416914215617979</v>
      </c>
      <c r="S37" s="179">
        <v>50704</v>
      </c>
      <c r="T37" s="80">
        <f t="shared" si="18"/>
        <v>0.22957759034919586</v>
      </c>
      <c r="U37" s="179">
        <v>50704</v>
      </c>
      <c r="V37" s="80">
        <f t="shared" si="19"/>
        <v>0.22507606896979987</v>
      </c>
    </row>
    <row r="38" spans="1:22" ht="12.75" customHeight="1">
      <c r="A38" s="2" t="s">
        <v>373</v>
      </c>
      <c r="B38" s="35"/>
      <c r="C38" s="179"/>
      <c r="D38" s="80">
        <f t="shared" si="10"/>
        <v>0</v>
      </c>
      <c r="E38" s="179"/>
      <c r="F38" s="80">
        <f t="shared" si="11"/>
        <v>0</v>
      </c>
      <c r="G38" s="179"/>
      <c r="H38" s="80">
        <f t="shared" si="12"/>
        <v>0</v>
      </c>
      <c r="I38" s="179"/>
      <c r="J38" s="80">
        <f t="shared" si="13"/>
        <v>0</v>
      </c>
      <c r="K38" s="179"/>
      <c r="L38" s="80">
        <f t="shared" si="14"/>
        <v>0</v>
      </c>
      <c r="M38" s="179"/>
      <c r="N38" s="80">
        <f t="shared" si="15"/>
        <v>0</v>
      </c>
      <c r="O38" s="179"/>
      <c r="P38" s="80">
        <f t="shared" si="16"/>
        <v>0</v>
      </c>
      <c r="Q38" s="179"/>
      <c r="R38" s="80">
        <f t="shared" si="17"/>
        <v>0</v>
      </c>
      <c r="S38" s="179"/>
      <c r="T38" s="80">
        <f t="shared" si="18"/>
        <v>0</v>
      </c>
      <c r="U38" s="179"/>
      <c r="V38" s="80">
        <f t="shared" si="19"/>
        <v>0</v>
      </c>
    </row>
    <row r="39" spans="1:22" ht="12.75" customHeight="1">
      <c r="A39" s="2" t="s">
        <v>374</v>
      </c>
      <c r="B39" s="35"/>
      <c r="C39" s="179"/>
      <c r="D39" s="80">
        <f t="shared" si="10"/>
        <v>0</v>
      </c>
      <c r="E39" s="179"/>
      <c r="F39" s="80">
        <f t="shared" si="11"/>
        <v>0</v>
      </c>
      <c r="G39" s="179"/>
      <c r="H39" s="80">
        <f t="shared" si="12"/>
        <v>0</v>
      </c>
      <c r="I39" s="179"/>
      <c r="J39" s="80">
        <f t="shared" si="13"/>
        <v>0</v>
      </c>
      <c r="K39" s="179"/>
      <c r="L39" s="80">
        <f t="shared" si="14"/>
        <v>0</v>
      </c>
      <c r="M39" s="179"/>
      <c r="N39" s="80">
        <f t="shared" si="15"/>
        <v>0</v>
      </c>
      <c r="O39" s="179"/>
      <c r="P39" s="80">
        <f t="shared" si="16"/>
        <v>0</v>
      </c>
      <c r="Q39" s="179"/>
      <c r="R39" s="80">
        <f t="shared" si="17"/>
        <v>0</v>
      </c>
      <c r="S39" s="179"/>
      <c r="T39" s="80">
        <f t="shared" si="18"/>
        <v>0</v>
      </c>
      <c r="U39" s="179"/>
      <c r="V39" s="80">
        <f t="shared" si="19"/>
        <v>0</v>
      </c>
    </row>
    <row r="40" spans="1:22" ht="12.75" customHeight="1">
      <c r="A40" s="2" t="s">
        <v>375</v>
      </c>
      <c r="B40" s="35"/>
      <c r="C40" s="179">
        <f>+C36*0.124</f>
        <v>0</v>
      </c>
      <c r="D40" s="80">
        <f t="shared" si="10"/>
        <v>0</v>
      </c>
      <c r="E40" s="179">
        <f>+E36*0.124</f>
        <v>0</v>
      </c>
      <c r="F40" s="80">
        <f t="shared" si="11"/>
        <v>0</v>
      </c>
      <c r="G40" s="179">
        <f>+G36*0.124</f>
        <v>0</v>
      </c>
      <c r="H40" s="80">
        <f t="shared" si="12"/>
        <v>0</v>
      </c>
      <c r="I40" s="179">
        <f>+I36*0.124</f>
        <v>0</v>
      </c>
      <c r="J40" s="80">
        <f t="shared" si="13"/>
        <v>0</v>
      </c>
      <c r="K40" s="179">
        <f>+K36*0.124</f>
        <v>0</v>
      </c>
      <c r="L40" s="80">
        <f t="shared" si="14"/>
        <v>0</v>
      </c>
      <c r="M40" s="179">
        <f>+M36*0.124</f>
        <v>0</v>
      </c>
      <c r="N40" s="80">
        <f t="shared" si="15"/>
        <v>0</v>
      </c>
      <c r="O40" s="179">
        <f>+O36*0.124</f>
        <v>0</v>
      </c>
      <c r="P40" s="80">
        <f t="shared" si="16"/>
        <v>0</v>
      </c>
      <c r="Q40" s="179">
        <f>+Q36*0.124</f>
        <v>0</v>
      </c>
      <c r="R40" s="80">
        <f t="shared" si="17"/>
        <v>0</v>
      </c>
      <c r="S40" s="179">
        <f>+S36*0.124</f>
        <v>0</v>
      </c>
      <c r="T40" s="80">
        <f t="shared" si="18"/>
        <v>0</v>
      </c>
      <c r="U40" s="179">
        <f>+U36*0.124</f>
        <v>0</v>
      </c>
      <c r="V40" s="80">
        <f t="shared" si="19"/>
        <v>0</v>
      </c>
    </row>
    <row r="41" spans="1:22" ht="12.75" customHeight="1">
      <c r="A41" s="2" t="s">
        <v>376</v>
      </c>
      <c r="B41" s="35"/>
      <c r="C41" s="179">
        <f>+C37*0.124</f>
        <v>6287.2960000000003</v>
      </c>
      <c r="D41" s="80">
        <f t="shared" si="10"/>
        <v>3.3354355437665781E-2</v>
      </c>
      <c r="E41" s="179">
        <f>+E37*0.124</f>
        <v>6287.2960000000003</v>
      </c>
      <c r="F41" s="80">
        <f t="shared" si="11"/>
        <v>3.2700348468299785E-2</v>
      </c>
      <c r="G41" s="179">
        <f>+G37*0.124</f>
        <v>6287.2960000000003</v>
      </c>
      <c r="H41" s="80">
        <f t="shared" si="12"/>
        <v>3.2059165164999792E-2</v>
      </c>
      <c r="I41" s="179">
        <f>+I37*0.124</f>
        <v>6287.2960000000003</v>
      </c>
      <c r="J41" s="80">
        <f t="shared" si="13"/>
        <v>3.1430554083333131E-2</v>
      </c>
      <c r="K41" s="179">
        <f>+K37*0.124</f>
        <v>6287.2960000000003</v>
      </c>
      <c r="L41" s="80">
        <f t="shared" si="14"/>
        <v>3.0814268709150126E-2</v>
      </c>
      <c r="M41" s="179">
        <f>+M37*0.124</f>
        <v>6287.2960000000003</v>
      </c>
      <c r="N41" s="80">
        <f t="shared" si="15"/>
        <v>3.0210067361911893E-2</v>
      </c>
      <c r="O41" s="179">
        <f>+O37*0.124</f>
        <v>6287.2960000000003</v>
      </c>
      <c r="P41" s="80">
        <f t="shared" si="16"/>
        <v>2.9617713099913619E-2</v>
      </c>
      <c r="Q41" s="179">
        <f>+Q37*0.124</f>
        <v>6287.2960000000003</v>
      </c>
      <c r="R41" s="80">
        <f t="shared" si="17"/>
        <v>2.9036973627366295E-2</v>
      </c>
      <c r="S41" s="179">
        <f>+S37*0.124</f>
        <v>6287.2960000000003</v>
      </c>
      <c r="T41" s="80">
        <f t="shared" si="18"/>
        <v>2.8467621203300288E-2</v>
      </c>
      <c r="U41" s="179">
        <f>+U37*0.124</f>
        <v>6287.2960000000003</v>
      </c>
      <c r="V41" s="80">
        <f t="shared" si="19"/>
        <v>2.7909432552255184E-2</v>
      </c>
    </row>
    <row r="42" spans="1:22" ht="12.75" customHeight="1">
      <c r="A42" s="2" t="s">
        <v>377</v>
      </c>
      <c r="B42" s="35"/>
      <c r="C42" s="179"/>
      <c r="D42" s="80">
        <f t="shared" si="10"/>
        <v>0</v>
      </c>
      <c r="E42" s="179"/>
      <c r="F42" s="80">
        <f t="shared" si="11"/>
        <v>0</v>
      </c>
      <c r="G42" s="179"/>
      <c r="H42" s="80">
        <f t="shared" si="12"/>
        <v>0</v>
      </c>
      <c r="I42" s="179"/>
      <c r="J42" s="80">
        <f t="shared" si="13"/>
        <v>0</v>
      </c>
      <c r="K42" s="179"/>
      <c r="L42" s="80">
        <f t="shared" si="14"/>
        <v>0</v>
      </c>
      <c r="M42" s="179"/>
      <c r="N42" s="80">
        <f t="shared" si="15"/>
        <v>0</v>
      </c>
      <c r="O42" s="179"/>
      <c r="P42" s="80">
        <f t="shared" si="16"/>
        <v>0</v>
      </c>
      <c r="Q42" s="179"/>
      <c r="R42" s="80">
        <f t="shared" si="17"/>
        <v>0</v>
      </c>
      <c r="S42" s="179"/>
      <c r="T42" s="80">
        <f t="shared" si="18"/>
        <v>0</v>
      </c>
      <c r="U42" s="179"/>
      <c r="V42" s="80">
        <f t="shared" si="19"/>
        <v>0</v>
      </c>
    </row>
    <row r="43" spans="1:22" ht="12.75" customHeight="1">
      <c r="A43" s="2" t="s">
        <v>378</v>
      </c>
      <c r="B43" s="35"/>
      <c r="C43" s="179"/>
      <c r="D43" s="80">
        <f t="shared" si="10"/>
        <v>0</v>
      </c>
      <c r="E43" s="179"/>
      <c r="F43" s="80">
        <f t="shared" si="11"/>
        <v>0</v>
      </c>
      <c r="G43" s="179"/>
      <c r="H43" s="80">
        <f t="shared" si="12"/>
        <v>0</v>
      </c>
      <c r="I43" s="179"/>
      <c r="J43" s="80">
        <f t="shared" si="13"/>
        <v>0</v>
      </c>
      <c r="K43" s="179"/>
      <c r="L43" s="80">
        <f t="shared" si="14"/>
        <v>0</v>
      </c>
      <c r="M43" s="179"/>
      <c r="N43" s="80">
        <f t="shared" si="15"/>
        <v>0</v>
      </c>
      <c r="O43" s="179"/>
      <c r="P43" s="80">
        <f t="shared" si="16"/>
        <v>0</v>
      </c>
      <c r="Q43" s="179"/>
      <c r="R43" s="80">
        <f t="shared" si="17"/>
        <v>0</v>
      </c>
      <c r="S43" s="179"/>
      <c r="T43" s="80">
        <f t="shared" si="18"/>
        <v>0</v>
      </c>
      <c r="U43" s="179"/>
      <c r="V43" s="80">
        <f t="shared" si="19"/>
        <v>0</v>
      </c>
    </row>
    <row r="44" spans="1:22" ht="12.75" customHeight="1">
      <c r="A44" s="2" t="s">
        <v>379</v>
      </c>
      <c r="B44" s="35"/>
      <c r="C44" s="179"/>
      <c r="D44" s="80">
        <f t="shared" si="10"/>
        <v>0</v>
      </c>
      <c r="E44" s="179"/>
      <c r="F44" s="80">
        <f t="shared" si="11"/>
        <v>0</v>
      </c>
      <c r="G44" s="179"/>
      <c r="H44" s="80">
        <f t="shared" si="12"/>
        <v>0</v>
      </c>
      <c r="I44" s="179"/>
      <c r="J44" s="80">
        <f t="shared" si="13"/>
        <v>0</v>
      </c>
      <c r="K44" s="179"/>
      <c r="L44" s="80">
        <f t="shared" si="14"/>
        <v>0</v>
      </c>
      <c r="M44" s="179"/>
      <c r="N44" s="80">
        <f t="shared" si="15"/>
        <v>0</v>
      </c>
      <c r="O44" s="179"/>
      <c r="P44" s="80">
        <f t="shared" si="16"/>
        <v>0</v>
      </c>
      <c r="Q44" s="179"/>
      <c r="R44" s="80">
        <f t="shared" si="17"/>
        <v>0</v>
      </c>
      <c r="S44" s="179"/>
      <c r="T44" s="80">
        <f t="shared" si="18"/>
        <v>0</v>
      </c>
      <c r="U44" s="179"/>
      <c r="V44" s="80">
        <f t="shared" si="19"/>
        <v>0</v>
      </c>
    </row>
    <row r="45" spans="1:22" ht="12.75" customHeight="1">
      <c r="A45" s="2" t="s">
        <v>380</v>
      </c>
      <c r="B45" s="35"/>
      <c r="C45" s="182">
        <f>+SUM(C36+C37+C39)*0.094</f>
        <v>4766.1760000000004</v>
      </c>
      <c r="D45" s="80">
        <f t="shared" si="10"/>
        <v>2.5284753315649871E-2</v>
      </c>
      <c r="E45" s="182">
        <f>+SUM(E36+E37+E39)*0.094</f>
        <v>4766.1760000000004</v>
      </c>
      <c r="F45" s="80">
        <f t="shared" si="11"/>
        <v>2.4788973838872422E-2</v>
      </c>
      <c r="G45" s="182">
        <f>+SUM(G36+G37+G39)*0.094</f>
        <v>4766.1760000000004</v>
      </c>
      <c r="H45" s="80">
        <f t="shared" si="12"/>
        <v>2.4302915528306296E-2</v>
      </c>
      <c r="I45" s="182">
        <f>+SUM(I36+I37+I39)*0.094</f>
        <v>4766.1760000000004</v>
      </c>
      <c r="J45" s="80">
        <f t="shared" si="13"/>
        <v>2.382638777284931E-2</v>
      </c>
      <c r="K45" s="182">
        <f>+SUM(K36+K37+K39)*0.094</f>
        <v>4766.1760000000004</v>
      </c>
      <c r="L45" s="80">
        <f t="shared" si="14"/>
        <v>2.3359203698871872E-2</v>
      </c>
      <c r="M45" s="182">
        <f>+SUM(M36+M37+M39)*0.094</f>
        <v>4766.1760000000004</v>
      </c>
      <c r="N45" s="80">
        <f t="shared" si="15"/>
        <v>2.2901180096933208E-2</v>
      </c>
      <c r="O45" s="182">
        <f>+SUM(O36+O37+O39)*0.094</f>
        <v>4766.1760000000004</v>
      </c>
      <c r="P45" s="80">
        <f t="shared" si="16"/>
        <v>2.2452137349934519E-2</v>
      </c>
      <c r="Q45" s="182">
        <f>+SUM(Q36+Q37+Q39)*0.094</f>
        <v>4766.1760000000004</v>
      </c>
      <c r="R45" s="80">
        <f t="shared" si="17"/>
        <v>2.2011899362680901E-2</v>
      </c>
      <c r="S45" s="182">
        <f>+SUM(S36+S37+S39)*0.094</f>
        <v>4766.1760000000004</v>
      </c>
      <c r="T45" s="80">
        <f t="shared" si="18"/>
        <v>2.158029349282441E-2</v>
      </c>
      <c r="U45" s="182">
        <f>+SUM(U36+U37+U39)*0.094</f>
        <v>4766.1760000000004</v>
      </c>
      <c r="V45" s="80">
        <f t="shared" si="19"/>
        <v>2.1157150483161188E-2</v>
      </c>
    </row>
    <row r="46" spans="1:22" ht="12.75" customHeight="1">
      <c r="A46" s="1" t="s">
        <v>381</v>
      </c>
      <c r="B46" s="53"/>
      <c r="C46" s="82">
        <f>SUM(C36:C45)</f>
        <v>61757.472000000002</v>
      </c>
      <c r="D46" s="83">
        <f t="shared" si="10"/>
        <v>0.32762584615384616</v>
      </c>
      <c r="E46" s="82">
        <f>SUM(E36:E45)</f>
        <v>61757.472000000002</v>
      </c>
      <c r="F46" s="83">
        <f t="shared" si="11"/>
        <v>0.32120180995475112</v>
      </c>
      <c r="G46" s="82">
        <f>SUM(G36:G45)</f>
        <v>61757.472000000002</v>
      </c>
      <c r="H46" s="83">
        <f t="shared" si="12"/>
        <v>0.31490373524975601</v>
      </c>
      <c r="I46" s="82">
        <f>SUM(I36:I45)</f>
        <v>61757.472000000002</v>
      </c>
      <c r="J46" s="83">
        <f t="shared" si="13"/>
        <v>0.30872915220564318</v>
      </c>
      <c r="K46" s="82">
        <f>SUM(K36:K45)</f>
        <v>61757.472000000002</v>
      </c>
      <c r="L46" s="83">
        <f t="shared" si="14"/>
        <v>0.30267563941729719</v>
      </c>
      <c r="M46" s="82">
        <f>SUM(M36:M45)</f>
        <v>61757.472000000002</v>
      </c>
      <c r="N46" s="83">
        <f t="shared" si="15"/>
        <v>0.29674082295813453</v>
      </c>
      <c r="O46" s="82">
        <f>SUM(O36:O45)</f>
        <v>61757.472000000002</v>
      </c>
      <c r="P46" s="83">
        <f t="shared" si="16"/>
        <v>0.2909223754491515</v>
      </c>
      <c r="Q46" s="82">
        <f>SUM(Q36:Q45)</f>
        <v>61757.472000000002</v>
      </c>
      <c r="R46" s="83">
        <f t="shared" si="17"/>
        <v>0.28521801514622697</v>
      </c>
      <c r="S46" s="82">
        <f>SUM(S36:S45)</f>
        <v>61757.472000000002</v>
      </c>
      <c r="T46" s="83">
        <f t="shared" si="18"/>
        <v>0.27962550504532058</v>
      </c>
      <c r="U46" s="82">
        <f>SUM(U36:U45)</f>
        <v>61757.472000000002</v>
      </c>
      <c r="V46" s="83">
        <f t="shared" si="19"/>
        <v>0.27414265200521626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179">
        <v>0</v>
      </c>
      <c r="D52" s="80">
        <f t="shared" ref="D52:D104" si="20">IFERROR(C52/C$28,0)</f>
        <v>0</v>
      </c>
      <c r="E52" s="179">
        <v>0</v>
      </c>
      <c r="F52" s="80">
        <f t="shared" ref="F52:F104" si="21">IFERROR(E52/E$28,0)</f>
        <v>0</v>
      </c>
      <c r="G52" s="179">
        <v>0</v>
      </c>
      <c r="H52" s="80">
        <f t="shared" ref="H52:H104" si="22">IFERROR(G52/G$28,0)</f>
        <v>0</v>
      </c>
      <c r="I52" s="179">
        <v>0</v>
      </c>
      <c r="J52" s="80">
        <f t="shared" ref="J52:J104" si="23">IFERROR(I52/I$28,0)</f>
        <v>0</v>
      </c>
      <c r="K52" s="179">
        <v>0</v>
      </c>
      <c r="L52" s="80">
        <f t="shared" ref="L52:L104" si="24">IFERROR(K52/K$28,0)</f>
        <v>0</v>
      </c>
      <c r="M52" s="179">
        <v>0</v>
      </c>
      <c r="N52" s="80">
        <f t="shared" ref="N52:N104" si="25">IFERROR(M52/M$28,0)</f>
        <v>0</v>
      </c>
      <c r="O52" s="179">
        <v>0</v>
      </c>
      <c r="P52" s="80">
        <f t="shared" ref="P52:P104" si="26">IFERROR(O52/O$28,0)</f>
        <v>0</v>
      </c>
      <c r="Q52" s="179">
        <v>0</v>
      </c>
      <c r="R52" s="80">
        <f t="shared" ref="R52:R104" si="27">IFERROR(Q52/Q$28,0)</f>
        <v>0</v>
      </c>
      <c r="S52" s="179">
        <v>0</v>
      </c>
      <c r="T52" s="80">
        <f t="shared" ref="T52:T104" si="28">IFERROR(S52/S$28,0)</f>
        <v>0</v>
      </c>
      <c r="U52" s="179">
        <v>0</v>
      </c>
      <c r="V52" s="80">
        <f t="shared" ref="V52" si="29">IFERROR(U52/U$28,0)</f>
        <v>0</v>
      </c>
      <c r="X52" s="202"/>
    </row>
    <row r="53" spans="1:24" ht="12.75" customHeight="1">
      <c r="A53" s="2" t="s">
        <v>384</v>
      </c>
      <c r="B53" s="35"/>
      <c r="C53" s="179">
        <v>0</v>
      </c>
      <c r="D53" s="80">
        <f t="shared" si="20"/>
        <v>0</v>
      </c>
      <c r="E53" s="179">
        <v>0</v>
      </c>
      <c r="F53" s="80">
        <f t="shared" si="21"/>
        <v>0</v>
      </c>
      <c r="G53" s="179">
        <v>0</v>
      </c>
      <c r="H53" s="80">
        <f t="shared" si="22"/>
        <v>0</v>
      </c>
      <c r="I53" s="179">
        <v>0</v>
      </c>
      <c r="J53" s="80">
        <f t="shared" si="23"/>
        <v>0</v>
      </c>
      <c r="K53" s="179">
        <v>0</v>
      </c>
      <c r="L53" s="80">
        <f t="shared" si="24"/>
        <v>0</v>
      </c>
      <c r="M53" s="179">
        <v>0</v>
      </c>
      <c r="N53" s="80">
        <f t="shared" si="25"/>
        <v>0</v>
      </c>
      <c r="O53" s="179">
        <v>0</v>
      </c>
      <c r="P53" s="80">
        <f t="shared" si="26"/>
        <v>0</v>
      </c>
      <c r="Q53" s="179">
        <v>0</v>
      </c>
      <c r="R53" s="80">
        <f t="shared" si="27"/>
        <v>0</v>
      </c>
      <c r="S53" s="179">
        <v>0</v>
      </c>
      <c r="T53" s="80">
        <f t="shared" si="28"/>
        <v>0</v>
      </c>
      <c r="U53" s="179">
        <v>0</v>
      </c>
      <c r="V53" s="80">
        <f t="shared" ref="V53:V105" si="30">IFERROR(U53/U$28,0)</f>
        <v>0</v>
      </c>
      <c r="X53" s="202"/>
    </row>
    <row r="54" spans="1:24" ht="12.75" customHeight="1">
      <c r="A54" s="2" t="s">
        <v>385</v>
      </c>
      <c r="B54" s="35"/>
      <c r="C54" s="179">
        <v>131.94999999999999</v>
      </c>
      <c r="D54" s="80">
        <f t="shared" si="20"/>
        <v>6.9999999999999999E-4</v>
      </c>
      <c r="E54" s="179">
        <v>134.589</v>
      </c>
      <c r="F54" s="80">
        <f t="shared" si="21"/>
        <v>6.9999999999999999E-4</v>
      </c>
      <c r="G54" s="179">
        <v>137.28078000000002</v>
      </c>
      <c r="H54" s="80">
        <f t="shared" si="22"/>
        <v>7.000000000000001E-4</v>
      </c>
      <c r="I54" s="179">
        <v>140.02639559999997</v>
      </c>
      <c r="J54" s="80">
        <f t="shared" si="23"/>
        <v>6.9999999999999988E-4</v>
      </c>
      <c r="K54" s="179">
        <v>142.82692351199998</v>
      </c>
      <c r="L54" s="80">
        <f t="shared" si="24"/>
        <v>6.9999999999999988E-4</v>
      </c>
      <c r="M54" s="179">
        <v>145.68346198224</v>
      </c>
      <c r="N54" s="80">
        <f t="shared" si="25"/>
        <v>7.000000000000001E-4</v>
      </c>
      <c r="O54" s="179">
        <v>148.59713122188478</v>
      </c>
      <c r="P54" s="80">
        <f t="shared" si="26"/>
        <v>6.9999999999999999E-4</v>
      </c>
      <c r="Q54" s="179">
        <v>151.56907384632245</v>
      </c>
      <c r="R54" s="80">
        <f t="shared" si="27"/>
        <v>6.9999999999999988E-4</v>
      </c>
      <c r="S54" s="179">
        <v>154.60045532324892</v>
      </c>
      <c r="T54" s="80">
        <f t="shared" si="28"/>
        <v>6.9999999999999988E-4</v>
      </c>
      <c r="U54" s="179">
        <v>157.69246442971394</v>
      </c>
      <c r="V54" s="80">
        <f t="shared" si="30"/>
        <v>7.000000000000001E-4</v>
      </c>
      <c r="X54" s="202"/>
    </row>
    <row r="55" spans="1:24" ht="12.75" customHeight="1">
      <c r="A55" s="2" t="s">
        <v>386</v>
      </c>
      <c r="B55" s="35"/>
      <c r="C55" s="179"/>
      <c r="D55" s="80">
        <f t="shared" si="20"/>
        <v>0</v>
      </c>
      <c r="E55" s="179"/>
      <c r="F55" s="80">
        <f t="shared" si="21"/>
        <v>0</v>
      </c>
      <c r="G55" s="179"/>
      <c r="H55" s="80">
        <f t="shared" si="22"/>
        <v>0</v>
      </c>
      <c r="I55" s="179"/>
      <c r="J55" s="80">
        <f t="shared" si="23"/>
        <v>0</v>
      </c>
      <c r="K55" s="179"/>
      <c r="L55" s="80">
        <f t="shared" si="24"/>
        <v>0</v>
      </c>
      <c r="M55" s="179"/>
      <c r="N55" s="80">
        <f t="shared" si="25"/>
        <v>0</v>
      </c>
      <c r="O55" s="179"/>
      <c r="P55" s="80">
        <f t="shared" si="26"/>
        <v>0</v>
      </c>
      <c r="Q55" s="179"/>
      <c r="R55" s="80">
        <f t="shared" si="27"/>
        <v>0</v>
      </c>
      <c r="S55" s="179"/>
      <c r="T55" s="80">
        <f t="shared" si="28"/>
        <v>0</v>
      </c>
      <c r="U55" s="179"/>
      <c r="V55" s="80">
        <f t="shared" si="30"/>
        <v>0</v>
      </c>
      <c r="X55" s="202"/>
    </row>
    <row r="56" spans="1:24" ht="12.75" customHeight="1">
      <c r="A56" s="2" t="s">
        <v>387</v>
      </c>
      <c r="B56" s="35"/>
      <c r="C56" s="179">
        <v>96.135000000000019</v>
      </c>
      <c r="D56" s="80">
        <f t="shared" si="20"/>
        <v>5.1000000000000015E-4</v>
      </c>
      <c r="E56" s="179">
        <v>98.057700000000011</v>
      </c>
      <c r="F56" s="80">
        <f t="shared" si="21"/>
        <v>5.1000000000000004E-4</v>
      </c>
      <c r="G56" s="179">
        <v>100.018854</v>
      </c>
      <c r="H56" s="80">
        <f t="shared" si="22"/>
        <v>5.1000000000000004E-4</v>
      </c>
      <c r="I56" s="179">
        <v>102.01923108</v>
      </c>
      <c r="J56" s="80">
        <f t="shared" si="23"/>
        <v>5.1000000000000004E-4</v>
      </c>
      <c r="K56" s="179">
        <v>104.05961570159999</v>
      </c>
      <c r="L56" s="80">
        <f t="shared" si="24"/>
        <v>5.1000000000000004E-4</v>
      </c>
      <c r="M56" s="179">
        <v>106.140808015632</v>
      </c>
      <c r="N56" s="80">
        <f t="shared" si="25"/>
        <v>5.1000000000000004E-4</v>
      </c>
      <c r="O56" s="179">
        <v>108.26362417594464</v>
      </c>
      <c r="P56" s="80">
        <f t="shared" si="26"/>
        <v>5.1000000000000004E-4</v>
      </c>
      <c r="Q56" s="179">
        <v>110.42889665946353</v>
      </c>
      <c r="R56" s="80">
        <f t="shared" si="27"/>
        <v>5.1000000000000004E-4</v>
      </c>
      <c r="S56" s="179">
        <v>112.63747459265281</v>
      </c>
      <c r="T56" s="80">
        <f t="shared" si="28"/>
        <v>5.1000000000000004E-4</v>
      </c>
      <c r="U56" s="179">
        <v>114.89022408450586</v>
      </c>
      <c r="V56" s="80">
        <f t="shared" si="30"/>
        <v>5.1000000000000004E-4</v>
      </c>
      <c r="X56" s="202"/>
    </row>
    <row r="57" spans="1:24" ht="12.75" customHeight="1">
      <c r="A57" s="2" t="s">
        <v>388</v>
      </c>
      <c r="B57" s="35"/>
      <c r="C57" s="179">
        <v>0</v>
      </c>
      <c r="D57" s="80">
        <f t="shared" si="20"/>
        <v>0</v>
      </c>
      <c r="E57" s="179">
        <v>0</v>
      </c>
      <c r="F57" s="80">
        <f t="shared" si="21"/>
        <v>0</v>
      </c>
      <c r="G57" s="179">
        <v>0</v>
      </c>
      <c r="H57" s="80">
        <f t="shared" si="22"/>
        <v>0</v>
      </c>
      <c r="I57" s="179">
        <v>0</v>
      </c>
      <c r="J57" s="80">
        <f t="shared" si="23"/>
        <v>0</v>
      </c>
      <c r="K57" s="179">
        <v>0</v>
      </c>
      <c r="L57" s="80">
        <f t="shared" si="24"/>
        <v>0</v>
      </c>
      <c r="M57" s="179">
        <v>0</v>
      </c>
      <c r="N57" s="80">
        <f t="shared" si="25"/>
        <v>0</v>
      </c>
      <c r="O57" s="179">
        <v>0</v>
      </c>
      <c r="P57" s="80">
        <f t="shared" si="26"/>
        <v>0</v>
      </c>
      <c r="Q57" s="179">
        <v>0</v>
      </c>
      <c r="R57" s="80">
        <f t="shared" si="27"/>
        <v>0</v>
      </c>
      <c r="S57" s="179">
        <v>0</v>
      </c>
      <c r="T57" s="80">
        <f t="shared" si="28"/>
        <v>0</v>
      </c>
      <c r="U57" s="179">
        <v>0</v>
      </c>
      <c r="V57" s="80">
        <f t="shared" si="30"/>
        <v>0</v>
      </c>
      <c r="X57" s="202"/>
    </row>
    <row r="58" spans="1:24" ht="12.75" customHeight="1">
      <c r="A58" s="2" t="s">
        <v>389</v>
      </c>
      <c r="B58" s="35"/>
      <c r="C58" s="179">
        <v>0</v>
      </c>
      <c r="D58" s="80">
        <f t="shared" si="20"/>
        <v>0</v>
      </c>
      <c r="E58" s="179">
        <v>0</v>
      </c>
      <c r="F58" s="80">
        <f t="shared" si="21"/>
        <v>0</v>
      </c>
      <c r="G58" s="179">
        <v>0</v>
      </c>
      <c r="H58" s="80">
        <f t="shared" si="22"/>
        <v>0</v>
      </c>
      <c r="I58" s="179">
        <v>0</v>
      </c>
      <c r="J58" s="80">
        <f t="shared" si="23"/>
        <v>0</v>
      </c>
      <c r="K58" s="179">
        <v>0</v>
      </c>
      <c r="L58" s="80">
        <f t="shared" si="24"/>
        <v>0</v>
      </c>
      <c r="M58" s="179">
        <v>0</v>
      </c>
      <c r="N58" s="80">
        <f t="shared" si="25"/>
        <v>0</v>
      </c>
      <c r="O58" s="179">
        <v>0</v>
      </c>
      <c r="P58" s="80">
        <f t="shared" si="26"/>
        <v>0</v>
      </c>
      <c r="Q58" s="179">
        <v>0</v>
      </c>
      <c r="R58" s="80">
        <f t="shared" si="27"/>
        <v>0</v>
      </c>
      <c r="S58" s="179">
        <v>0</v>
      </c>
      <c r="T58" s="80">
        <f t="shared" si="28"/>
        <v>0</v>
      </c>
      <c r="U58" s="179">
        <v>0</v>
      </c>
      <c r="V58" s="80">
        <f t="shared" si="30"/>
        <v>0</v>
      </c>
      <c r="X58" s="202"/>
    </row>
    <row r="59" spans="1:24" ht="12.75" customHeight="1">
      <c r="A59" s="2" t="s">
        <v>390</v>
      </c>
      <c r="B59" s="35"/>
      <c r="C59" s="179">
        <v>0</v>
      </c>
      <c r="D59" s="80">
        <f t="shared" si="20"/>
        <v>0</v>
      </c>
      <c r="E59" s="179">
        <v>0</v>
      </c>
      <c r="F59" s="80">
        <f t="shared" si="21"/>
        <v>0</v>
      </c>
      <c r="G59" s="179">
        <v>0</v>
      </c>
      <c r="H59" s="80">
        <f t="shared" si="22"/>
        <v>0</v>
      </c>
      <c r="I59" s="179">
        <v>0</v>
      </c>
      <c r="J59" s="80">
        <f t="shared" si="23"/>
        <v>0</v>
      </c>
      <c r="K59" s="179">
        <v>0</v>
      </c>
      <c r="L59" s="80">
        <f t="shared" si="24"/>
        <v>0</v>
      </c>
      <c r="M59" s="179">
        <v>0</v>
      </c>
      <c r="N59" s="80">
        <f t="shared" si="25"/>
        <v>0</v>
      </c>
      <c r="O59" s="179">
        <v>0</v>
      </c>
      <c r="P59" s="80">
        <f t="shared" si="26"/>
        <v>0</v>
      </c>
      <c r="Q59" s="179">
        <v>0</v>
      </c>
      <c r="R59" s="80">
        <f t="shared" si="27"/>
        <v>0</v>
      </c>
      <c r="S59" s="179">
        <v>0</v>
      </c>
      <c r="T59" s="80">
        <f t="shared" si="28"/>
        <v>0</v>
      </c>
      <c r="U59" s="179">
        <v>0</v>
      </c>
      <c r="V59" s="80">
        <f t="shared" si="30"/>
        <v>0</v>
      </c>
      <c r="X59" s="202"/>
    </row>
    <row r="60" spans="1:24" ht="12.75" customHeight="1">
      <c r="A60" s="2" t="s">
        <v>391</v>
      </c>
      <c r="B60" s="35"/>
      <c r="C60" s="179">
        <v>0</v>
      </c>
      <c r="D60" s="80">
        <f t="shared" si="20"/>
        <v>0</v>
      </c>
      <c r="E60" s="179">
        <v>0</v>
      </c>
      <c r="F60" s="80">
        <f t="shared" si="21"/>
        <v>0</v>
      </c>
      <c r="G60" s="179">
        <v>0</v>
      </c>
      <c r="H60" s="80">
        <f t="shared" si="22"/>
        <v>0</v>
      </c>
      <c r="I60" s="179">
        <v>0</v>
      </c>
      <c r="J60" s="80">
        <f t="shared" si="23"/>
        <v>0</v>
      </c>
      <c r="K60" s="179">
        <v>0</v>
      </c>
      <c r="L60" s="80">
        <f t="shared" si="24"/>
        <v>0</v>
      </c>
      <c r="M60" s="179">
        <v>0</v>
      </c>
      <c r="N60" s="80">
        <f t="shared" si="25"/>
        <v>0</v>
      </c>
      <c r="O60" s="179">
        <v>0</v>
      </c>
      <c r="P60" s="80">
        <f t="shared" si="26"/>
        <v>0</v>
      </c>
      <c r="Q60" s="179">
        <v>0</v>
      </c>
      <c r="R60" s="80">
        <f t="shared" si="27"/>
        <v>0</v>
      </c>
      <c r="S60" s="179">
        <v>0</v>
      </c>
      <c r="T60" s="80">
        <f t="shared" si="28"/>
        <v>0</v>
      </c>
      <c r="U60" s="179">
        <v>0</v>
      </c>
      <c r="V60" s="80">
        <f t="shared" si="30"/>
        <v>0</v>
      </c>
      <c r="X60" s="202"/>
    </row>
    <row r="61" spans="1:24" ht="12.75" customHeight="1">
      <c r="A61" s="2" t="s">
        <v>392</v>
      </c>
      <c r="B61" s="35"/>
      <c r="C61" s="179">
        <v>0</v>
      </c>
      <c r="D61" s="80">
        <f t="shared" si="20"/>
        <v>0</v>
      </c>
      <c r="E61" s="179">
        <v>0</v>
      </c>
      <c r="F61" s="80">
        <f t="shared" si="21"/>
        <v>0</v>
      </c>
      <c r="G61" s="179">
        <v>0</v>
      </c>
      <c r="H61" s="80">
        <f t="shared" si="22"/>
        <v>0</v>
      </c>
      <c r="I61" s="179">
        <v>0</v>
      </c>
      <c r="J61" s="80">
        <f t="shared" si="23"/>
        <v>0</v>
      </c>
      <c r="K61" s="179">
        <v>0</v>
      </c>
      <c r="L61" s="80">
        <f t="shared" si="24"/>
        <v>0</v>
      </c>
      <c r="M61" s="179">
        <v>0</v>
      </c>
      <c r="N61" s="80">
        <f t="shared" si="25"/>
        <v>0</v>
      </c>
      <c r="O61" s="179">
        <v>0</v>
      </c>
      <c r="P61" s="80">
        <f t="shared" si="26"/>
        <v>0</v>
      </c>
      <c r="Q61" s="179">
        <v>0</v>
      </c>
      <c r="R61" s="80">
        <f t="shared" si="27"/>
        <v>0</v>
      </c>
      <c r="S61" s="179">
        <v>0</v>
      </c>
      <c r="T61" s="80">
        <f t="shared" si="28"/>
        <v>0</v>
      </c>
      <c r="U61" s="179">
        <v>0</v>
      </c>
      <c r="V61" s="80">
        <f t="shared" si="30"/>
        <v>0</v>
      </c>
      <c r="X61" s="202"/>
    </row>
    <row r="62" spans="1:24" ht="12.75" customHeight="1">
      <c r="A62" s="2" t="s">
        <v>393</v>
      </c>
      <c r="B62" s="35"/>
      <c r="C62" s="179">
        <v>0</v>
      </c>
      <c r="D62" s="80">
        <f t="shared" si="20"/>
        <v>0</v>
      </c>
      <c r="E62" s="179">
        <v>0</v>
      </c>
      <c r="F62" s="80">
        <f t="shared" si="21"/>
        <v>0</v>
      </c>
      <c r="G62" s="179">
        <v>0</v>
      </c>
      <c r="H62" s="80">
        <f t="shared" si="22"/>
        <v>0</v>
      </c>
      <c r="I62" s="179">
        <v>0</v>
      </c>
      <c r="J62" s="80">
        <f t="shared" si="23"/>
        <v>0</v>
      </c>
      <c r="K62" s="179">
        <v>0</v>
      </c>
      <c r="L62" s="80">
        <f t="shared" si="24"/>
        <v>0</v>
      </c>
      <c r="M62" s="179">
        <v>0</v>
      </c>
      <c r="N62" s="80">
        <f t="shared" si="25"/>
        <v>0</v>
      </c>
      <c r="O62" s="179">
        <v>0</v>
      </c>
      <c r="P62" s="80">
        <f t="shared" si="26"/>
        <v>0</v>
      </c>
      <c r="Q62" s="179">
        <v>0</v>
      </c>
      <c r="R62" s="80">
        <f t="shared" si="27"/>
        <v>0</v>
      </c>
      <c r="S62" s="179">
        <v>0</v>
      </c>
      <c r="T62" s="80">
        <f t="shared" si="28"/>
        <v>0</v>
      </c>
      <c r="U62" s="179">
        <v>0</v>
      </c>
      <c r="V62" s="80">
        <f t="shared" si="30"/>
        <v>0</v>
      </c>
      <c r="X62" s="202"/>
    </row>
    <row r="63" spans="1:24" ht="12.75" customHeight="1">
      <c r="A63" s="2" t="s">
        <v>394</v>
      </c>
      <c r="B63" s="35"/>
      <c r="C63" s="179">
        <v>2586.6791010187617</v>
      </c>
      <c r="D63" s="80">
        <f t="shared" si="20"/>
        <v>1.3722435549171149E-2</v>
      </c>
      <c r="E63" s="179">
        <v>1491.5000036576309</v>
      </c>
      <c r="F63" s="80">
        <f t="shared" si="21"/>
        <v>7.7573204538286316E-3</v>
      </c>
      <c r="G63" s="179">
        <v>1745.9262562029317</v>
      </c>
      <c r="H63" s="80">
        <f t="shared" si="22"/>
        <v>8.9025454207213289E-3</v>
      </c>
      <c r="I63" s="179">
        <v>1765.2647902960928</v>
      </c>
      <c r="J63" s="80">
        <f t="shared" si="23"/>
        <v>8.8246601500557732E-3</v>
      </c>
      <c r="K63" s="179">
        <v>1779.8341717025912</v>
      </c>
      <c r="L63" s="80">
        <f t="shared" si="24"/>
        <v>8.723032671687685E-3</v>
      </c>
      <c r="M63" s="179">
        <v>1811.6148211103732</v>
      </c>
      <c r="N63" s="80">
        <f t="shared" si="25"/>
        <v>8.7046968648497435E-3</v>
      </c>
      <c r="O63" s="179">
        <v>1844.0648558501252</v>
      </c>
      <c r="P63" s="80">
        <f t="shared" si="26"/>
        <v>8.6868796758101698E-3</v>
      </c>
      <c r="Q63" s="179">
        <v>1877.1336357178272</v>
      </c>
      <c r="R63" s="80">
        <f t="shared" si="27"/>
        <v>8.669272112428102E-3</v>
      </c>
      <c r="S63" s="179">
        <v>1910.770972644463</v>
      </c>
      <c r="T63" s="80">
        <f t="shared" si="28"/>
        <v>8.6515895315735451E-3</v>
      </c>
      <c r="U63" s="179">
        <v>2019.3992746703275</v>
      </c>
      <c r="V63" s="80">
        <f t="shared" si="30"/>
        <v>8.9641537240308933E-3</v>
      </c>
      <c r="X63" s="202"/>
    </row>
    <row r="64" spans="1:24" ht="12.75" customHeight="1">
      <c r="A64" s="2" t="s">
        <v>395</v>
      </c>
      <c r="B64" s="35"/>
      <c r="C64" s="179">
        <v>904.79999999999984</v>
      </c>
      <c r="D64" s="80">
        <f t="shared" si="20"/>
        <v>4.7999999999999996E-3</v>
      </c>
      <c r="E64" s="179">
        <v>922.89599999999996</v>
      </c>
      <c r="F64" s="80">
        <f t="shared" si="21"/>
        <v>4.7999999999999996E-3</v>
      </c>
      <c r="G64" s="179">
        <v>941.3539199999999</v>
      </c>
      <c r="H64" s="80">
        <f t="shared" si="22"/>
        <v>4.7999999999999996E-3</v>
      </c>
      <c r="I64" s="179">
        <v>960.18099839999979</v>
      </c>
      <c r="J64" s="80">
        <f t="shared" si="23"/>
        <v>4.7999999999999996E-3</v>
      </c>
      <c r="K64" s="179">
        <v>979.38461836799979</v>
      </c>
      <c r="L64" s="80">
        <f t="shared" si="24"/>
        <v>4.7999999999999987E-3</v>
      </c>
      <c r="M64" s="179">
        <v>998.97231073535988</v>
      </c>
      <c r="N64" s="80">
        <f t="shared" si="25"/>
        <v>4.7999999999999996E-3</v>
      </c>
      <c r="O64" s="179">
        <v>1018.9517569500671</v>
      </c>
      <c r="P64" s="80">
        <f t="shared" si="26"/>
        <v>4.7999999999999996E-3</v>
      </c>
      <c r="Q64" s="179">
        <v>1039.3307920890682</v>
      </c>
      <c r="R64" s="80">
        <f t="shared" si="27"/>
        <v>4.7999999999999987E-3</v>
      </c>
      <c r="S64" s="179">
        <v>1060.1174079308498</v>
      </c>
      <c r="T64" s="80">
        <f t="shared" si="28"/>
        <v>4.7999999999999996E-3</v>
      </c>
      <c r="U64" s="179">
        <v>1081.3197560894669</v>
      </c>
      <c r="V64" s="80">
        <f t="shared" si="30"/>
        <v>4.8000000000000004E-3</v>
      </c>
      <c r="X64" s="202"/>
    </row>
    <row r="65" spans="1:24" ht="12.75" customHeight="1">
      <c r="A65" s="2" t="s">
        <v>396</v>
      </c>
      <c r="B65" s="35"/>
      <c r="C65" s="179">
        <v>94.25</v>
      </c>
      <c r="D65" s="80">
        <f t="shared" si="20"/>
        <v>5.0000000000000001E-4</v>
      </c>
      <c r="E65" s="179">
        <v>96.135000000000005</v>
      </c>
      <c r="F65" s="80">
        <f t="shared" si="21"/>
        <v>5.0000000000000001E-4</v>
      </c>
      <c r="G65" s="179">
        <v>98.057700000000011</v>
      </c>
      <c r="H65" s="80">
        <f t="shared" si="22"/>
        <v>5.0000000000000012E-4</v>
      </c>
      <c r="I65" s="179">
        <v>100.018854</v>
      </c>
      <c r="J65" s="80">
        <f t="shared" si="23"/>
        <v>5.0000000000000001E-4</v>
      </c>
      <c r="K65" s="179">
        <v>102.01923108</v>
      </c>
      <c r="L65" s="80">
        <f t="shared" si="24"/>
        <v>5.0000000000000001E-4</v>
      </c>
      <c r="M65" s="179">
        <v>104.05961570159999</v>
      </c>
      <c r="N65" s="80">
        <f t="shared" si="25"/>
        <v>5.0000000000000001E-4</v>
      </c>
      <c r="O65" s="179">
        <v>106.14080801563199</v>
      </c>
      <c r="P65" s="80">
        <f t="shared" si="26"/>
        <v>5.0000000000000001E-4</v>
      </c>
      <c r="Q65" s="179">
        <v>108.26362417594463</v>
      </c>
      <c r="R65" s="80">
        <f t="shared" si="27"/>
        <v>5.0000000000000001E-4</v>
      </c>
      <c r="S65" s="179">
        <v>110.42889665946352</v>
      </c>
      <c r="T65" s="80">
        <f t="shared" si="28"/>
        <v>5.0000000000000001E-4</v>
      </c>
      <c r="U65" s="179">
        <v>112.63747459265281</v>
      </c>
      <c r="V65" s="80">
        <f t="shared" si="30"/>
        <v>5.0000000000000001E-4</v>
      </c>
      <c r="X65" s="202"/>
    </row>
    <row r="66" spans="1:24" ht="12.75" customHeight="1">
      <c r="A66" s="2" t="s">
        <v>397</v>
      </c>
      <c r="B66" s="35"/>
      <c r="C66" s="179">
        <v>527.79999999999995</v>
      </c>
      <c r="D66" s="80">
        <f t="shared" si="20"/>
        <v>2.8E-3</v>
      </c>
      <c r="E66" s="179">
        <v>538.35599999999999</v>
      </c>
      <c r="F66" s="80">
        <f t="shared" si="21"/>
        <v>2.8E-3</v>
      </c>
      <c r="G66" s="179">
        <v>549.12312000000009</v>
      </c>
      <c r="H66" s="80">
        <f t="shared" si="22"/>
        <v>2.8000000000000004E-3</v>
      </c>
      <c r="I66" s="179">
        <v>560.10558239999989</v>
      </c>
      <c r="J66" s="80">
        <f t="shared" si="23"/>
        <v>2.7999999999999995E-3</v>
      </c>
      <c r="K66" s="179">
        <v>571.30769404799992</v>
      </c>
      <c r="L66" s="80">
        <f t="shared" si="24"/>
        <v>2.7999999999999995E-3</v>
      </c>
      <c r="M66" s="179">
        <v>582.73384792896002</v>
      </c>
      <c r="N66" s="80">
        <f t="shared" si="25"/>
        <v>2.8000000000000004E-3</v>
      </c>
      <c r="O66" s="179">
        <v>594.38852488753912</v>
      </c>
      <c r="P66" s="80">
        <f t="shared" si="26"/>
        <v>2.8E-3</v>
      </c>
      <c r="Q66" s="179">
        <v>606.27629538528981</v>
      </c>
      <c r="R66" s="80">
        <f t="shared" si="27"/>
        <v>2.7999999999999995E-3</v>
      </c>
      <c r="S66" s="179">
        <v>618.40182129299569</v>
      </c>
      <c r="T66" s="80">
        <f t="shared" si="28"/>
        <v>2.7999999999999995E-3</v>
      </c>
      <c r="U66" s="179">
        <v>630.76985771885575</v>
      </c>
      <c r="V66" s="80">
        <f t="shared" si="30"/>
        <v>2.8000000000000004E-3</v>
      </c>
      <c r="X66" s="202"/>
    </row>
    <row r="67" spans="1:24" ht="12.75" customHeight="1">
      <c r="A67" s="2" t="s">
        <v>398</v>
      </c>
      <c r="B67" s="35"/>
      <c r="C67" s="179">
        <v>2827.5</v>
      </c>
      <c r="D67" s="80">
        <f t="shared" si="20"/>
        <v>1.4999999999999999E-2</v>
      </c>
      <c r="E67" s="179">
        <v>2884.05</v>
      </c>
      <c r="F67" s="80">
        <f t="shared" si="21"/>
        <v>1.5000000000000001E-2</v>
      </c>
      <c r="G67" s="179">
        <v>2941.7310000000002</v>
      </c>
      <c r="H67" s="80">
        <f t="shared" si="22"/>
        <v>1.5000000000000001E-2</v>
      </c>
      <c r="I67" s="179">
        <v>3000.5656199999994</v>
      </c>
      <c r="J67" s="80">
        <f t="shared" si="23"/>
        <v>1.4999999999999998E-2</v>
      </c>
      <c r="K67" s="179">
        <v>3060.5769323999998</v>
      </c>
      <c r="L67" s="80">
        <f t="shared" si="24"/>
        <v>1.4999999999999999E-2</v>
      </c>
      <c r="M67" s="179">
        <v>3121.7884710479998</v>
      </c>
      <c r="N67" s="80">
        <f t="shared" si="25"/>
        <v>1.4999999999999999E-2</v>
      </c>
      <c r="O67" s="179">
        <v>3184.22424046896</v>
      </c>
      <c r="P67" s="80">
        <f t="shared" si="26"/>
        <v>1.5000000000000001E-2</v>
      </c>
      <c r="Q67" s="179">
        <v>3247.9087252783388</v>
      </c>
      <c r="R67" s="80">
        <f t="shared" si="27"/>
        <v>1.4999999999999999E-2</v>
      </c>
      <c r="S67" s="179">
        <v>3312.8668997839059</v>
      </c>
      <c r="T67" s="80">
        <f t="shared" si="28"/>
        <v>1.4999999999999999E-2</v>
      </c>
      <c r="U67" s="179">
        <v>3379.1242377795838</v>
      </c>
      <c r="V67" s="80">
        <f t="shared" si="30"/>
        <v>1.4999999999999999E-2</v>
      </c>
      <c r="X67" s="202"/>
    </row>
    <row r="68" spans="1:24" ht="12.75" customHeight="1">
      <c r="A68" s="2" t="s">
        <v>399</v>
      </c>
      <c r="B68" s="35"/>
      <c r="C68" s="179">
        <v>320.45</v>
      </c>
      <c r="D68" s="80">
        <f t="shared" si="20"/>
        <v>1.6999999999999999E-3</v>
      </c>
      <c r="E68" s="179">
        <v>326.85899999999998</v>
      </c>
      <c r="F68" s="80">
        <f t="shared" si="21"/>
        <v>1.6999999999999999E-3</v>
      </c>
      <c r="G68" s="179">
        <v>333.39618000000002</v>
      </c>
      <c r="H68" s="80">
        <f t="shared" si="22"/>
        <v>1.7000000000000001E-3</v>
      </c>
      <c r="I68" s="179">
        <v>340.06410359999995</v>
      </c>
      <c r="J68" s="80">
        <f t="shared" si="23"/>
        <v>1.6999999999999999E-3</v>
      </c>
      <c r="K68" s="179">
        <v>346.86538567199995</v>
      </c>
      <c r="L68" s="80">
        <f t="shared" si="24"/>
        <v>1.6999999999999997E-3</v>
      </c>
      <c r="M68" s="179">
        <v>353.80269338543997</v>
      </c>
      <c r="N68" s="80">
        <f t="shared" si="25"/>
        <v>1.6999999999999999E-3</v>
      </c>
      <c r="O68" s="179">
        <v>360.87874725314879</v>
      </c>
      <c r="P68" s="80">
        <f t="shared" si="26"/>
        <v>1.7000000000000001E-3</v>
      </c>
      <c r="Q68" s="179">
        <v>368.09632219821174</v>
      </c>
      <c r="R68" s="80">
        <f t="shared" si="27"/>
        <v>1.7000000000000001E-3</v>
      </c>
      <c r="S68" s="179">
        <v>375.45824864217593</v>
      </c>
      <c r="T68" s="80">
        <f t="shared" si="28"/>
        <v>1.6999999999999997E-3</v>
      </c>
      <c r="U68" s="179">
        <v>382.9674136150195</v>
      </c>
      <c r="V68" s="80">
        <f t="shared" si="30"/>
        <v>1.6999999999999999E-3</v>
      </c>
      <c r="X68" s="202"/>
    </row>
    <row r="69" spans="1:24" ht="12.75" customHeight="1">
      <c r="A69" s="2" t="s">
        <v>400</v>
      </c>
      <c r="B69" s="35"/>
      <c r="C69" s="179">
        <v>0</v>
      </c>
      <c r="D69" s="80">
        <f t="shared" si="20"/>
        <v>0</v>
      </c>
      <c r="E69" s="179">
        <v>0</v>
      </c>
      <c r="F69" s="80">
        <f t="shared" si="21"/>
        <v>0</v>
      </c>
      <c r="G69" s="179">
        <v>0</v>
      </c>
      <c r="H69" s="80">
        <f t="shared" si="22"/>
        <v>0</v>
      </c>
      <c r="I69" s="179">
        <v>0</v>
      </c>
      <c r="J69" s="80">
        <f t="shared" si="23"/>
        <v>0</v>
      </c>
      <c r="K69" s="179">
        <v>0</v>
      </c>
      <c r="L69" s="80">
        <f t="shared" si="24"/>
        <v>0</v>
      </c>
      <c r="M69" s="179">
        <v>0</v>
      </c>
      <c r="N69" s="80">
        <f t="shared" si="25"/>
        <v>0</v>
      </c>
      <c r="O69" s="179">
        <v>0</v>
      </c>
      <c r="P69" s="80">
        <f t="shared" si="26"/>
        <v>0</v>
      </c>
      <c r="Q69" s="179">
        <v>0</v>
      </c>
      <c r="R69" s="80">
        <f t="shared" si="27"/>
        <v>0</v>
      </c>
      <c r="S69" s="179">
        <v>0</v>
      </c>
      <c r="T69" s="80">
        <f t="shared" si="28"/>
        <v>0</v>
      </c>
      <c r="U69" s="179">
        <v>0</v>
      </c>
      <c r="V69" s="80">
        <f t="shared" si="30"/>
        <v>0</v>
      </c>
      <c r="X69" s="202"/>
    </row>
    <row r="70" spans="1:24" ht="12.75" customHeight="1">
      <c r="A70" s="2" t="s">
        <v>401</v>
      </c>
      <c r="B70" s="35"/>
      <c r="C70" s="179">
        <v>18.850000000000001</v>
      </c>
      <c r="D70" s="80">
        <f t="shared" si="20"/>
        <v>1E-4</v>
      </c>
      <c r="E70" s="179">
        <v>19.227</v>
      </c>
      <c r="F70" s="80">
        <f t="shared" si="21"/>
        <v>1E-4</v>
      </c>
      <c r="G70" s="179">
        <v>19.611540000000002</v>
      </c>
      <c r="H70" s="80">
        <f t="shared" si="22"/>
        <v>1E-4</v>
      </c>
      <c r="I70" s="179">
        <v>20.003770799999998</v>
      </c>
      <c r="J70" s="80">
        <f t="shared" si="23"/>
        <v>1E-4</v>
      </c>
      <c r="K70" s="179">
        <v>20.403846216000002</v>
      </c>
      <c r="L70" s="80">
        <f t="shared" si="24"/>
        <v>1E-4</v>
      </c>
      <c r="M70" s="179">
        <v>20.811923140320001</v>
      </c>
      <c r="N70" s="80">
        <f t="shared" si="25"/>
        <v>1.0000000000000002E-4</v>
      </c>
      <c r="O70" s="179">
        <v>21.228161603126402</v>
      </c>
      <c r="P70" s="80">
        <f t="shared" si="26"/>
        <v>1.0000000000000002E-4</v>
      </c>
      <c r="Q70" s="179">
        <v>21.652724835188927</v>
      </c>
      <c r="R70" s="80">
        <f t="shared" si="27"/>
        <v>1E-4</v>
      </c>
      <c r="S70" s="179">
        <v>22.085779331892706</v>
      </c>
      <c r="T70" s="80">
        <f t="shared" si="28"/>
        <v>1E-4</v>
      </c>
      <c r="U70" s="179">
        <v>22.527494918530564</v>
      </c>
      <c r="V70" s="80">
        <f t="shared" si="30"/>
        <v>1.0000000000000002E-4</v>
      </c>
      <c r="X70" s="202"/>
    </row>
    <row r="71" spans="1:24" ht="12.75" customHeight="1">
      <c r="A71" s="2" t="s">
        <v>402</v>
      </c>
      <c r="B71" s="35"/>
      <c r="C71" s="179">
        <v>0</v>
      </c>
      <c r="D71" s="80">
        <f t="shared" si="20"/>
        <v>0</v>
      </c>
      <c r="E71" s="179">
        <v>0</v>
      </c>
      <c r="F71" s="80">
        <f t="shared" si="21"/>
        <v>0</v>
      </c>
      <c r="G71" s="179">
        <v>0</v>
      </c>
      <c r="H71" s="80">
        <f t="shared" si="22"/>
        <v>0</v>
      </c>
      <c r="I71" s="179">
        <v>0</v>
      </c>
      <c r="J71" s="80">
        <f t="shared" si="23"/>
        <v>0</v>
      </c>
      <c r="K71" s="179">
        <v>0</v>
      </c>
      <c r="L71" s="80">
        <f t="shared" si="24"/>
        <v>0</v>
      </c>
      <c r="M71" s="179">
        <v>0</v>
      </c>
      <c r="N71" s="80">
        <f t="shared" si="25"/>
        <v>0</v>
      </c>
      <c r="O71" s="179">
        <v>0</v>
      </c>
      <c r="P71" s="80">
        <f t="shared" si="26"/>
        <v>0</v>
      </c>
      <c r="Q71" s="179">
        <v>0</v>
      </c>
      <c r="R71" s="80">
        <f t="shared" si="27"/>
        <v>0</v>
      </c>
      <c r="S71" s="179">
        <v>0</v>
      </c>
      <c r="T71" s="80">
        <f t="shared" si="28"/>
        <v>0</v>
      </c>
      <c r="U71" s="179">
        <v>0</v>
      </c>
      <c r="V71" s="80">
        <f t="shared" si="30"/>
        <v>0</v>
      </c>
      <c r="X71" s="202"/>
    </row>
    <row r="72" spans="1:24" ht="12.75" customHeight="1">
      <c r="A72" s="2" t="s">
        <v>403</v>
      </c>
      <c r="B72" s="35"/>
      <c r="C72" s="179">
        <v>0</v>
      </c>
      <c r="D72" s="80">
        <f t="shared" si="20"/>
        <v>0</v>
      </c>
      <c r="E72" s="179">
        <v>0</v>
      </c>
      <c r="F72" s="80">
        <f t="shared" si="21"/>
        <v>0</v>
      </c>
      <c r="G72" s="179">
        <v>0</v>
      </c>
      <c r="H72" s="80">
        <f t="shared" si="22"/>
        <v>0</v>
      </c>
      <c r="I72" s="179">
        <v>0</v>
      </c>
      <c r="J72" s="80">
        <f t="shared" si="23"/>
        <v>0</v>
      </c>
      <c r="K72" s="179">
        <v>0</v>
      </c>
      <c r="L72" s="80">
        <f t="shared" si="24"/>
        <v>0</v>
      </c>
      <c r="M72" s="179">
        <v>0</v>
      </c>
      <c r="N72" s="80">
        <f t="shared" si="25"/>
        <v>0</v>
      </c>
      <c r="O72" s="179">
        <v>0</v>
      </c>
      <c r="P72" s="80">
        <f t="shared" si="26"/>
        <v>0</v>
      </c>
      <c r="Q72" s="179">
        <v>0</v>
      </c>
      <c r="R72" s="80">
        <f t="shared" si="27"/>
        <v>0</v>
      </c>
      <c r="S72" s="179">
        <v>0</v>
      </c>
      <c r="T72" s="80">
        <f t="shared" si="28"/>
        <v>0</v>
      </c>
      <c r="U72" s="179">
        <v>0</v>
      </c>
      <c r="V72" s="80">
        <f t="shared" si="30"/>
        <v>0</v>
      </c>
      <c r="X72" s="202"/>
    </row>
    <row r="73" spans="1:24" ht="12.75" customHeight="1">
      <c r="A73" s="2" t="s">
        <v>404</v>
      </c>
      <c r="B73" s="35"/>
      <c r="C73" s="179">
        <v>0</v>
      </c>
      <c r="D73" s="80">
        <f t="shared" si="20"/>
        <v>0</v>
      </c>
      <c r="E73" s="179">
        <v>0</v>
      </c>
      <c r="F73" s="80">
        <f t="shared" si="21"/>
        <v>0</v>
      </c>
      <c r="G73" s="179">
        <v>0</v>
      </c>
      <c r="H73" s="80">
        <f t="shared" si="22"/>
        <v>0</v>
      </c>
      <c r="I73" s="179">
        <v>0</v>
      </c>
      <c r="J73" s="80">
        <f t="shared" si="23"/>
        <v>0</v>
      </c>
      <c r="K73" s="179">
        <v>0</v>
      </c>
      <c r="L73" s="80">
        <f t="shared" si="24"/>
        <v>0</v>
      </c>
      <c r="M73" s="179">
        <v>0</v>
      </c>
      <c r="N73" s="80">
        <f t="shared" si="25"/>
        <v>0</v>
      </c>
      <c r="O73" s="179">
        <v>0</v>
      </c>
      <c r="P73" s="80">
        <f t="shared" si="26"/>
        <v>0</v>
      </c>
      <c r="Q73" s="179">
        <v>0</v>
      </c>
      <c r="R73" s="80">
        <f t="shared" si="27"/>
        <v>0</v>
      </c>
      <c r="S73" s="179">
        <v>0</v>
      </c>
      <c r="T73" s="80">
        <f t="shared" si="28"/>
        <v>0</v>
      </c>
      <c r="U73" s="179">
        <v>0</v>
      </c>
      <c r="V73" s="80">
        <f t="shared" si="30"/>
        <v>0</v>
      </c>
      <c r="X73" s="202"/>
    </row>
    <row r="74" spans="1:24" ht="12.75" customHeight="1">
      <c r="A74" s="2" t="s">
        <v>405</v>
      </c>
      <c r="B74" s="35"/>
      <c r="C74" s="179">
        <v>0</v>
      </c>
      <c r="D74" s="80">
        <f t="shared" si="20"/>
        <v>0</v>
      </c>
      <c r="E74" s="179">
        <v>0</v>
      </c>
      <c r="F74" s="80">
        <f t="shared" si="21"/>
        <v>0</v>
      </c>
      <c r="G74" s="179">
        <v>0</v>
      </c>
      <c r="H74" s="80">
        <f t="shared" si="22"/>
        <v>0</v>
      </c>
      <c r="I74" s="179">
        <v>0</v>
      </c>
      <c r="J74" s="80">
        <f t="shared" si="23"/>
        <v>0</v>
      </c>
      <c r="K74" s="179">
        <v>0</v>
      </c>
      <c r="L74" s="80">
        <f t="shared" si="24"/>
        <v>0</v>
      </c>
      <c r="M74" s="179">
        <v>0</v>
      </c>
      <c r="N74" s="80">
        <f t="shared" si="25"/>
        <v>0</v>
      </c>
      <c r="O74" s="179">
        <v>0</v>
      </c>
      <c r="P74" s="80">
        <f t="shared" si="26"/>
        <v>0</v>
      </c>
      <c r="Q74" s="179">
        <v>0</v>
      </c>
      <c r="R74" s="80">
        <f t="shared" si="27"/>
        <v>0</v>
      </c>
      <c r="S74" s="179">
        <v>0</v>
      </c>
      <c r="T74" s="80">
        <f t="shared" si="28"/>
        <v>0</v>
      </c>
      <c r="U74" s="179">
        <v>0</v>
      </c>
      <c r="V74" s="80">
        <f t="shared" si="30"/>
        <v>0</v>
      </c>
      <c r="X74" s="202"/>
    </row>
    <row r="75" spans="1:24" ht="12.75" customHeight="1">
      <c r="A75" s="2" t="s">
        <v>406</v>
      </c>
      <c r="B75" s="35"/>
      <c r="C75" s="179">
        <v>942.5</v>
      </c>
      <c r="D75" s="80">
        <f t="shared" si="20"/>
        <v>5.0000000000000001E-3</v>
      </c>
      <c r="E75" s="179">
        <v>961.35</v>
      </c>
      <c r="F75" s="80">
        <f t="shared" si="21"/>
        <v>5.0000000000000001E-3</v>
      </c>
      <c r="G75" s="179">
        <v>980.577</v>
      </c>
      <c r="H75" s="80">
        <f t="shared" si="22"/>
        <v>5.0000000000000001E-3</v>
      </c>
      <c r="I75" s="179">
        <v>1000.18854</v>
      </c>
      <c r="J75" s="80">
        <f t="shared" si="23"/>
        <v>5.0000000000000001E-3</v>
      </c>
      <c r="K75" s="179">
        <v>1020.1923108000001</v>
      </c>
      <c r="L75" s="80">
        <f t="shared" si="24"/>
        <v>5.0000000000000001E-3</v>
      </c>
      <c r="M75" s="179">
        <v>1040.596157016</v>
      </c>
      <c r="N75" s="80">
        <f t="shared" si="25"/>
        <v>5.0000000000000001E-3</v>
      </c>
      <c r="O75" s="179">
        <v>1061.40808015632</v>
      </c>
      <c r="P75" s="80">
        <f t="shared" si="26"/>
        <v>5.0000000000000001E-3</v>
      </c>
      <c r="Q75" s="179">
        <v>1082.6362417594462</v>
      </c>
      <c r="R75" s="80">
        <f t="shared" si="27"/>
        <v>4.9999999999999992E-3</v>
      </c>
      <c r="S75" s="179">
        <v>1104.2889665946352</v>
      </c>
      <c r="T75" s="80">
        <f t="shared" si="28"/>
        <v>5.0000000000000001E-3</v>
      </c>
      <c r="U75" s="179">
        <v>1126.374745926528</v>
      </c>
      <c r="V75" s="80">
        <f t="shared" si="30"/>
        <v>5.0000000000000001E-3</v>
      </c>
      <c r="X75" s="202"/>
    </row>
    <row r="76" spans="1:24" ht="12.75" customHeight="1">
      <c r="A76" s="2" t="s">
        <v>407</v>
      </c>
      <c r="B76" s="35"/>
      <c r="C76" s="179">
        <v>75.400000000000006</v>
      </c>
      <c r="D76" s="80">
        <f t="shared" si="20"/>
        <v>4.0000000000000002E-4</v>
      </c>
      <c r="E76" s="179">
        <v>76.908000000000001</v>
      </c>
      <c r="F76" s="80">
        <f t="shared" si="21"/>
        <v>4.0000000000000002E-4</v>
      </c>
      <c r="G76" s="179">
        <v>78.446160000000006</v>
      </c>
      <c r="H76" s="80">
        <f t="shared" si="22"/>
        <v>4.0000000000000002E-4</v>
      </c>
      <c r="I76" s="179">
        <v>80.015083199999992</v>
      </c>
      <c r="J76" s="80">
        <f t="shared" si="23"/>
        <v>4.0000000000000002E-4</v>
      </c>
      <c r="K76" s="179">
        <v>81.615384864000006</v>
      </c>
      <c r="L76" s="80">
        <f t="shared" si="24"/>
        <v>4.0000000000000002E-4</v>
      </c>
      <c r="M76" s="179">
        <v>83.247692561280004</v>
      </c>
      <c r="N76" s="80">
        <f t="shared" si="25"/>
        <v>4.0000000000000007E-4</v>
      </c>
      <c r="O76" s="179">
        <v>84.912646412505609</v>
      </c>
      <c r="P76" s="80">
        <f t="shared" si="26"/>
        <v>4.0000000000000007E-4</v>
      </c>
      <c r="Q76" s="179">
        <v>86.610899340755708</v>
      </c>
      <c r="R76" s="80">
        <f t="shared" si="27"/>
        <v>4.0000000000000002E-4</v>
      </c>
      <c r="S76" s="179">
        <v>88.343117327570823</v>
      </c>
      <c r="T76" s="80">
        <f t="shared" si="28"/>
        <v>4.0000000000000002E-4</v>
      </c>
      <c r="U76" s="179">
        <v>90.109979674122258</v>
      </c>
      <c r="V76" s="80">
        <f t="shared" si="30"/>
        <v>4.0000000000000007E-4</v>
      </c>
      <c r="X76" s="202"/>
    </row>
    <row r="77" spans="1:24" ht="12.75" customHeight="1">
      <c r="A77" s="2" t="s">
        <v>408</v>
      </c>
      <c r="B77" s="35"/>
      <c r="C77" s="179">
        <v>245.04999999999998</v>
      </c>
      <c r="D77" s="80">
        <f t="shared" si="20"/>
        <v>1.2999999999999999E-3</v>
      </c>
      <c r="E77" s="179">
        <v>249.95099999999999</v>
      </c>
      <c r="F77" s="80">
        <f t="shared" si="21"/>
        <v>1.2999999999999999E-3</v>
      </c>
      <c r="G77" s="179">
        <v>254.95001999999997</v>
      </c>
      <c r="H77" s="80">
        <f t="shared" si="22"/>
        <v>1.2999999999999999E-3</v>
      </c>
      <c r="I77" s="179">
        <v>260.04902039999996</v>
      </c>
      <c r="J77" s="80">
        <f t="shared" si="23"/>
        <v>1.2999999999999999E-3</v>
      </c>
      <c r="K77" s="179">
        <v>265.25000080799998</v>
      </c>
      <c r="L77" s="80">
        <f t="shared" si="24"/>
        <v>1.2999999999999999E-3</v>
      </c>
      <c r="M77" s="179">
        <v>270.55500082416</v>
      </c>
      <c r="N77" s="80">
        <f t="shared" si="25"/>
        <v>1.3000000000000002E-3</v>
      </c>
      <c r="O77" s="179">
        <v>275.96610084064315</v>
      </c>
      <c r="P77" s="80">
        <f t="shared" si="26"/>
        <v>1.2999999999999999E-3</v>
      </c>
      <c r="Q77" s="179">
        <v>281.485422857456</v>
      </c>
      <c r="R77" s="80">
        <f t="shared" si="27"/>
        <v>1.2999999999999999E-3</v>
      </c>
      <c r="S77" s="179">
        <v>287.11513131460515</v>
      </c>
      <c r="T77" s="80">
        <f t="shared" si="28"/>
        <v>1.2999999999999999E-3</v>
      </c>
      <c r="U77" s="179">
        <v>292.85743394089729</v>
      </c>
      <c r="V77" s="80">
        <f t="shared" si="30"/>
        <v>1.3000000000000002E-3</v>
      </c>
      <c r="X77" s="202"/>
    </row>
    <row r="78" spans="1:24" ht="12.75" customHeight="1">
      <c r="A78" s="2" t="s">
        <v>409</v>
      </c>
      <c r="B78" s="35"/>
      <c r="C78" s="179">
        <v>4147</v>
      </c>
      <c r="D78" s="80">
        <f t="shared" si="20"/>
        <v>2.1999999999999999E-2</v>
      </c>
      <c r="E78" s="179">
        <v>4229.9399999999996</v>
      </c>
      <c r="F78" s="80">
        <f t="shared" si="21"/>
        <v>2.1999999999999999E-2</v>
      </c>
      <c r="G78" s="179">
        <v>4314.5387999999994</v>
      </c>
      <c r="H78" s="80">
        <f t="shared" si="22"/>
        <v>2.1999999999999999E-2</v>
      </c>
      <c r="I78" s="179">
        <v>4400.8295759999992</v>
      </c>
      <c r="J78" s="80">
        <f t="shared" si="23"/>
        <v>2.1999999999999999E-2</v>
      </c>
      <c r="K78" s="179">
        <v>4488.8461675199997</v>
      </c>
      <c r="L78" s="80">
        <f t="shared" si="24"/>
        <v>2.1999999999999999E-2</v>
      </c>
      <c r="M78" s="179">
        <v>4578.6230908704001</v>
      </c>
      <c r="N78" s="80">
        <f t="shared" si="25"/>
        <v>2.2000000000000002E-2</v>
      </c>
      <c r="O78" s="179">
        <v>4670.1955526878073</v>
      </c>
      <c r="P78" s="80">
        <f t="shared" si="26"/>
        <v>2.1999999999999999E-2</v>
      </c>
      <c r="Q78" s="179">
        <v>4763.5994637415624</v>
      </c>
      <c r="R78" s="80">
        <f t="shared" si="27"/>
        <v>2.1999999999999995E-2</v>
      </c>
      <c r="S78" s="179">
        <v>4858.8714530163943</v>
      </c>
      <c r="T78" s="80">
        <f t="shared" si="28"/>
        <v>2.1999999999999995E-2</v>
      </c>
      <c r="U78" s="179">
        <v>4956.0488820767232</v>
      </c>
      <c r="V78" s="80">
        <f t="shared" si="30"/>
        <v>2.2000000000000002E-2</v>
      </c>
      <c r="X78" s="202"/>
    </row>
    <row r="79" spans="1:24" ht="12.75" customHeight="1">
      <c r="A79" s="2" t="s">
        <v>410</v>
      </c>
      <c r="B79" s="35"/>
      <c r="C79" s="179">
        <v>0</v>
      </c>
      <c r="D79" s="80">
        <f t="shared" si="20"/>
        <v>0</v>
      </c>
      <c r="E79" s="179">
        <v>0</v>
      </c>
      <c r="F79" s="80">
        <f t="shared" si="21"/>
        <v>0</v>
      </c>
      <c r="G79" s="179">
        <v>0</v>
      </c>
      <c r="H79" s="80">
        <f t="shared" si="22"/>
        <v>0</v>
      </c>
      <c r="I79" s="179">
        <v>0</v>
      </c>
      <c r="J79" s="80">
        <f t="shared" si="23"/>
        <v>0</v>
      </c>
      <c r="K79" s="179">
        <v>0</v>
      </c>
      <c r="L79" s="80">
        <f t="shared" si="24"/>
        <v>0</v>
      </c>
      <c r="M79" s="179">
        <v>0</v>
      </c>
      <c r="N79" s="80">
        <f t="shared" si="25"/>
        <v>0</v>
      </c>
      <c r="O79" s="179">
        <v>0</v>
      </c>
      <c r="P79" s="80">
        <f t="shared" si="26"/>
        <v>0</v>
      </c>
      <c r="Q79" s="179">
        <v>0</v>
      </c>
      <c r="R79" s="80">
        <f t="shared" si="27"/>
        <v>0</v>
      </c>
      <c r="S79" s="179">
        <v>0</v>
      </c>
      <c r="T79" s="80">
        <f t="shared" si="28"/>
        <v>0</v>
      </c>
      <c r="U79" s="179">
        <v>0</v>
      </c>
      <c r="V79" s="80">
        <f t="shared" si="30"/>
        <v>0</v>
      </c>
      <c r="X79" s="202"/>
    </row>
    <row r="80" spans="1:24" ht="12.75" customHeight="1">
      <c r="A80" s="2" t="s">
        <v>411</v>
      </c>
      <c r="B80" s="35"/>
      <c r="C80" s="179">
        <v>0</v>
      </c>
      <c r="D80" s="80">
        <f t="shared" si="20"/>
        <v>0</v>
      </c>
      <c r="E80" s="179">
        <v>0</v>
      </c>
      <c r="F80" s="80">
        <f t="shared" si="21"/>
        <v>0</v>
      </c>
      <c r="G80" s="179">
        <v>0</v>
      </c>
      <c r="H80" s="80">
        <f t="shared" si="22"/>
        <v>0</v>
      </c>
      <c r="I80" s="179">
        <v>0</v>
      </c>
      <c r="J80" s="80">
        <f t="shared" si="23"/>
        <v>0</v>
      </c>
      <c r="K80" s="179">
        <v>0</v>
      </c>
      <c r="L80" s="80">
        <f t="shared" si="24"/>
        <v>0</v>
      </c>
      <c r="M80" s="179">
        <v>0</v>
      </c>
      <c r="N80" s="80">
        <f t="shared" si="25"/>
        <v>0</v>
      </c>
      <c r="O80" s="179">
        <v>0</v>
      </c>
      <c r="P80" s="80">
        <f t="shared" si="26"/>
        <v>0</v>
      </c>
      <c r="Q80" s="179">
        <v>0</v>
      </c>
      <c r="R80" s="80">
        <f t="shared" si="27"/>
        <v>0</v>
      </c>
      <c r="S80" s="179">
        <v>0</v>
      </c>
      <c r="T80" s="80">
        <f t="shared" si="28"/>
        <v>0</v>
      </c>
      <c r="U80" s="179">
        <v>0</v>
      </c>
      <c r="V80" s="80">
        <f t="shared" si="30"/>
        <v>0</v>
      </c>
      <c r="X80" s="202"/>
    </row>
    <row r="81" spans="1:24" ht="12.75" customHeight="1">
      <c r="A81" s="2" t="s">
        <v>412</v>
      </c>
      <c r="B81" s="35"/>
      <c r="C81" s="179">
        <v>0</v>
      </c>
      <c r="D81" s="80">
        <f t="shared" si="20"/>
        <v>0</v>
      </c>
      <c r="E81" s="179">
        <v>0</v>
      </c>
      <c r="F81" s="80">
        <f t="shared" si="21"/>
        <v>0</v>
      </c>
      <c r="G81" s="179">
        <v>0</v>
      </c>
      <c r="H81" s="80">
        <f t="shared" si="22"/>
        <v>0</v>
      </c>
      <c r="I81" s="179">
        <v>0</v>
      </c>
      <c r="J81" s="80">
        <f t="shared" si="23"/>
        <v>0</v>
      </c>
      <c r="K81" s="179">
        <v>0</v>
      </c>
      <c r="L81" s="80">
        <f t="shared" si="24"/>
        <v>0</v>
      </c>
      <c r="M81" s="179">
        <v>0</v>
      </c>
      <c r="N81" s="80">
        <f t="shared" si="25"/>
        <v>0</v>
      </c>
      <c r="O81" s="179">
        <v>0</v>
      </c>
      <c r="P81" s="80">
        <f t="shared" si="26"/>
        <v>0</v>
      </c>
      <c r="Q81" s="179">
        <v>0</v>
      </c>
      <c r="R81" s="80">
        <f t="shared" si="27"/>
        <v>0</v>
      </c>
      <c r="S81" s="179">
        <v>0</v>
      </c>
      <c r="T81" s="80">
        <f t="shared" si="28"/>
        <v>0</v>
      </c>
      <c r="U81" s="179">
        <v>0</v>
      </c>
      <c r="V81" s="80">
        <f t="shared" si="30"/>
        <v>0</v>
      </c>
      <c r="X81" s="202"/>
    </row>
    <row r="82" spans="1:24" ht="12.75" customHeight="1">
      <c r="A82" s="2" t="s">
        <v>413</v>
      </c>
      <c r="B82" s="35"/>
      <c r="C82" s="179">
        <v>0</v>
      </c>
      <c r="D82" s="80">
        <f t="shared" si="20"/>
        <v>0</v>
      </c>
      <c r="E82" s="179">
        <v>0</v>
      </c>
      <c r="F82" s="80">
        <f t="shared" si="21"/>
        <v>0</v>
      </c>
      <c r="G82" s="179">
        <v>0</v>
      </c>
      <c r="H82" s="80">
        <f t="shared" si="22"/>
        <v>0</v>
      </c>
      <c r="I82" s="179">
        <v>0</v>
      </c>
      <c r="J82" s="80">
        <f t="shared" si="23"/>
        <v>0</v>
      </c>
      <c r="K82" s="179">
        <v>0</v>
      </c>
      <c r="L82" s="80">
        <f t="shared" si="24"/>
        <v>0</v>
      </c>
      <c r="M82" s="179">
        <v>0</v>
      </c>
      <c r="N82" s="80">
        <f t="shared" si="25"/>
        <v>0</v>
      </c>
      <c r="O82" s="179">
        <v>0</v>
      </c>
      <c r="P82" s="80">
        <f t="shared" si="26"/>
        <v>0</v>
      </c>
      <c r="Q82" s="179">
        <v>0</v>
      </c>
      <c r="R82" s="80">
        <f t="shared" si="27"/>
        <v>0</v>
      </c>
      <c r="S82" s="179">
        <v>0</v>
      </c>
      <c r="T82" s="80">
        <f t="shared" si="28"/>
        <v>0</v>
      </c>
      <c r="U82" s="179">
        <v>0</v>
      </c>
      <c r="V82" s="80">
        <f t="shared" si="30"/>
        <v>0</v>
      </c>
      <c r="X82" s="202"/>
    </row>
    <row r="83" spans="1:24" ht="12.75" customHeight="1">
      <c r="A83" s="2" t="s">
        <v>414</v>
      </c>
      <c r="B83" s="35"/>
      <c r="C83" s="179">
        <v>0</v>
      </c>
      <c r="D83" s="80">
        <f t="shared" si="20"/>
        <v>0</v>
      </c>
      <c r="E83" s="179">
        <v>0</v>
      </c>
      <c r="F83" s="80">
        <f t="shared" si="21"/>
        <v>0</v>
      </c>
      <c r="G83" s="179">
        <v>0</v>
      </c>
      <c r="H83" s="80">
        <f t="shared" si="22"/>
        <v>0</v>
      </c>
      <c r="I83" s="179">
        <v>0</v>
      </c>
      <c r="J83" s="80">
        <f t="shared" si="23"/>
        <v>0</v>
      </c>
      <c r="K83" s="179">
        <v>0</v>
      </c>
      <c r="L83" s="80">
        <f t="shared" si="24"/>
        <v>0</v>
      </c>
      <c r="M83" s="179">
        <v>0</v>
      </c>
      <c r="N83" s="80">
        <f t="shared" si="25"/>
        <v>0</v>
      </c>
      <c r="O83" s="179">
        <v>0</v>
      </c>
      <c r="P83" s="80">
        <f t="shared" si="26"/>
        <v>0</v>
      </c>
      <c r="Q83" s="179">
        <v>0</v>
      </c>
      <c r="R83" s="80">
        <f t="shared" si="27"/>
        <v>0</v>
      </c>
      <c r="S83" s="179">
        <v>0</v>
      </c>
      <c r="T83" s="80">
        <f t="shared" si="28"/>
        <v>0</v>
      </c>
      <c r="U83" s="179">
        <v>0</v>
      </c>
      <c r="V83" s="80">
        <f t="shared" si="30"/>
        <v>0</v>
      </c>
      <c r="X83" s="202"/>
    </row>
    <row r="84" spans="1:24" ht="12.75" customHeight="1">
      <c r="A84" s="2" t="s">
        <v>415</v>
      </c>
      <c r="B84" s="35"/>
      <c r="C84" s="179">
        <v>0</v>
      </c>
      <c r="D84" s="80">
        <f t="shared" si="20"/>
        <v>0</v>
      </c>
      <c r="E84" s="179">
        <v>0</v>
      </c>
      <c r="F84" s="80">
        <f t="shared" si="21"/>
        <v>0</v>
      </c>
      <c r="G84" s="179">
        <v>0</v>
      </c>
      <c r="H84" s="80">
        <f t="shared" si="22"/>
        <v>0</v>
      </c>
      <c r="I84" s="179">
        <v>0</v>
      </c>
      <c r="J84" s="80">
        <f t="shared" si="23"/>
        <v>0</v>
      </c>
      <c r="K84" s="179">
        <v>0</v>
      </c>
      <c r="L84" s="80">
        <f t="shared" si="24"/>
        <v>0</v>
      </c>
      <c r="M84" s="179">
        <v>0</v>
      </c>
      <c r="N84" s="80">
        <f t="shared" si="25"/>
        <v>0</v>
      </c>
      <c r="O84" s="179">
        <v>0</v>
      </c>
      <c r="P84" s="80">
        <f t="shared" si="26"/>
        <v>0</v>
      </c>
      <c r="Q84" s="179">
        <v>0</v>
      </c>
      <c r="R84" s="80">
        <f t="shared" si="27"/>
        <v>0</v>
      </c>
      <c r="S84" s="179">
        <v>0</v>
      </c>
      <c r="T84" s="80">
        <f t="shared" si="28"/>
        <v>0</v>
      </c>
      <c r="U84" s="179">
        <v>0</v>
      </c>
      <c r="V84" s="80">
        <f t="shared" si="30"/>
        <v>0</v>
      </c>
      <c r="X84" s="202"/>
    </row>
    <row r="85" spans="1:24" ht="12.75" customHeight="1">
      <c r="A85" s="2" t="s">
        <v>416</v>
      </c>
      <c r="B85" s="35"/>
      <c r="C85" s="179">
        <v>0</v>
      </c>
      <c r="D85" s="80">
        <f t="shared" si="20"/>
        <v>0</v>
      </c>
      <c r="E85" s="179">
        <v>0</v>
      </c>
      <c r="F85" s="80">
        <f t="shared" si="21"/>
        <v>0</v>
      </c>
      <c r="G85" s="179">
        <v>0</v>
      </c>
      <c r="H85" s="80">
        <f t="shared" si="22"/>
        <v>0</v>
      </c>
      <c r="I85" s="179">
        <v>0</v>
      </c>
      <c r="J85" s="80">
        <f t="shared" si="23"/>
        <v>0</v>
      </c>
      <c r="K85" s="179">
        <v>0</v>
      </c>
      <c r="L85" s="80">
        <f t="shared" si="24"/>
        <v>0</v>
      </c>
      <c r="M85" s="179">
        <v>0</v>
      </c>
      <c r="N85" s="80">
        <f t="shared" si="25"/>
        <v>0</v>
      </c>
      <c r="O85" s="179">
        <v>0</v>
      </c>
      <c r="P85" s="80">
        <f t="shared" si="26"/>
        <v>0</v>
      </c>
      <c r="Q85" s="179">
        <v>0</v>
      </c>
      <c r="R85" s="80">
        <f t="shared" si="27"/>
        <v>0</v>
      </c>
      <c r="S85" s="179">
        <v>0</v>
      </c>
      <c r="T85" s="80">
        <f t="shared" si="28"/>
        <v>0</v>
      </c>
      <c r="U85" s="179">
        <v>0</v>
      </c>
      <c r="V85" s="80">
        <f t="shared" si="30"/>
        <v>0</v>
      </c>
      <c r="X85" s="202"/>
    </row>
    <row r="86" spans="1:24" ht="12.75" customHeight="1">
      <c r="A86" s="2" t="s">
        <v>417</v>
      </c>
      <c r="B86" s="35"/>
      <c r="C86" s="179">
        <v>754</v>
      </c>
      <c r="D86" s="80">
        <f t="shared" si="20"/>
        <v>4.0000000000000001E-3</v>
      </c>
      <c r="E86" s="179">
        <v>769.08</v>
      </c>
      <c r="F86" s="80">
        <f t="shared" si="21"/>
        <v>4.0000000000000001E-3</v>
      </c>
      <c r="G86" s="179">
        <v>784.46160000000009</v>
      </c>
      <c r="H86" s="80">
        <f t="shared" si="22"/>
        <v>4.000000000000001E-3</v>
      </c>
      <c r="I86" s="179">
        <v>800.15083200000004</v>
      </c>
      <c r="J86" s="80">
        <f t="shared" si="23"/>
        <v>4.0000000000000001E-3</v>
      </c>
      <c r="K86" s="179">
        <v>816.15384863999998</v>
      </c>
      <c r="L86" s="80">
        <f t="shared" si="24"/>
        <v>4.0000000000000001E-3</v>
      </c>
      <c r="M86" s="179">
        <v>832.47692561279996</v>
      </c>
      <c r="N86" s="80">
        <f t="shared" si="25"/>
        <v>4.0000000000000001E-3</v>
      </c>
      <c r="O86" s="179">
        <v>849.12646412505592</v>
      </c>
      <c r="P86" s="80">
        <f t="shared" si="26"/>
        <v>4.0000000000000001E-3</v>
      </c>
      <c r="Q86" s="179">
        <v>866.10899340755702</v>
      </c>
      <c r="R86" s="80">
        <f t="shared" si="27"/>
        <v>4.0000000000000001E-3</v>
      </c>
      <c r="S86" s="179">
        <v>883.43117327570815</v>
      </c>
      <c r="T86" s="80">
        <f t="shared" si="28"/>
        <v>4.0000000000000001E-3</v>
      </c>
      <c r="U86" s="179">
        <v>901.09979674122246</v>
      </c>
      <c r="V86" s="80">
        <f t="shared" si="30"/>
        <v>4.0000000000000001E-3</v>
      </c>
      <c r="X86" s="202"/>
    </row>
    <row r="87" spans="1:24" ht="12.75" customHeight="1">
      <c r="A87" s="2" t="s">
        <v>418</v>
      </c>
      <c r="B87" s="35"/>
      <c r="C87" s="179">
        <v>0</v>
      </c>
      <c r="D87" s="80">
        <f t="shared" si="20"/>
        <v>0</v>
      </c>
      <c r="E87" s="179">
        <v>0</v>
      </c>
      <c r="F87" s="80">
        <f t="shared" si="21"/>
        <v>0</v>
      </c>
      <c r="G87" s="179">
        <v>0</v>
      </c>
      <c r="H87" s="80">
        <f t="shared" si="22"/>
        <v>0</v>
      </c>
      <c r="I87" s="179">
        <v>0</v>
      </c>
      <c r="J87" s="80">
        <f t="shared" si="23"/>
        <v>0</v>
      </c>
      <c r="K87" s="179">
        <v>0</v>
      </c>
      <c r="L87" s="80">
        <f t="shared" si="24"/>
        <v>0</v>
      </c>
      <c r="M87" s="179">
        <v>0</v>
      </c>
      <c r="N87" s="80">
        <f t="shared" si="25"/>
        <v>0</v>
      </c>
      <c r="O87" s="179">
        <v>0</v>
      </c>
      <c r="P87" s="80">
        <f t="shared" si="26"/>
        <v>0</v>
      </c>
      <c r="Q87" s="179">
        <v>0</v>
      </c>
      <c r="R87" s="80">
        <f t="shared" si="27"/>
        <v>0</v>
      </c>
      <c r="S87" s="179">
        <v>0</v>
      </c>
      <c r="T87" s="80">
        <f t="shared" si="28"/>
        <v>0</v>
      </c>
      <c r="U87" s="179">
        <v>0</v>
      </c>
      <c r="V87" s="80">
        <f t="shared" si="30"/>
        <v>0</v>
      </c>
      <c r="X87" s="202"/>
    </row>
    <row r="88" spans="1:24" ht="12.75" customHeight="1">
      <c r="A88" s="2" t="s">
        <v>419</v>
      </c>
      <c r="B88" s="35"/>
      <c r="C88" s="179">
        <v>961.35000000000014</v>
      </c>
      <c r="D88" s="80">
        <f t="shared" si="20"/>
        <v>5.1000000000000004E-3</v>
      </c>
      <c r="E88" s="179">
        <v>980.57700000000011</v>
      </c>
      <c r="F88" s="80">
        <f t="shared" si="21"/>
        <v>5.1000000000000004E-3</v>
      </c>
      <c r="G88" s="179">
        <v>1000.1885400000002</v>
      </c>
      <c r="H88" s="80">
        <f t="shared" si="22"/>
        <v>5.1000000000000012E-3</v>
      </c>
      <c r="I88" s="179">
        <v>1020.1923108</v>
      </c>
      <c r="J88" s="80">
        <f t="shared" si="23"/>
        <v>5.1000000000000004E-3</v>
      </c>
      <c r="K88" s="179">
        <v>1040.596157016</v>
      </c>
      <c r="L88" s="80">
        <f t="shared" si="24"/>
        <v>5.1000000000000004E-3</v>
      </c>
      <c r="M88" s="179">
        <v>1061.4080801563202</v>
      </c>
      <c r="N88" s="80">
        <f t="shared" si="25"/>
        <v>5.1000000000000012E-3</v>
      </c>
      <c r="O88" s="179">
        <v>1082.6362417594464</v>
      </c>
      <c r="P88" s="80">
        <f t="shared" si="26"/>
        <v>5.1000000000000004E-3</v>
      </c>
      <c r="Q88" s="179">
        <v>1104.2889665946352</v>
      </c>
      <c r="R88" s="80">
        <f t="shared" si="27"/>
        <v>5.1000000000000004E-3</v>
      </c>
      <c r="S88" s="179">
        <v>1126.374745926528</v>
      </c>
      <c r="T88" s="80">
        <f t="shared" si="28"/>
        <v>5.1000000000000004E-3</v>
      </c>
      <c r="U88" s="179">
        <v>1148.9022408450587</v>
      </c>
      <c r="V88" s="80">
        <f t="shared" si="30"/>
        <v>5.1000000000000004E-3</v>
      </c>
      <c r="X88" s="202"/>
    </row>
    <row r="89" spans="1:24" ht="12.75" customHeight="1">
      <c r="A89" s="2" t="s">
        <v>420</v>
      </c>
      <c r="B89" s="35"/>
      <c r="C89" s="179">
        <v>0</v>
      </c>
      <c r="D89" s="80">
        <f t="shared" si="20"/>
        <v>0</v>
      </c>
      <c r="E89" s="179">
        <v>0</v>
      </c>
      <c r="F89" s="80">
        <f t="shared" si="21"/>
        <v>0</v>
      </c>
      <c r="G89" s="179">
        <v>0</v>
      </c>
      <c r="H89" s="80">
        <f t="shared" si="22"/>
        <v>0</v>
      </c>
      <c r="I89" s="179">
        <v>0</v>
      </c>
      <c r="J89" s="80">
        <f t="shared" si="23"/>
        <v>0</v>
      </c>
      <c r="K89" s="179">
        <v>0</v>
      </c>
      <c r="L89" s="80">
        <f t="shared" si="24"/>
        <v>0</v>
      </c>
      <c r="M89" s="179">
        <v>0</v>
      </c>
      <c r="N89" s="80">
        <f t="shared" si="25"/>
        <v>0</v>
      </c>
      <c r="O89" s="179">
        <v>0</v>
      </c>
      <c r="P89" s="80">
        <f t="shared" si="26"/>
        <v>0</v>
      </c>
      <c r="Q89" s="179">
        <v>0</v>
      </c>
      <c r="R89" s="80">
        <f t="shared" si="27"/>
        <v>0</v>
      </c>
      <c r="S89" s="179">
        <v>0</v>
      </c>
      <c r="T89" s="80">
        <f t="shared" si="28"/>
        <v>0</v>
      </c>
      <c r="U89" s="179">
        <v>0</v>
      </c>
      <c r="V89" s="80">
        <f t="shared" si="30"/>
        <v>0</v>
      </c>
      <c r="X89" s="202"/>
    </row>
    <row r="90" spans="1:24" ht="12.75" customHeight="1">
      <c r="A90" s="2" t="s">
        <v>421</v>
      </c>
      <c r="B90" s="35"/>
      <c r="C90" s="179">
        <v>37.700000000000003</v>
      </c>
      <c r="D90" s="80">
        <f t="shared" si="20"/>
        <v>2.0000000000000001E-4</v>
      </c>
      <c r="E90" s="179">
        <v>38.454000000000001</v>
      </c>
      <c r="F90" s="80">
        <f t="shared" si="21"/>
        <v>2.0000000000000001E-4</v>
      </c>
      <c r="G90" s="179">
        <v>39.223080000000003</v>
      </c>
      <c r="H90" s="80">
        <f t="shared" si="22"/>
        <v>2.0000000000000001E-4</v>
      </c>
      <c r="I90" s="179">
        <v>40.007541599999996</v>
      </c>
      <c r="J90" s="80">
        <f t="shared" si="23"/>
        <v>2.0000000000000001E-4</v>
      </c>
      <c r="K90" s="179">
        <v>40.807692432000003</v>
      </c>
      <c r="L90" s="80">
        <f t="shared" si="24"/>
        <v>2.0000000000000001E-4</v>
      </c>
      <c r="M90" s="179">
        <v>41.623846280640002</v>
      </c>
      <c r="N90" s="80">
        <f t="shared" si="25"/>
        <v>2.0000000000000004E-4</v>
      </c>
      <c r="O90" s="179">
        <v>42.456323206252804</v>
      </c>
      <c r="P90" s="80">
        <f t="shared" si="26"/>
        <v>2.0000000000000004E-4</v>
      </c>
      <c r="Q90" s="179">
        <v>43.305449670377854</v>
      </c>
      <c r="R90" s="80">
        <f t="shared" si="27"/>
        <v>2.0000000000000001E-4</v>
      </c>
      <c r="S90" s="179">
        <v>44.171558663785412</v>
      </c>
      <c r="T90" s="80">
        <f t="shared" si="28"/>
        <v>2.0000000000000001E-4</v>
      </c>
      <c r="U90" s="179">
        <v>45.054989837061129</v>
      </c>
      <c r="V90" s="80">
        <f t="shared" si="30"/>
        <v>2.0000000000000004E-4</v>
      </c>
      <c r="X90" s="202"/>
    </row>
    <row r="91" spans="1:24" ht="12.75" customHeight="1">
      <c r="A91" s="2" t="s">
        <v>422</v>
      </c>
      <c r="C91" s="179">
        <v>0</v>
      </c>
      <c r="D91" s="80">
        <f t="shared" si="20"/>
        <v>0</v>
      </c>
      <c r="E91" s="179">
        <v>0</v>
      </c>
      <c r="F91" s="80">
        <f t="shared" si="21"/>
        <v>0</v>
      </c>
      <c r="G91" s="179">
        <v>0</v>
      </c>
      <c r="H91" s="80">
        <f t="shared" si="22"/>
        <v>0</v>
      </c>
      <c r="I91" s="179">
        <v>0</v>
      </c>
      <c r="J91" s="80">
        <f t="shared" si="23"/>
        <v>0</v>
      </c>
      <c r="K91" s="179">
        <v>0</v>
      </c>
      <c r="L91" s="80">
        <f t="shared" si="24"/>
        <v>0</v>
      </c>
      <c r="M91" s="179">
        <v>0</v>
      </c>
      <c r="N91" s="80">
        <f t="shared" si="25"/>
        <v>0</v>
      </c>
      <c r="O91" s="179">
        <v>0</v>
      </c>
      <c r="P91" s="80">
        <f t="shared" si="26"/>
        <v>0</v>
      </c>
      <c r="Q91" s="179">
        <v>0</v>
      </c>
      <c r="R91" s="80">
        <f t="shared" si="27"/>
        <v>0</v>
      </c>
      <c r="S91" s="179">
        <v>0</v>
      </c>
      <c r="T91" s="80">
        <f t="shared" si="28"/>
        <v>0</v>
      </c>
      <c r="U91" s="179">
        <v>0</v>
      </c>
      <c r="V91" s="80">
        <f t="shared" si="30"/>
        <v>0</v>
      </c>
      <c r="X91" s="202"/>
    </row>
    <row r="92" spans="1:24" ht="12.75" customHeight="1">
      <c r="A92" s="2" t="s">
        <v>423</v>
      </c>
      <c r="B92" s="35"/>
      <c r="C92" s="179">
        <v>980.19999999999993</v>
      </c>
      <c r="D92" s="80">
        <f t="shared" si="20"/>
        <v>5.1999999999999998E-3</v>
      </c>
      <c r="E92" s="179">
        <v>999.80399999999997</v>
      </c>
      <c r="F92" s="80">
        <f t="shared" si="21"/>
        <v>5.1999999999999998E-3</v>
      </c>
      <c r="G92" s="179">
        <v>1019.8000799999999</v>
      </c>
      <c r="H92" s="80">
        <f t="shared" si="22"/>
        <v>5.1999999999999998E-3</v>
      </c>
      <c r="I92" s="179">
        <v>1040.1960815999998</v>
      </c>
      <c r="J92" s="80">
        <f t="shared" si="23"/>
        <v>5.1999999999999998E-3</v>
      </c>
      <c r="K92" s="179">
        <v>1061.0000032319999</v>
      </c>
      <c r="L92" s="80">
        <f t="shared" si="24"/>
        <v>5.1999999999999998E-3</v>
      </c>
      <c r="M92" s="179">
        <v>1082.22000329664</v>
      </c>
      <c r="N92" s="80">
        <f t="shared" si="25"/>
        <v>5.2000000000000006E-3</v>
      </c>
      <c r="O92" s="179">
        <v>1103.8644033625726</v>
      </c>
      <c r="P92" s="80">
        <f t="shared" si="26"/>
        <v>5.1999999999999998E-3</v>
      </c>
      <c r="Q92" s="179">
        <v>1125.941691429824</v>
      </c>
      <c r="R92" s="80">
        <f t="shared" si="27"/>
        <v>5.1999999999999998E-3</v>
      </c>
      <c r="S92" s="179">
        <v>1148.4605252584206</v>
      </c>
      <c r="T92" s="80">
        <f t="shared" si="28"/>
        <v>5.1999999999999998E-3</v>
      </c>
      <c r="U92" s="179">
        <v>1171.4297357635892</v>
      </c>
      <c r="V92" s="80">
        <f t="shared" si="30"/>
        <v>5.2000000000000006E-3</v>
      </c>
      <c r="X92" s="202"/>
    </row>
    <row r="93" spans="1:24" ht="12.75" customHeight="1">
      <c r="A93" s="2" t="s">
        <v>424</v>
      </c>
      <c r="B93" s="35"/>
      <c r="C93" s="179">
        <v>0</v>
      </c>
      <c r="D93" s="80">
        <f t="shared" si="20"/>
        <v>0</v>
      </c>
      <c r="E93" s="179">
        <v>0</v>
      </c>
      <c r="F93" s="80">
        <f t="shared" si="21"/>
        <v>0</v>
      </c>
      <c r="G93" s="179">
        <v>0</v>
      </c>
      <c r="H93" s="80">
        <f t="shared" si="22"/>
        <v>0</v>
      </c>
      <c r="I93" s="179">
        <v>0</v>
      </c>
      <c r="J93" s="80">
        <f t="shared" si="23"/>
        <v>0</v>
      </c>
      <c r="K93" s="179">
        <v>0</v>
      </c>
      <c r="L93" s="80">
        <f t="shared" si="24"/>
        <v>0</v>
      </c>
      <c r="M93" s="179">
        <v>0</v>
      </c>
      <c r="N93" s="80">
        <f t="shared" si="25"/>
        <v>0</v>
      </c>
      <c r="O93" s="179">
        <v>0</v>
      </c>
      <c r="P93" s="80">
        <f t="shared" si="26"/>
        <v>0</v>
      </c>
      <c r="Q93" s="179">
        <v>0</v>
      </c>
      <c r="R93" s="80">
        <f t="shared" si="27"/>
        <v>0</v>
      </c>
      <c r="S93" s="179">
        <v>0</v>
      </c>
      <c r="T93" s="80">
        <f t="shared" si="28"/>
        <v>0</v>
      </c>
      <c r="U93" s="179">
        <v>0</v>
      </c>
      <c r="V93" s="80">
        <f t="shared" si="30"/>
        <v>0</v>
      </c>
      <c r="X93" s="202"/>
    </row>
    <row r="94" spans="1:24" ht="12.75" customHeight="1">
      <c r="A94" s="2" t="s">
        <v>425</v>
      </c>
      <c r="B94" s="35"/>
      <c r="C94" s="179">
        <v>0</v>
      </c>
      <c r="D94" s="80">
        <f t="shared" si="20"/>
        <v>0</v>
      </c>
      <c r="E94" s="179">
        <v>0</v>
      </c>
      <c r="F94" s="80">
        <f t="shared" si="21"/>
        <v>0</v>
      </c>
      <c r="G94" s="179">
        <v>0</v>
      </c>
      <c r="H94" s="80">
        <f t="shared" si="22"/>
        <v>0</v>
      </c>
      <c r="I94" s="179">
        <v>0</v>
      </c>
      <c r="J94" s="80">
        <f t="shared" si="23"/>
        <v>0</v>
      </c>
      <c r="K94" s="179">
        <v>0</v>
      </c>
      <c r="L94" s="80">
        <f t="shared" si="24"/>
        <v>0</v>
      </c>
      <c r="M94" s="179">
        <v>0</v>
      </c>
      <c r="N94" s="80">
        <f t="shared" si="25"/>
        <v>0</v>
      </c>
      <c r="O94" s="179">
        <v>0</v>
      </c>
      <c r="P94" s="80">
        <f t="shared" si="26"/>
        <v>0</v>
      </c>
      <c r="Q94" s="179">
        <v>0</v>
      </c>
      <c r="R94" s="80">
        <f t="shared" si="27"/>
        <v>0</v>
      </c>
      <c r="S94" s="179">
        <v>0</v>
      </c>
      <c r="T94" s="80">
        <f t="shared" si="28"/>
        <v>0</v>
      </c>
      <c r="U94" s="179">
        <v>0</v>
      </c>
      <c r="V94" s="80">
        <f t="shared" si="30"/>
        <v>0</v>
      </c>
      <c r="X94" s="202"/>
    </row>
    <row r="95" spans="1:24" ht="12.75" customHeight="1">
      <c r="A95" s="2" t="s">
        <v>426</v>
      </c>
      <c r="B95" s="35"/>
      <c r="C95" s="179">
        <v>0</v>
      </c>
      <c r="D95" s="80">
        <f t="shared" si="20"/>
        <v>0</v>
      </c>
      <c r="E95" s="179">
        <v>0</v>
      </c>
      <c r="F95" s="80">
        <f t="shared" si="21"/>
        <v>0</v>
      </c>
      <c r="G95" s="179">
        <v>0</v>
      </c>
      <c r="H95" s="80">
        <f t="shared" si="22"/>
        <v>0</v>
      </c>
      <c r="I95" s="179">
        <v>0</v>
      </c>
      <c r="J95" s="80">
        <f t="shared" si="23"/>
        <v>0</v>
      </c>
      <c r="K95" s="179">
        <v>0</v>
      </c>
      <c r="L95" s="80">
        <f t="shared" si="24"/>
        <v>0</v>
      </c>
      <c r="M95" s="179">
        <v>0</v>
      </c>
      <c r="N95" s="80">
        <f t="shared" si="25"/>
        <v>0</v>
      </c>
      <c r="O95" s="179">
        <v>0</v>
      </c>
      <c r="P95" s="80">
        <f t="shared" si="26"/>
        <v>0</v>
      </c>
      <c r="Q95" s="179">
        <v>0</v>
      </c>
      <c r="R95" s="80">
        <f t="shared" si="27"/>
        <v>0</v>
      </c>
      <c r="S95" s="179">
        <v>0</v>
      </c>
      <c r="T95" s="80">
        <f t="shared" si="28"/>
        <v>0</v>
      </c>
      <c r="U95" s="179">
        <v>0</v>
      </c>
      <c r="V95" s="80">
        <f t="shared" si="30"/>
        <v>0</v>
      </c>
      <c r="X95" s="202"/>
    </row>
    <row r="96" spans="1:24" ht="12.75" customHeight="1">
      <c r="A96" s="2" t="s">
        <v>427</v>
      </c>
      <c r="B96" s="35"/>
      <c r="C96" s="179">
        <v>0</v>
      </c>
      <c r="D96" s="80">
        <f t="shared" si="20"/>
        <v>0</v>
      </c>
      <c r="E96" s="179">
        <v>0</v>
      </c>
      <c r="F96" s="80">
        <f t="shared" si="21"/>
        <v>0</v>
      </c>
      <c r="G96" s="179">
        <v>0</v>
      </c>
      <c r="H96" s="80">
        <f t="shared" si="22"/>
        <v>0</v>
      </c>
      <c r="I96" s="179">
        <v>0</v>
      </c>
      <c r="J96" s="80">
        <f t="shared" si="23"/>
        <v>0</v>
      </c>
      <c r="K96" s="179">
        <v>0</v>
      </c>
      <c r="L96" s="80">
        <f t="shared" si="24"/>
        <v>0</v>
      </c>
      <c r="M96" s="179">
        <v>0</v>
      </c>
      <c r="N96" s="80">
        <f t="shared" si="25"/>
        <v>0</v>
      </c>
      <c r="O96" s="179">
        <v>0</v>
      </c>
      <c r="P96" s="80">
        <f t="shared" si="26"/>
        <v>0</v>
      </c>
      <c r="Q96" s="179">
        <v>0</v>
      </c>
      <c r="R96" s="80">
        <f t="shared" si="27"/>
        <v>0</v>
      </c>
      <c r="S96" s="179">
        <v>0</v>
      </c>
      <c r="T96" s="80">
        <f t="shared" si="28"/>
        <v>0</v>
      </c>
      <c r="U96" s="179">
        <v>0</v>
      </c>
      <c r="V96" s="80">
        <f t="shared" si="30"/>
        <v>0</v>
      </c>
      <c r="X96" s="202"/>
    </row>
    <row r="97" spans="1:24" ht="12.75" customHeight="1">
      <c r="A97" s="2" t="s">
        <v>428</v>
      </c>
      <c r="B97" s="35"/>
      <c r="C97" s="179">
        <v>2246.1871999999998</v>
      </c>
      <c r="D97" s="80">
        <f t="shared" si="20"/>
        <v>1.1916112466843501E-2</v>
      </c>
      <c r="E97" s="179">
        <v>2246.1871999999998</v>
      </c>
      <c r="F97" s="80">
        <f t="shared" si="21"/>
        <v>1.1682463202787745E-2</v>
      </c>
      <c r="G97" s="179">
        <v>2246.1871999999998</v>
      </c>
      <c r="H97" s="80">
        <f t="shared" si="22"/>
        <v>1.1453395296850731E-2</v>
      </c>
      <c r="I97" s="179">
        <v>2246.1871999999998</v>
      </c>
      <c r="J97" s="80">
        <f t="shared" si="23"/>
        <v>1.122881891848111E-2</v>
      </c>
      <c r="K97" s="179">
        <v>2246.1871999999998</v>
      </c>
      <c r="L97" s="80">
        <f t="shared" si="24"/>
        <v>1.1008645998510891E-2</v>
      </c>
      <c r="M97" s="179">
        <v>2246.1871999999998</v>
      </c>
      <c r="N97" s="80">
        <f t="shared" si="25"/>
        <v>1.0792790194618521E-2</v>
      </c>
      <c r="O97" s="179">
        <v>2246.1871999999998</v>
      </c>
      <c r="P97" s="80">
        <f t="shared" si="26"/>
        <v>1.0581166857469139E-2</v>
      </c>
      <c r="Q97" s="179">
        <v>2246.1871999999998</v>
      </c>
      <c r="R97" s="80">
        <f t="shared" si="27"/>
        <v>1.0373692997518764E-2</v>
      </c>
      <c r="S97" s="179">
        <v>2246.1871999999998</v>
      </c>
      <c r="T97" s="80">
        <f t="shared" si="28"/>
        <v>1.0170287252469375E-2</v>
      </c>
      <c r="U97" s="179">
        <v>2246.1871999999998</v>
      </c>
      <c r="V97" s="80">
        <f t="shared" si="30"/>
        <v>9.9708698553621321E-3</v>
      </c>
      <c r="X97" s="202"/>
    </row>
    <row r="98" spans="1:24" ht="12.75" customHeight="1">
      <c r="A98" s="117" t="s">
        <v>431</v>
      </c>
      <c r="B98" s="35"/>
      <c r="C98" s="179">
        <v>226.19999999999996</v>
      </c>
      <c r="D98" s="80">
        <f t="shared" si="20"/>
        <v>1.1999999999999999E-3</v>
      </c>
      <c r="E98" s="179">
        <v>230.72399999999999</v>
      </c>
      <c r="F98" s="80">
        <f t="shared" si="21"/>
        <v>1.1999999999999999E-3</v>
      </c>
      <c r="G98" s="179">
        <v>235.33847999999998</v>
      </c>
      <c r="H98" s="80">
        <f t="shared" si="22"/>
        <v>1.1999999999999999E-3</v>
      </c>
      <c r="I98" s="179">
        <v>240.04524959999995</v>
      </c>
      <c r="J98" s="80">
        <f t="shared" si="23"/>
        <v>1.1999999999999999E-3</v>
      </c>
      <c r="K98" s="179">
        <v>244.84615459199995</v>
      </c>
      <c r="L98" s="80">
        <f t="shared" si="24"/>
        <v>1.1999999999999997E-3</v>
      </c>
      <c r="M98" s="179">
        <v>249.74307768383997</v>
      </c>
      <c r="N98" s="80">
        <f t="shared" si="25"/>
        <v>1.1999999999999999E-3</v>
      </c>
      <c r="O98" s="179">
        <v>254.73793923751677</v>
      </c>
      <c r="P98" s="80">
        <f t="shared" si="26"/>
        <v>1.1999999999999999E-3</v>
      </c>
      <c r="Q98" s="179">
        <v>259.83269802226704</v>
      </c>
      <c r="R98" s="80">
        <f t="shared" si="27"/>
        <v>1.1999999999999997E-3</v>
      </c>
      <c r="S98" s="179">
        <v>265.02935198271246</v>
      </c>
      <c r="T98" s="80">
        <f t="shared" si="28"/>
        <v>1.1999999999999999E-3</v>
      </c>
      <c r="U98" s="179">
        <v>270.32993902236672</v>
      </c>
      <c r="V98" s="80">
        <f t="shared" si="30"/>
        <v>1.2000000000000001E-3</v>
      </c>
      <c r="X98" s="202"/>
    </row>
    <row r="99" spans="1:24" ht="12.75" customHeight="1">
      <c r="A99" s="117" t="s">
        <v>431</v>
      </c>
      <c r="B99" s="35"/>
      <c r="C99" s="179">
        <v>0</v>
      </c>
      <c r="D99" s="80">
        <f t="shared" si="20"/>
        <v>0</v>
      </c>
      <c r="E99" s="179">
        <v>0</v>
      </c>
      <c r="F99" s="80">
        <f t="shared" si="21"/>
        <v>0</v>
      </c>
      <c r="G99" s="179">
        <v>0</v>
      </c>
      <c r="H99" s="80">
        <f t="shared" si="22"/>
        <v>0</v>
      </c>
      <c r="I99" s="179">
        <v>0</v>
      </c>
      <c r="J99" s="80">
        <f t="shared" si="23"/>
        <v>0</v>
      </c>
      <c r="K99" s="179">
        <v>0</v>
      </c>
      <c r="L99" s="80">
        <f t="shared" si="24"/>
        <v>0</v>
      </c>
      <c r="M99" s="179">
        <v>0</v>
      </c>
      <c r="N99" s="80">
        <f t="shared" si="25"/>
        <v>0</v>
      </c>
      <c r="O99" s="179">
        <v>0</v>
      </c>
      <c r="P99" s="80">
        <f t="shared" si="26"/>
        <v>0</v>
      </c>
      <c r="Q99" s="179">
        <v>0</v>
      </c>
      <c r="R99" s="80">
        <f t="shared" si="27"/>
        <v>0</v>
      </c>
      <c r="S99" s="179">
        <v>0</v>
      </c>
      <c r="T99" s="80">
        <f t="shared" si="28"/>
        <v>0</v>
      </c>
      <c r="U99" s="179">
        <v>0</v>
      </c>
      <c r="V99" s="80">
        <f t="shared" si="30"/>
        <v>0</v>
      </c>
      <c r="X99" s="202"/>
    </row>
    <row r="100" spans="1:24" ht="12.75" customHeight="1">
      <c r="A100" s="117" t="s">
        <v>431</v>
      </c>
      <c r="B100" s="35"/>
      <c r="C100" s="179">
        <v>0</v>
      </c>
      <c r="D100" s="80">
        <f t="shared" si="20"/>
        <v>0</v>
      </c>
      <c r="E100" s="179">
        <v>0</v>
      </c>
      <c r="F100" s="80">
        <f t="shared" si="21"/>
        <v>0</v>
      </c>
      <c r="G100" s="179">
        <v>0</v>
      </c>
      <c r="H100" s="80">
        <f t="shared" si="22"/>
        <v>0</v>
      </c>
      <c r="I100" s="179">
        <v>0</v>
      </c>
      <c r="J100" s="80">
        <f t="shared" si="23"/>
        <v>0</v>
      </c>
      <c r="K100" s="179">
        <v>0</v>
      </c>
      <c r="L100" s="80">
        <f t="shared" si="24"/>
        <v>0</v>
      </c>
      <c r="M100" s="179">
        <v>0</v>
      </c>
      <c r="N100" s="80">
        <f t="shared" si="25"/>
        <v>0</v>
      </c>
      <c r="O100" s="179">
        <v>0</v>
      </c>
      <c r="P100" s="80">
        <f t="shared" si="26"/>
        <v>0</v>
      </c>
      <c r="Q100" s="179">
        <v>0</v>
      </c>
      <c r="R100" s="80">
        <f t="shared" si="27"/>
        <v>0</v>
      </c>
      <c r="S100" s="179">
        <v>0</v>
      </c>
      <c r="T100" s="80">
        <f t="shared" si="28"/>
        <v>0</v>
      </c>
      <c r="U100" s="179">
        <v>0</v>
      </c>
      <c r="V100" s="80">
        <f t="shared" si="30"/>
        <v>0</v>
      </c>
      <c r="X100" s="202"/>
    </row>
    <row r="101" spans="1:24" ht="12.75" customHeight="1">
      <c r="A101" s="2" t="s">
        <v>432</v>
      </c>
      <c r="B101" s="35"/>
      <c r="C101" s="179"/>
      <c r="D101" s="80">
        <f t="shared" si="20"/>
        <v>0</v>
      </c>
      <c r="E101" s="179"/>
      <c r="F101" s="80">
        <f t="shared" si="21"/>
        <v>0</v>
      </c>
      <c r="G101" s="179"/>
      <c r="H101" s="80">
        <f t="shared" si="22"/>
        <v>0</v>
      </c>
      <c r="I101" s="179">
        <v>0</v>
      </c>
      <c r="J101" s="80">
        <f t="shared" si="23"/>
        <v>0</v>
      </c>
      <c r="K101" s="179">
        <v>0</v>
      </c>
      <c r="L101" s="80">
        <f t="shared" si="24"/>
        <v>0</v>
      </c>
      <c r="M101" s="179">
        <v>0</v>
      </c>
      <c r="N101" s="80">
        <f t="shared" si="25"/>
        <v>0</v>
      </c>
      <c r="O101" s="179">
        <v>0</v>
      </c>
      <c r="P101" s="80">
        <f t="shared" si="26"/>
        <v>0</v>
      </c>
      <c r="Q101" s="179">
        <v>0</v>
      </c>
      <c r="R101" s="80">
        <f t="shared" si="27"/>
        <v>0</v>
      </c>
      <c r="S101" s="179">
        <v>0</v>
      </c>
      <c r="T101" s="80">
        <f t="shared" si="28"/>
        <v>0</v>
      </c>
      <c r="U101" s="179">
        <v>0</v>
      </c>
      <c r="V101" s="80">
        <f t="shared" si="30"/>
        <v>0</v>
      </c>
      <c r="X101" s="202"/>
    </row>
    <row r="102" spans="1:24" ht="12.75" customHeight="1">
      <c r="A102" s="117" t="s">
        <v>433</v>
      </c>
      <c r="B102" s="35"/>
      <c r="C102" s="179">
        <v>1885</v>
      </c>
      <c r="D102" s="80">
        <f t="shared" si="20"/>
        <v>0.01</v>
      </c>
      <c r="E102" s="179">
        <v>1922.7</v>
      </c>
      <c r="F102" s="80">
        <f t="shared" si="21"/>
        <v>0.01</v>
      </c>
      <c r="G102" s="179">
        <v>1961.154</v>
      </c>
      <c r="H102" s="80">
        <f t="shared" si="22"/>
        <v>0.01</v>
      </c>
      <c r="I102" s="179">
        <v>2000.37708</v>
      </c>
      <c r="J102" s="80">
        <f t="shared" si="23"/>
        <v>0.01</v>
      </c>
      <c r="K102" s="179">
        <v>2040.3846216000002</v>
      </c>
      <c r="L102" s="80">
        <f t="shared" si="24"/>
        <v>0.01</v>
      </c>
      <c r="M102" s="179">
        <v>2081.192314032</v>
      </c>
      <c r="N102" s="80">
        <f t="shared" si="25"/>
        <v>0.01</v>
      </c>
      <c r="O102" s="179">
        <v>2122.81616031264</v>
      </c>
      <c r="P102" s="80">
        <f t="shared" si="26"/>
        <v>0.01</v>
      </c>
      <c r="Q102" s="179">
        <v>2165.2724835188924</v>
      </c>
      <c r="R102" s="80">
        <f t="shared" si="27"/>
        <v>9.9999999999999985E-3</v>
      </c>
      <c r="S102" s="179">
        <v>2208.5779331892704</v>
      </c>
      <c r="T102" s="80">
        <f t="shared" si="28"/>
        <v>0.01</v>
      </c>
      <c r="U102" s="179">
        <v>2252.749491853056</v>
      </c>
      <c r="V102" s="80">
        <f t="shared" si="30"/>
        <v>0.01</v>
      </c>
      <c r="X102" s="202"/>
    </row>
    <row r="103" spans="1:24" ht="12.75" customHeight="1">
      <c r="A103" s="117" t="s">
        <v>433</v>
      </c>
      <c r="B103" s="35"/>
      <c r="C103" s="179">
        <v>0</v>
      </c>
      <c r="D103" s="80">
        <f t="shared" si="20"/>
        <v>0</v>
      </c>
      <c r="E103" s="179">
        <v>0</v>
      </c>
      <c r="F103" s="80">
        <f t="shared" si="21"/>
        <v>0</v>
      </c>
      <c r="G103" s="179">
        <v>0</v>
      </c>
      <c r="H103" s="80">
        <f t="shared" si="22"/>
        <v>0</v>
      </c>
      <c r="I103" s="179">
        <v>0</v>
      </c>
      <c r="J103" s="80">
        <f t="shared" si="23"/>
        <v>0</v>
      </c>
      <c r="K103" s="179">
        <v>0</v>
      </c>
      <c r="L103" s="80">
        <f t="shared" si="24"/>
        <v>0</v>
      </c>
      <c r="M103" s="179">
        <v>0</v>
      </c>
      <c r="N103" s="80">
        <f t="shared" si="25"/>
        <v>0</v>
      </c>
      <c r="O103" s="179">
        <v>0</v>
      </c>
      <c r="P103" s="80">
        <f t="shared" si="26"/>
        <v>0</v>
      </c>
      <c r="Q103" s="179">
        <v>0</v>
      </c>
      <c r="R103" s="80">
        <f t="shared" si="27"/>
        <v>0</v>
      </c>
      <c r="S103" s="179">
        <v>0</v>
      </c>
      <c r="T103" s="80">
        <f t="shared" si="28"/>
        <v>0</v>
      </c>
      <c r="U103" s="179">
        <v>0</v>
      </c>
      <c r="V103" s="80">
        <f t="shared" si="30"/>
        <v>0</v>
      </c>
      <c r="X103" s="202"/>
    </row>
    <row r="104" spans="1:24" ht="12.75" customHeight="1">
      <c r="A104" s="117" t="s">
        <v>433</v>
      </c>
      <c r="B104" s="1"/>
      <c r="C104" s="179">
        <v>0</v>
      </c>
      <c r="D104" s="80">
        <f t="shared" si="20"/>
        <v>0</v>
      </c>
      <c r="E104" s="179">
        <v>0</v>
      </c>
      <c r="F104" s="80">
        <f t="shared" si="21"/>
        <v>0</v>
      </c>
      <c r="G104" s="179">
        <v>0</v>
      </c>
      <c r="H104" s="80">
        <f t="shared" si="22"/>
        <v>0</v>
      </c>
      <c r="I104" s="179">
        <v>0</v>
      </c>
      <c r="J104" s="80">
        <f t="shared" si="23"/>
        <v>0</v>
      </c>
      <c r="K104" s="179">
        <v>0</v>
      </c>
      <c r="L104" s="80">
        <f t="shared" si="24"/>
        <v>0</v>
      </c>
      <c r="M104" s="179">
        <v>0</v>
      </c>
      <c r="N104" s="80">
        <f t="shared" si="25"/>
        <v>0</v>
      </c>
      <c r="O104" s="179">
        <v>0</v>
      </c>
      <c r="P104" s="80">
        <f t="shared" si="26"/>
        <v>0</v>
      </c>
      <c r="Q104" s="179">
        <v>0</v>
      </c>
      <c r="R104" s="80">
        <f t="shared" si="27"/>
        <v>0</v>
      </c>
      <c r="S104" s="179">
        <v>0</v>
      </c>
      <c r="T104" s="80">
        <f t="shared" si="28"/>
        <v>0</v>
      </c>
      <c r="U104" s="179">
        <v>0</v>
      </c>
      <c r="V104" s="80">
        <f t="shared" si="30"/>
        <v>0</v>
      </c>
      <c r="X104" s="202"/>
    </row>
    <row r="105" spans="1:24" ht="12.75" customHeight="1">
      <c r="A105" s="1" t="s">
        <v>434</v>
      </c>
      <c r="B105" s="53"/>
      <c r="C105" s="82">
        <f>SUM(C52:C104)</f>
        <v>20009.001301018761</v>
      </c>
      <c r="D105" s="83">
        <f t="shared" ref="D105" si="31">IFERROR(C105/C$28,0)</f>
        <v>0.10614854801601464</v>
      </c>
      <c r="E105" s="82">
        <f>SUM(E52:E104)</f>
        <v>19217.344903657628</v>
      </c>
      <c r="F105" s="83">
        <f t="shared" ref="F105" si="32">IFERROR(E105/E$28,0)</f>
        <v>9.9949783656616359E-2</v>
      </c>
      <c r="G105" s="82">
        <f>SUM(G52:G104)</f>
        <v>19781.364310202927</v>
      </c>
      <c r="H105" s="83">
        <f t="shared" ref="H105" si="33">IFERROR(G105/G$28,0)</f>
        <v>0.10086594071757204</v>
      </c>
      <c r="I105" s="82">
        <f>SUM(I52:I104)</f>
        <v>20116.487861376085</v>
      </c>
      <c r="J105" s="83">
        <f t="shared" ref="J105" si="34">IFERROR(I105/I$28,0)</f>
        <v>0.10056347906853685</v>
      </c>
      <c r="K105" s="82">
        <f>SUM(K52:K104)</f>
        <v>20453.157960204189</v>
      </c>
      <c r="L105" s="83">
        <f t="shared" ref="L105" si="35">IFERROR(K105/K$28,0)</f>
        <v>0.10024167867019856</v>
      </c>
      <c r="M105" s="82">
        <f>SUM(M52:M104)</f>
        <v>20813.481341382001</v>
      </c>
      <c r="N105" s="83">
        <f t="shared" ref="N105" si="36">IFERROR(M105/M$28,0)</f>
        <v>0.10000748705946826</v>
      </c>
      <c r="O105" s="82">
        <f>SUM(O52:O104)</f>
        <v>21181.044962527187</v>
      </c>
      <c r="P105" s="83">
        <f t="shared" ref="P105" si="37">IFERROR(O105/O$28,0)</f>
        <v>9.9778046533279305E-2</v>
      </c>
      <c r="Q105" s="82">
        <f>SUM(Q52:Q104)</f>
        <v>21555.92960052843</v>
      </c>
      <c r="R105" s="83">
        <f t="shared" ref="R105" si="38">IFERROR(Q105/Q$28,0)</f>
        <v>9.9552965109946864E-2</v>
      </c>
      <c r="S105" s="82">
        <f>SUM(S52:S104)</f>
        <v>21938.219112751282</v>
      </c>
      <c r="T105" s="83">
        <f t="shared" ref="T105" si="39">IFERROR(S105/S$28,0)</f>
        <v>9.9331876784042927E-2</v>
      </c>
      <c r="U105" s="82">
        <f>SUM(U52:U104)</f>
        <v>22402.47263357928</v>
      </c>
      <c r="V105" s="83">
        <f t="shared" si="30"/>
        <v>9.9445023579393027E-2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42643.526698981237</v>
      </c>
      <c r="D107" s="83">
        <f>IFERROR(C107/C$28,0)</f>
        <v>0.22622560583013918</v>
      </c>
      <c r="E107" s="82">
        <f>E28-E33-E46-E105</f>
        <v>45923.383096342368</v>
      </c>
      <c r="F107" s="83">
        <f>IFERROR(E107/E$28,0)</f>
        <v>0.23884840638863247</v>
      </c>
      <c r="G107" s="82">
        <f>G28-G33-G46-G105</f>
        <v>47897.32768979705</v>
      </c>
      <c r="H107" s="83">
        <f>IFERROR(G107/G$28,0)</f>
        <v>0.24423032403267184</v>
      </c>
      <c r="I107" s="82">
        <f>I28-I33-I46-I105</f>
        <v>50150.927418623876</v>
      </c>
      <c r="J107" s="83">
        <f>IFERROR(I107/I$28,0)</f>
        <v>0.25070736872581983</v>
      </c>
      <c r="K107" s="82">
        <f>K28-K33-K46-K105</f>
        <v>52454.755065395773</v>
      </c>
      <c r="L107" s="83">
        <f>IFERROR(K107/K$28,0)</f>
        <v>0.25708268191250405</v>
      </c>
      <c r="M107" s="82">
        <f>M28-M33-M46-M105</f>
        <v>54787.739384729961</v>
      </c>
      <c r="N107" s="83">
        <f>IFERROR(M107/M$28,0)</f>
        <v>0.26325168998239706</v>
      </c>
      <c r="O107" s="82">
        <f>O28-O33-O46-O105</f>
        <v>57167.349618107008</v>
      </c>
      <c r="P107" s="83">
        <f>IFERROR(O107/O$28,0)</f>
        <v>0.26929957801756904</v>
      </c>
      <c r="Q107" s="82">
        <f>Q28-Q33-Q46-Q105</f>
        <v>59594.582311718448</v>
      </c>
      <c r="R107" s="83">
        <f>IFERROR(Q107/Q$28,0)</f>
        <v>0.27522901974382602</v>
      </c>
      <c r="S107" s="82">
        <f>S28-S33-S46-S105</f>
        <v>62070.45247774056</v>
      </c>
      <c r="T107" s="83">
        <f>IFERROR(S107/S$28,0)</f>
        <v>0.28104261817063647</v>
      </c>
      <c r="U107" s="82">
        <f>U28-U33-U46-U105</f>
        <v>64521.521828722383</v>
      </c>
      <c r="V107" s="83">
        <f>IFERROR(U107/U$28,0)</f>
        <v>0.28641232441539061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2" t="s">
        <v>437</v>
      </c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9" tint="-0.249977111117893"/>
  </sheetPr>
  <dimension ref="A1:V119"/>
  <sheetViews>
    <sheetView zoomScale="78" zoomScaleNormal="78" workbookViewId="0" xr3:uid="{9F66A7E2-B849-5D6C-B1FC-020341BD0769}">
      <selection activeCell="B38" sqref="B38"/>
    </sheetView>
  </sheetViews>
  <sheetFormatPr defaultColWidth="9.140625" defaultRowHeight="12.75" customHeight="1"/>
  <cols>
    <col min="1" max="1" width="9.5703125" style="2" customWidth="1"/>
    <col min="2" max="2" width="36.285156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3.7109375" style="2" bestFit="1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499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503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58"/>
      <c r="H3" s="159"/>
      <c r="I3" s="159"/>
      <c r="V3" s="32"/>
    </row>
    <row r="4" spans="1:22" ht="12.75" customHeight="1">
      <c r="A4" s="1" t="s">
        <v>346</v>
      </c>
      <c r="B4" s="109"/>
      <c r="D4" s="118" t="s">
        <v>347</v>
      </c>
      <c r="G4" s="158"/>
      <c r="H4" s="159"/>
      <c r="I4" s="159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89" t="s">
        <v>348</v>
      </c>
      <c r="B7" s="89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</row>
    <row r="8" spans="1:22" ht="12.75" customHeight="1">
      <c r="A8" s="90" t="s">
        <v>349</v>
      </c>
      <c r="B8" s="90"/>
      <c r="C8" s="91"/>
      <c r="D8" s="90"/>
      <c r="E8" s="91"/>
      <c r="F8" s="90"/>
      <c r="G8" s="91"/>
      <c r="H8" s="90"/>
      <c r="I8" s="91"/>
      <c r="J8" s="90"/>
      <c r="K8" s="91"/>
      <c r="L8" s="90"/>
      <c r="M8" s="91"/>
      <c r="N8" s="90"/>
      <c r="O8" s="91"/>
      <c r="P8" s="90"/>
      <c r="Q8" s="91"/>
      <c r="R8" s="90"/>
      <c r="S8" s="91"/>
      <c r="T8" s="90"/>
      <c r="U8" s="91"/>
      <c r="V8" s="90"/>
    </row>
    <row r="9" spans="1:22" ht="12.75" customHeight="1">
      <c r="A9" s="90"/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</row>
    <row r="10" spans="1:22" ht="12.75" customHeight="1">
      <c r="A10" s="90" t="s">
        <v>449</v>
      </c>
      <c r="B10" s="90"/>
      <c r="C10" s="91"/>
      <c r="D10" s="90"/>
      <c r="E10" s="91"/>
      <c r="F10" s="90"/>
      <c r="G10" s="91"/>
      <c r="H10" s="90"/>
      <c r="I10" s="91"/>
      <c r="J10" s="90"/>
      <c r="K10" s="91"/>
      <c r="L10" s="90"/>
      <c r="M10" s="91"/>
      <c r="N10" s="90"/>
      <c r="O10" s="91"/>
      <c r="P10" s="90"/>
      <c r="Q10" s="91"/>
      <c r="R10" s="90"/>
      <c r="S10" s="91"/>
      <c r="T10" s="90"/>
      <c r="U10" s="91"/>
      <c r="V10" s="90"/>
    </row>
    <row r="11" spans="1:22" ht="12.75" customHeight="1">
      <c r="A11" s="90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1:22" ht="12.75" customHeight="1">
      <c r="A12" s="90" t="s">
        <v>450</v>
      </c>
      <c r="B12" s="90"/>
      <c r="C12" s="92"/>
      <c r="D12" s="90"/>
      <c r="E12" s="92"/>
      <c r="F12" s="90"/>
      <c r="G12" s="92"/>
      <c r="H12" s="90"/>
      <c r="I12" s="92"/>
      <c r="J12" s="90"/>
      <c r="K12" s="92"/>
      <c r="L12" s="90"/>
      <c r="M12" s="92"/>
      <c r="N12" s="90"/>
      <c r="O12" s="92"/>
      <c r="P12" s="90"/>
      <c r="Q12" s="92"/>
      <c r="R12" s="90"/>
      <c r="S12" s="92"/>
      <c r="T12" s="90"/>
      <c r="U12" s="92"/>
      <c r="V12" s="90"/>
    </row>
    <row r="13" spans="1:22" ht="12.75" customHeight="1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1:22" ht="12.75" customHeight="1">
      <c r="A14" s="90" t="s">
        <v>451</v>
      </c>
      <c r="B14" s="90"/>
      <c r="C14" s="124">
        <f>C12*C10*C8</f>
        <v>0</v>
      </c>
      <c r="D14" s="90"/>
      <c r="E14" s="124">
        <f>E12*E10*E8</f>
        <v>0</v>
      </c>
      <c r="F14" s="90"/>
      <c r="G14" s="124">
        <f>G12*G10*G8</f>
        <v>0</v>
      </c>
      <c r="H14" s="90"/>
      <c r="I14" s="124">
        <f>I12*I10*I8</f>
        <v>0</v>
      </c>
      <c r="J14" s="90"/>
      <c r="K14" s="124">
        <f>K12*K10*K8</f>
        <v>0</v>
      </c>
      <c r="L14" s="90"/>
      <c r="M14" s="124">
        <f>M12*M10*M8</f>
        <v>0</v>
      </c>
      <c r="N14" s="90"/>
      <c r="O14" s="124">
        <f>O12*O10*O8</f>
        <v>0</v>
      </c>
      <c r="P14" s="90"/>
      <c r="Q14" s="124">
        <f>Q12*Q10*Q8</f>
        <v>0</v>
      </c>
      <c r="R14" s="90"/>
      <c r="S14" s="124">
        <f>S12*S10*S8</f>
        <v>0</v>
      </c>
      <c r="T14" s="90"/>
      <c r="U14" s="124">
        <f>U12*U10*U8</f>
        <v>0</v>
      </c>
      <c r="V14" s="90"/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2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2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</row>
    <row r="19" spans="1:22" ht="12.75" customHeight="1">
      <c r="A19" s="122" t="s">
        <v>356</v>
      </c>
      <c r="B19" s="35"/>
      <c r="C19" s="125">
        <f>'Catering MMC'!C19+'Catering BBC'!C19</f>
        <v>0</v>
      </c>
      <c r="D19" s="126">
        <f>IFERROR(C19/C$28,0)</f>
        <v>0</v>
      </c>
      <c r="E19" s="125">
        <f>'Catering MMC'!E19+'Catering BBC'!E19</f>
        <v>0</v>
      </c>
      <c r="F19" s="126">
        <f>IFERROR(E19/E$28,0)</f>
        <v>0</v>
      </c>
      <c r="G19" s="125">
        <f>'Catering MMC'!G19+'Catering BBC'!G19</f>
        <v>0</v>
      </c>
      <c r="H19" s="126">
        <f>IFERROR(G19/G$28,0)</f>
        <v>0</v>
      </c>
      <c r="I19" s="125">
        <f>'Catering MMC'!I19+'Catering BBC'!I19</f>
        <v>0</v>
      </c>
      <c r="J19" s="126">
        <f>IFERROR(I19/I$28,0)</f>
        <v>0</v>
      </c>
      <c r="K19" s="125">
        <f>'Catering MMC'!K19+'Catering BBC'!K19</f>
        <v>0</v>
      </c>
      <c r="L19" s="126">
        <f>IFERROR(K19/K$28,0)</f>
        <v>0</v>
      </c>
      <c r="M19" s="125">
        <f>'Catering MMC'!M19+'Catering BBC'!M19</f>
        <v>0</v>
      </c>
      <c r="N19" s="126">
        <f>IFERROR(M19/M$28,0)</f>
        <v>0</v>
      </c>
      <c r="O19" s="125">
        <f>'Catering MMC'!O19+'Catering BBC'!O19</f>
        <v>0</v>
      </c>
      <c r="P19" s="126">
        <f>IFERROR(O19/O$28,0)</f>
        <v>0</v>
      </c>
      <c r="Q19" s="125">
        <f>'Catering MMC'!Q19+'Catering BBC'!Q19</f>
        <v>0</v>
      </c>
      <c r="R19" s="126">
        <f>IFERROR(Q19/Q$28,0)</f>
        <v>0</v>
      </c>
      <c r="S19" s="125">
        <f>'Catering MMC'!S19+'Catering BBC'!S19</f>
        <v>0</v>
      </c>
      <c r="T19" s="126">
        <f>IFERROR(S19/S$28,0)</f>
        <v>0</v>
      </c>
      <c r="U19" s="125">
        <f>'Catering MMC'!U19+'Catering BBC'!U19</f>
        <v>0</v>
      </c>
      <c r="V19" s="126">
        <f>IFERROR(U19/U$28,0)</f>
        <v>0</v>
      </c>
    </row>
    <row r="20" spans="1:22" ht="12.75" customHeight="1">
      <c r="A20" s="122" t="s">
        <v>357</v>
      </c>
      <c r="B20" s="35"/>
      <c r="C20" s="125">
        <f>'Catering MMC'!C20+'Catering BBC'!C20</f>
        <v>0</v>
      </c>
      <c r="D20" s="126">
        <f>IFERROR(C20/C$28,0)</f>
        <v>0</v>
      </c>
      <c r="E20" s="125">
        <f>'Catering MMC'!E20+'Catering BBC'!E20</f>
        <v>0</v>
      </c>
      <c r="F20" s="126">
        <f>IFERROR(E20/E$28,0)</f>
        <v>0</v>
      </c>
      <c r="G20" s="125">
        <f>'Catering MMC'!G20+'Catering BBC'!G20</f>
        <v>0</v>
      </c>
      <c r="H20" s="126">
        <f>IFERROR(G20/G$28,0)</f>
        <v>0</v>
      </c>
      <c r="I20" s="125">
        <f>'Catering MMC'!I20+'Catering BBC'!I20</f>
        <v>0</v>
      </c>
      <c r="J20" s="126">
        <f>IFERROR(I20/I$28,0)</f>
        <v>0</v>
      </c>
      <c r="K20" s="125">
        <f>'Catering MMC'!K20+'Catering BBC'!K20</f>
        <v>0</v>
      </c>
      <c r="L20" s="126">
        <f>IFERROR(K20/K$28,0)</f>
        <v>0</v>
      </c>
      <c r="M20" s="125">
        <f>'Catering MMC'!M20+'Catering BBC'!M20</f>
        <v>0</v>
      </c>
      <c r="N20" s="126">
        <f>IFERROR(M20/M$28,0)</f>
        <v>0</v>
      </c>
      <c r="O20" s="125">
        <f>'Catering MMC'!O20+'Catering BBC'!O20</f>
        <v>0</v>
      </c>
      <c r="P20" s="126">
        <f>IFERROR(O20/O$28,0)</f>
        <v>0</v>
      </c>
      <c r="Q20" s="125">
        <f>'Catering MMC'!Q20+'Catering BBC'!Q20</f>
        <v>0</v>
      </c>
      <c r="R20" s="126">
        <f>IFERROR(Q20/Q$28,0)</f>
        <v>0</v>
      </c>
      <c r="S20" s="125">
        <f>'Catering MMC'!S20+'Catering BBC'!S20</f>
        <v>0</v>
      </c>
      <c r="T20" s="126">
        <f>IFERROR(S20/S$28,0)</f>
        <v>0</v>
      </c>
      <c r="U20" s="125">
        <f>'Catering MMC'!U20+'Catering BBC'!U20</f>
        <v>0</v>
      </c>
      <c r="V20" s="126">
        <f>IFERROR(U20/U$28,0)</f>
        <v>0</v>
      </c>
    </row>
    <row r="21" spans="1:22" ht="12.75" customHeight="1">
      <c r="A21" s="122" t="s">
        <v>358</v>
      </c>
      <c r="B21" s="35"/>
      <c r="C21" s="125">
        <f>'Catering MMC'!C21+'Catering BBC'!C21</f>
        <v>0</v>
      </c>
      <c r="D21" s="126">
        <f>IFERROR(C21/C$28,0)</f>
        <v>0</v>
      </c>
      <c r="E21" s="125">
        <f>'Catering MMC'!E21+'Catering BBC'!E21</f>
        <v>0</v>
      </c>
      <c r="F21" s="126">
        <f>IFERROR(E21/E$28,0)</f>
        <v>0</v>
      </c>
      <c r="G21" s="125">
        <f>'Catering MMC'!G21+'Catering BBC'!G21</f>
        <v>0</v>
      </c>
      <c r="H21" s="126">
        <f>IFERROR(G21/G$28,0)</f>
        <v>0</v>
      </c>
      <c r="I21" s="125">
        <f>'Catering MMC'!I21+'Catering BBC'!I21</f>
        <v>0</v>
      </c>
      <c r="J21" s="126">
        <f>IFERROR(I21/I$28,0)</f>
        <v>0</v>
      </c>
      <c r="K21" s="125">
        <f>'Catering MMC'!K21+'Catering BBC'!K21</f>
        <v>0</v>
      </c>
      <c r="L21" s="126">
        <f>IFERROR(K21/K$28,0)</f>
        <v>0</v>
      </c>
      <c r="M21" s="125">
        <f>'Catering MMC'!M21+'Catering BBC'!M21</f>
        <v>0</v>
      </c>
      <c r="N21" s="126">
        <f>IFERROR(M21/M$28,0)</f>
        <v>0</v>
      </c>
      <c r="O21" s="125">
        <f>'Catering MMC'!O21+'Catering BBC'!O21</f>
        <v>0</v>
      </c>
      <c r="P21" s="126">
        <f>IFERROR(O21/O$28,0)</f>
        <v>0</v>
      </c>
      <c r="Q21" s="125">
        <f>'Catering MMC'!Q21+'Catering BBC'!Q21</f>
        <v>0</v>
      </c>
      <c r="R21" s="126">
        <f>IFERROR(Q21/Q$28,0)</f>
        <v>0</v>
      </c>
      <c r="S21" s="125">
        <f>'Catering MMC'!S21+'Catering BBC'!S21</f>
        <v>0</v>
      </c>
      <c r="T21" s="126">
        <f>IFERROR(S21/S$28,0)</f>
        <v>0</v>
      </c>
      <c r="U21" s="125">
        <f>'Catering MMC'!U21+'Catering BBC'!U21</f>
        <v>0</v>
      </c>
      <c r="V21" s="126">
        <f>IFERROR(U21/U$28,0)</f>
        <v>0</v>
      </c>
    </row>
    <row r="22" spans="1:22" ht="12.75" customHeight="1">
      <c r="A22" s="2" t="s">
        <v>359</v>
      </c>
      <c r="B22" s="35"/>
      <c r="C22" s="79"/>
      <c r="D22" s="80"/>
      <c r="E22" s="79"/>
      <c r="F22" s="80"/>
      <c r="G22" s="79"/>
      <c r="H22" s="80"/>
      <c r="I22" s="79"/>
      <c r="J22" s="80"/>
      <c r="K22" s="79"/>
      <c r="L22" s="80"/>
      <c r="M22" s="79"/>
      <c r="N22" s="80"/>
      <c r="O22" s="79"/>
      <c r="P22" s="80"/>
      <c r="Q22" s="79"/>
      <c r="R22" s="80"/>
      <c r="S22" s="79"/>
      <c r="T22" s="80"/>
      <c r="U22" s="79"/>
      <c r="V22" s="80"/>
    </row>
    <row r="23" spans="1:22" ht="12.75" customHeight="1">
      <c r="A23" s="122" t="s">
        <v>360</v>
      </c>
      <c r="B23" s="35"/>
      <c r="C23" s="125">
        <f>'Catering MMC'!C23+'Catering BBC'!C23</f>
        <v>0</v>
      </c>
      <c r="D23" s="126">
        <f t="shared" ref="D23:D28" si="0">IFERROR(C23/C$28,0)</f>
        <v>0</v>
      </c>
      <c r="E23" s="125">
        <f>'Catering MMC'!E23+'Catering BBC'!E23</f>
        <v>0</v>
      </c>
      <c r="F23" s="126">
        <f t="shared" ref="F23:F28" si="1">IFERROR(E23/E$28,0)</f>
        <v>0</v>
      </c>
      <c r="G23" s="125">
        <f>'Catering MMC'!G23+'Catering BBC'!G23</f>
        <v>0</v>
      </c>
      <c r="H23" s="126">
        <f t="shared" ref="H23:H28" si="2">IFERROR(G23/G$28,0)</f>
        <v>0</v>
      </c>
      <c r="I23" s="125">
        <f>'Catering MMC'!I23+'Catering BBC'!I23</f>
        <v>0</v>
      </c>
      <c r="J23" s="126">
        <f t="shared" ref="J23:J28" si="3">IFERROR(I23/I$28,0)</f>
        <v>0</v>
      </c>
      <c r="K23" s="125">
        <f>'Catering MMC'!K23+'Catering BBC'!K23</f>
        <v>0</v>
      </c>
      <c r="L23" s="126">
        <f t="shared" ref="L23:L28" si="4">IFERROR(K23/K$28,0)</f>
        <v>0</v>
      </c>
      <c r="M23" s="125">
        <f>'Catering MMC'!M23+'Catering BBC'!M23</f>
        <v>0</v>
      </c>
      <c r="N23" s="126">
        <f t="shared" ref="N23:N28" si="5">IFERROR(M23/M$28,0)</f>
        <v>0</v>
      </c>
      <c r="O23" s="125">
        <f>'Catering MMC'!O23+'Catering BBC'!O23</f>
        <v>0</v>
      </c>
      <c r="P23" s="126">
        <f t="shared" ref="P23:P28" si="6">IFERROR(O23/O$28,0)</f>
        <v>0</v>
      </c>
      <c r="Q23" s="125">
        <f>'Catering MMC'!Q23+'Catering BBC'!Q23</f>
        <v>0</v>
      </c>
      <c r="R23" s="126">
        <f t="shared" ref="R23:R28" si="7">IFERROR(Q23/Q$28,0)</f>
        <v>0</v>
      </c>
      <c r="S23" s="125">
        <f>'Catering MMC'!S23+'Catering BBC'!S23</f>
        <v>0</v>
      </c>
      <c r="T23" s="126">
        <f t="shared" ref="T23:T28" si="8">IFERROR(S23/S$28,0)</f>
        <v>0</v>
      </c>
      <c r="U23" s="125">
        <f>'Catering MMC'!U23+'Catering BBC'!U23</f>
        <v>0</v>
      </c>
      <c r="V23" s="126">
        <f t="shared" ref="V23:V28" si="9">IFERROR(U23/U$28,0)</f>
        <v>0</v>
      </c>
    </row>
    <row r="24" spans="1:22" ht="12.75" customHeight="1">
      <c r="A24" s="122" t="s">
        <v>361</v>
      </c>
      <c r="B24" s="35"/>
      <c r="C24" s="125">
        <f>'Catering MMC'!C24+'Catering BBC'!C24</f>
        <v>0</v>
      </c>
      <c r="D24" s="126">
        <f t="shared" si="0"/>
        <v>0</v>
      </c>
      <c r="E24" s="125">
        <f>'Catering MMC'!E24+'Catering BBC'!E24</f>
        <v>0</v>
      </c>
      <c r="F24" s="126">
        <f t="shared" si="1"/>
        <v>0</v>
      </c>
      <c r="G24" s="125">
        <f>'Catering MMC'!G24+'Catering BBC'!G24</f>
        <v>0</v>
      </c>
      <c r="H24" s="126">
        <f t="shared" si="2"/>
        <v>0</v>
      </c>
      <c r="I24" s="125">
        <f>'Catering MMC'!I24+'Catering BBC'!I24</f>
        <v>0</v>
      </c>
      <c r="J24" s="126">
        <f t="shared" si="3"/>
        <v>0</v>
      </c>
      <c r="K24" s="125">
        <f>'Catering MMC'!K24+'Catering BBC'!K24</f>
        <v>0</v>
      </c>
      <c r="L24" s="126">
        <f t="shared" si="4"/>
        <v>0</v>
      </c>
      <c r="M24" s="125">
        <f>'Catering MMC'!M24+'Catering BBC'!M24</f>
        <v>0</v>
      </c>
      <c r="N24" s="126">
        <f t="shared" si="5"/>
        <v>0</v>
      </c>
      <c r="O24" s="125">
        <f>'Catering MMC'!O24+'Catering BBC'!O24</f>
        <v>0</v>
      </c>
      <c r="P24" s="126">
        <f t="shared" si="6"/>
        <v>0</v>
      </c>
      <c r="Q24" s="125">
        <f>'Catering MMC'!Q24+'Catering BBC'!Q24</f>
        <v>0</v>
      </c>
      <c r="R24" s="126">
        <f t="shared" si="7"/>
        <v>0</v>
      </c>
      <c r="S24" s="125">
        <f>'Catering MMC'!S24+'Catering BBC'!S24</f>
        <v>0</v>
      </c>
      <c r="T24" s="126">
        <f t="shared" si="8"/>
        <v>0</v>
      </c>
      <c r="U24" s="125">
        <f>'Catering MMC'!U24+'Catering BBC'!U24</f>
        <v>0</v>
      </c>
      <c r="V24" s="126">
        <f t="shared" si="9"/>
        <v>0</v>
      </c>
    </row>
    <row r="25" spans="1:22" ht="12.75" customHeight="1">
      <c r="A25" s="2" t="s">
        <v>362</v>
      </c>
      <c r="B25" s="35"/>
      <c r="C25" s="79">
        <f>'Catering MMC'!C25+'Catering BBC'!C25</f>
        <v>1141370</v>
      </c>
      <c r="D25" s="80">
        <f t="shared" si="0"/>
        <v>1</v>
      </c>
      <c r="E25" s="79">
        <f>'Catering MMC'!E25+'Catering BBC'!E25</f>
        <v>1178197.3999999999</v>
      </c>
      <c r="F25" s="80">
        <f t="shared" si="1"/>
        <v>1</v>
      </c>
      <c r="G25" s="79">
        <f>'Catering MMC'!G25+'Catering BBC'!G25</f>
        <v>1201761.348</v>
      </c>
      <c r="H25" s="80">
        <f t="shared" si="2"/>
        <v>1</v>
      </c>
      <c r="I25" s="79">
        <f>'Catering MMC'!I25+'Catering BBC'!I25</f>
        <v>1225796.5749600001</v>
      </c>
      <c r="J25" s="80">
        <f t="shared" si="3"/>
        <v>1</v>
      </c>
      <c r="K25" s="79">
        <f>'Catering MMC'!K25+'Catering BBC'!K25</f>
        <v>1250312.5064592003</v>
      </c>
      <c r="L25" s="80">
        <f t="shared" si="4"/>
        <v>1</v>
      </c>
      <c r="M25" s="79">
        <f>'Catering MMC'!M25+'Catering BBC'!M25</f>
        <v>1275318.756588384</v>
      </c>
      <c r="N25" s="80">
        <f t="shared" si="5"/>
        <v>1</v>
      </c>
      <c r="O25" s="79">
        <f>'Catering MMC'!O25+'Catering BBC'!O25</f>
        <v>1300825.1317201518</v>
      </c>
      <c r="P25" s="80">
        <f t="shared" si="6"/>
        <v>1</v>
      </c>
      <c r="Q25" s="79">
        <f>'Catering MMC'!Q25+'Catering BBC'!Q25</f>
        <v>1326841.6343545548</v>
      </c>
      <c r="R25" s="80">
        <f t="shared" si="7"/>
        <v>1</v>
      </c>
      <c r="S25" s="79">
        <f>'Catering MMC'!S25+'Catering BBC'!S25</f>
        <v>1353378.4670416459</v>
      </c>
      <c r="T25" s="80">
        <f t="shared" si="8"/>
        <v>1</v>
      </c>
      <c r="U25" s="79">
        <f>'Catering MMC'!U25+'Catering BBC'!U25</f>
        <v>1380446.0363824787</v>
      </c>
      <c r="V25" s="80">
        <f t="shared" si="9"/>
        <v>1</v>
      </c>
    </row>
    <row r="26" spans="1:22" ht="12.75" customHeight="1">
      <c r="A26" s="122" t="s">
        <v>363</v>
      </c>
      <c r="B26" s="35"/>
      <c r="C26" s="125">
        <f>'Catering MMC'!C26+'Catering BBC'!C26</f>
        <v>0</v>
      </c>
      <c r="D26" s="126">
        <f t="shared" si="0"/>
        <v>0</v>
      </c>
      <c r="E26" s="125">
        <f>'Catering MMC'!E26+'Catering BBC'!E26</f>
        <v>0</v>
      </c>
      <c r="F26" s="126">
        <f t="shared" si="1"/>
        <v>0</v>
      </c>
      <c r="G26" s="125">
        <f>'Catering MMC'!G26+'Catering BBC'!G26</f>
        <v>0</v>
      </c>
      <c r="H26" s="126">
        <f t="shared" si="2"/>
        <v>0</v>
      </c>
      <c r="I26" s="125">
        <f>'Catering MMC'!I26+'Catering BBC'!I26</f>
        <v>0</v>
      </c>
      <c r="J26" s="126">
        <f t="shared" si="3"/>
        <v>0</v>
      </c>
      <c r="K26" s="125">
        <f>'Catering MMC'!K26+'Catering BBC'!K26</f>
        <v>0</v>
      </c>
      <c r="L26" s="126">
        <f t="shared" si="4"/>
        <v>0</v>
      </c>
      <c r="M26" s="125">
        <f>'Catering MMC'!M26+'Catering BBC'!M26</f>
        <v>0</v>
      </c>
      <c r="N26" s="126">
        <f t="shared" si="5"/>
        <v>0</v>
      </c>
      <c r="O26" s="125">
        <f>'Catering MMC'!O26+'Catering BBC'!O26</f>
        <v>0</v>
      </c>
      <c r="P26" s="126">
        <f t="shared" si="6"/>
        <v>0</v>
      </c>
      <c r="Q26" s="125">
        <f>'Catering MMC'!Q26+'Catering BBC'!Q26</f>
        <v>0</v>
      </c>
      <c r="R26" s="126">
        <f t="shared" si="7"/>
        <v>0</v>
      </c>
      <c r="S26" s="125">
        <f>'Catering MMC'!S26+'Catering BBC'!S26</f>
        <v>0</v>
      </c>
      <c r="T26" s="126">
        <f t="shared" si="8"/>
        <v>0</v>
      </c>
      <c r="U26" s="125">
        <f>'Catering MMC'!U26+'Catering BBC'!U26</f>
        <v>0</v>
      </c>
      <c r="V26" s="126">
        <f t="shared" si="9"/>
        <v>0</v>
      </c>
    </row>
    <row r="27" spans="1:22" ht="12.75" customHeight="1">
      <c r="A27" s="2" t="s">
        <v>364</v>
      </c>
      <c r="B27" s="35"/>
      <c r="C27" s="81">
        <f>'Catering MMC'!C27+'Catering BBC'!C27</f>
        <v>0</v>
      </c>
      <c r="D27" s="80">
        <f t="shared" si="0"/>
        <v>0</v>
      </c>
      <c r="E27" s="81">
        <f>'Catering MMC'!E27+'Catering BBC'!E27</f>
        <v>0</v>
      </c>
      <c r="F27" s="80">
        <f t="shared" si="1"/>
        <v>0</v>
      </c>
      <c r="G27" s="81">
        <f>'Catering MMC'!G27+'Catering BBC'!G27</f>
        <v>0</v>
      </c>
      <c r="H27" s="80">
        <f t="shared" si="2"/>
        <v>0</v>
      </c>
      <c r="I27" s="81">
        <f>'Catering MMC'!I27+'Catering BBC'!I27</f>
        <v>0</v>
      </c>
      <c r="J27" s="80">
        <f t="shared" si="3"/>
        <v>0</v>
      </c>
      <c r="K27" s="81">
        <f>'Catering MMC'!K27+'Catering BBC'!K27</f>
        <v>0</v>
      </c>
      <c r="L27" s="80">
        <f t="shared" si="4"/>
        <v>0</v>
      </c>
      <c r="M27" s="81">
        <f>'Catering MMC'!M27+'Catering BBC'!M27</f>
        <v>0</v>
      </c>
      <c r="N27" s="80">
        <f t="shared" si="5"/>
        <v>0</v>
      </c>
      <c r="O27" s="81">
        <f>'Catering MMC'!O27+'Catering BBC'!O27</f>
        <v>0</v>
      </c>
      <c r="P27" s="80">
        <f t="shared" si="6"/>
        <v>0</v>
      </c>
      <c r="Q27" s="81">
        <f>'Catering MMC'!Q27+'Catering BBC'!Q27</f>
        <v>0</v>
      </c>
      <c r="R27" s="80">
        <f t="shared" si="7"/>
        <v>0</v>
      </c>
      <c r="S27" s="81">
        <f>'Catering MMC'!S27+'Catering BBC'!S27</f>
        <v>0</v>
      </c>
      <c r="T27" s="80">
        <f t="shared" si="8"/>
        <v>0</v>
      </c>
      <c r="U27" s="81">
        <f>'Catering MMC'!U27+'Catering BBC'!U27</f>
        <v>0</v>
      </c>
      <c r="V27" s="80">
        <f t="shared" si="9"/>
        <v>0</v>
      </c>
    </row>
    <row r="28" spans="1:22" ht="12.75" customHeight="1">
      <c r="A28" s="1" t="s">
        <v>365</v>
      </c>
      <c r="B28" s="53"/>
      <c r="C28" s="82">
        <f>SUM(C19:C27)</f>
        <v>1141370</v>
      </c>
      <c r="D28" s="83">
        <f t="shared" si="0"/>
        <v>1</v>
      </c>
      <c r="E28" s="82">
        <f>SUM(E19:E27)</f>
        <v>1178197.3999999999</v>
      </c>
      <c r="F28" s="83">
        <f t="shared" si="1"/>
        <v>1</v>
      </c>
      <c r="G28" s="82">
        <f>SUM(G19:G27)</f>
        <v>1201761.348</v>
      </c>
      <c r="H28" s="83">
        <f t="shared" si="2"/>
        <v>1</v>
      </c>
      <c r="I28" s="82">
        <f>SUM(I19:I27)</f>
        <v>1225796.5749600001</v>
      </c>
      <c r="J28" s="83">
        <f t="shared" si="3"/>
        <v>1</v>
      </c>
      <c r="K28" s="82">
        <f>SUM(K19:K27)</f>
        <v>1250312.5064592003</v>
      </c>
      <c r="L28" s="83">
        <f t="shared" si="4"/>
        <v>1</v>
      </c>
      <c r="M28" s="82">
        <f>SUM(M19:M27)</f>
        <v>1275318.756588384</v>
      </c>
      <c r="N28" s="83">
        <f t="shared" si="5"/>
        <v>1</v>
      </c>
      <c r="O28" s="82">
        <f>SUM(O19:O27)</f>
        <v>1300825.1317201518</v>
      </c>
      <c r="P28" s="83">
        <f t="shared" si="6"/>
        <v>1</v>
      </c>
      <c r="Q28" s="82">
        <f>SUM(Q19:Q27)</f>
        <v>1326841.6343545548</v>
      </c>
      <c r="R28" s="83">
        <f t="shared" si="7"/>
        <v>1</v>
      </c>
      <c r="S28" s="82">
        <f>SUM(S19:S27)</f>
        <v>1353378.4670416459</v>
      </c>
      <c r="T28" s="83">
        <f t="shared" si="8"/>
        <v>1</v>
      </c>
      <c r="U28" s="82">
        <f>SUM(U19:U27)</f>
        <v>1380446.0363824787</v>
      </c>
      <c r="V28" s="83">
        <f t="shared" si="9"/>
        <v>1</v>
      </c>
    </row>
    <row r="29" spans="1:22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2" ht="12.75" customHeight="1">
      <c r="A30" s="1" t="s">
        <v>366</v>
      </c>
      <c r="B30" s="53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2" ht="12.75" customHeight="1">
      <c r="A31" s="2" t="s">
        <v>367</v>
      </c>
      <c r="B31" s="35"/>
      <c r="C31" s="79">
        <f>'Catering MMC'!C31+'Catering BBC'!C31</f>
        <v>388065.80000000005</v>
      </c>
      <c r="D31" s="80">
        <f>IFERROR(C31/C$28,0)</f>
        <v>0.34</v>
      </c>
      <c r="E31" s="79">
        <f>'Catering MMC'!E31+'Catering BBC'!E31</f>
        <v>400587.11600000004</v>
      </c>
      <c r="F31" s="80">
        <f>IFERROR(E31/E$28,0)</f>
        <v>0.34000000000000008</v>
      </c>
      <c r="G31" s="79">
        <f>'Catering MMC'!G31+'Catering BBC'!G31</f>
        <v>408598.85832000012</v>
      </c>
      <c r="H31" s="80">
        <f>IFERROR(G31/G$28,0)</f>
        <v>0.34000000000000008</v>
      </c>
      <c r="I31" s="79">
        <f>'Catering MMC'!I31+'Catering BBC'!I31</f>
        <v>416770.83548640012</v>
      </c>
      <c r="J31" s="80">
        <f>IFERROR(I31/I$28,0)</f>
        <v>0.34000000000000008</v>
      </c>
      <c r="K31" s="79">
        <f>'Catering MMC'!K31+'Catering BBC'!K31</f>
        <v>425106.25219612819</v>
      </c>
      <c r="L31" s="80">
        <f>IFERROR(K31/K$28,0)</f>
        <v>0.34000000000000008</v>
      </c>
      <c r="M31" s="79">
        <f>'Catering MMC'!M31+'Catering BBC'!M31</f>
        <v>433608.3772400507</v>
      </c>
      <c r="N31" s="80">
        <f>IFERROR(M31/M$28,0)</f>
        <v>0.34000000000000008</v>
      </c>
      <c r="O31" s="79">
        <f>'Catering MMC'!O31+'Catering BBC'!O31</f>
        <v>442280.54478485166</v>
      </c>
      <c r="P31" s="80">
        <f>IFERROR(O31/O$28,0)</f>
        <v>0.34</v>
      </c>
      <c r="Q31" s="79">
        <f>'Catering MMC'!Q31+'Catering BBC'!Q31</f>
        <v>451126.15568054875</v>
      </c>
      <c r="R31" s="80">
        <f>IFERROR(Q31/Q$28,0)</f>
        <v>0.34000000000000008</v>
      </c>
      <c r="S31" s="79">
        <f>'Catering MMC'!S31+'Catering BBC'!S31</f>
        <v>460148.67879415973</v>
      </c>
      <c r="T31" s="80">
        <f>IFERROR(S31/S$28,0)</f>
        <v>0.34000000000000008</v>
      </c>
      <c r="U31" s="79">
        <f>'Catering MMC'!U31+'Catering BBC'!U31</f>
        <v>469351.65237004292</v>
      </c>
      <c r="V31" s="80">
        <f>IFERROR(U31/U$28,0)</f>
        <v>0.34000000000000014</v>
      </c>
    </row>
    <row r="32" spans="1:22" ht="12.75" customHeight="1">
      <c r="A32" s="8" t="s">
        <v>368</v>
      </c>
      <c r="B32" s="8"/>
      <c r="C32" s="81">
        <f>'Catering MMC'!C32+'Catering BBC'!C32</f>
        <v>0</v>
      </c>
      <c r="D32" s="80">
        <f>IFERROR(C32/C$28,0)</f>
        <v>0</v>
      </c>
      <c r="E32" s="81">
        <f>'Catering MMC'!E32+'Catering BBC'!E32</f>
        <v>0</v>
      </c>
      <c r="F32" s="80">
        <f>IFERROR(E32/E$28,0)</f>
        <v>0</v>
      </c>
      <c r="G32" s="81">
        <f>'Catering MMC'!G32+'Catering BBC'!G32</f>
        <v>0</v>
      </c>
      <c r="H32" s="80">
        <f>IFERROR(G32/G$28,0)</f>
        <v>0</v>
      </c>
      <c r="I32" s="81">
        <f>'Catering MMC'!I32+'Catering BBC'!I32</f>
        <v>0</v>
      </c>
      <c r="J32" s="80">
        <f>IFERROR(I32/I$28,0)</f>
        <v>0</v>
      </c>
      <c r="K32" s="81">
        <f>'Catering MMC'!K32+'Catering BBC'!K32</f>
        <v>0</v>
      </c>
      <c r="L32" s="80">
        <f>IFERROR(K32/K$28,0)</f>
        <v>0</v>
      </c>
      <c r="M32" s="81">
        <f>'Catering MMC'!M32+'Catering BBC'!M32</f>
        <v>0</v>
      </c>
      <c r="N32" s="80">
        <f>IFERROR(M32/M$28,0)</f>
        <v>0</v>
      </c>
      <c r="O32" s="81">
        <f>'Catering MMC'!O32+'Catering BBC'!O32</f>
        <v>0</v>
      </c>
      <c r="P32" s="80">
        <f>IFERROR(O32/O$28,0)</f>
        <v>0</v>
      </c>
      <c r="Q32" s="81">
        <f>'Catering MMC'!Q32+'Catering BBC'!Q32</f>
        <v>0</v>
      </c>
      <c r="R32" s="80">
        <f>IFERROR(Q32/Q$28,0)</f>
        <v>0</v>
      </c>
      <c r="S32" s="81">
        <f>'Catering MMC'!S32+'Catering BBC'!S32</f>
        <v>0</v>
      </c>
      <c r="T32" s="80">
        <f>IFERROR(S32/S$28,0)</f>
        <v>0</v>
      </c>
      <c r="U32" s="81">
        <f>'Catering MMC'!U32+'Catering BBC'!U32</f>
        <v>0</v>
      </c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388065.80000000005</v>
      </c>
      <c r="D33" s="83">
        <f>IFERROR(C33/C$28,0)</f>
        <v>0.34</v>
      </c>
      <c r="E33" s="82">
        <f>SUM(E31:E32)</f>
        <v>400587.11600000004</v>
      </c>
      <c r="F33" s="83">
        <f>IFERROR(E33/E$28,0)</f>
        <v>0.34000000000000008</v>
      </c>
      <c r="G33" s="82">
        <f>SUM(G31:G32)</f>
        <v>408598.85832000012</v>
      </c>
      <c r="H33" s="83">
        <f>IFERROR(G33/G$28,0)</f>
        <v>0.34000000000000008</v>
      </c>
      <c r="I33" s="82">
        <f>SUM(I31:I32)</f>
        <v>416770.83548640012</v>
      </c>
      <c r="J33" s="83">
        <f>IFERROR(I33/I$28,0)</f>
        <v>0.34000000000000008</v>
      </c>
      <c r="K33" s="82">
        <f>SUM(K31:K32)</f>
        <v>425106.25219612819</v>
      </c>
      <c r="L33" s="83">
        <f>IFERROR(K33/K$28,0)</f>
        <v>0.34000000000000008</v>
      </c>
      <c r="M33" s="82">
        <f>SUM(M31:M32)</f>
        <v>433608.3772400507</v>
      </c>
      <c r="N33" s="83">
        <f>IFERROR(M33/M$28,0)</f>
        <v>0.34000000000000008</v>
      </c>
      <c r="O33" s="82">
        <f>SUM(O31:O32)</f>
        <v>442280.54478485166</v>
      </c>
      <c r="P33" s="83">
        <f>IFERROR(O33/O$28,0)</f>
        <v>0.34</v>
      </c>
      <c r="Q33" s="82">
        <f>SUM(Q31:Q32)</f>
        <v>451126.15568054875</v>
      </c>
      <c r="R33" s="83">
        <f>IFERROR(Q33/Q$28,0)</f>
        <v>0.34000000000000008</v>
      </c>
      <c r="S33" s="82">
        <f>SUM(S31:S32)</f>
        <v>460148.67879415973</v>
      </c>
      <c r="T33" s="83">
        <f>IFERROR(S33/S$28,0)</f>
        <v>0.34000000000000008</v>
      </c>
      <c r="U33" s="82">
        <f>SUM(U31:U32)</f>
        <v>469351.65237004292</v>
      </c>
      <c r="V33" s="83">
        <f>IFERROR(U33/U$28,0)</f>
        <v>0.34000000000000014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79">
        <f>'Catering MMC'!C36+'Catering BBC'!C36</f>
        <v>170707</v>
      </c>
      <c r="D36" s="80">
        <f t="shared" ref="D36:D46" si="10">IFERROR(C36/C$28,0)</f>
        <v>0.14956324417147815</v>
      </c>
      <c r="E36" s="79">
        <f>'Catering MMC'!E36+'Catering BBC'!E36</f>
        <v>174121.14</v>
      </c>
      <c r="F36" s="80">
        <f t="shared" ref="F36:F46" si="11">IFERROR(E36/E$28,0)</f>
        <v>0.14778605011350393</v>
      </c>
      <c r="G36" s="79">
        <f>'Catering MMC'!G36+'Catering BBC'!G36</f>
        <v>177603.56280000001</v>
      </c>
      <c r="H36" s="80">
        <f t="shared" ref="H36:H46" si="12">IFERROR(G36/G$28,0)</f>
        <v>0.1477860501135039</v>
      </c>
      <c r="I36" s="79">
        <f>'Catering MMC'!I36+'Catering BBC'!I36</f>
        <v>181155.63405600001</v>
      </c>
      <c r="J36" s="80">
        <f t="shared" ref="J36:J46" si="13">IFERROR(I36/I$28,0)</f>
        <v>0.1477860501135039</v>
      </c>
      <c r="K36" s="79">
        <f>'Catering MMC'!K36+'Catering BBC'!K36</f>
        <v>184778.74673712</v>
      </c>
      <c r="L36" s="80">
        <f t="shared" ref="L36:L46" si="14">IFERROR(K36/K$28,0)</f>
        <v>0.14778605011350388</v>
      </c>
      <c r="M36" s="79">
        <f>'Catering MMC'!M36+'Catering BBC'!M36</f>
        <v>188474.32167186242</v>
      </c>
      <c r="N36" s="80">
        <f t="shared" ref="N36:N46" si="15">IFERROR(M36/M$28,0)</f>
        <v>0.1477860501135039</v>
      </c>
      <c r="O36" s="79">
        <f>'Catering MMC'!O36+'Catering BBC'!O36</f>
        <v>192243.80810529966</v>
      </c>
      <c r="P36" s="80">
        <f t="shared" ref="P36:P46" si="16">IFERROR(O36/O$28,0)</f>
        <v>0.1477860501135039</v>
      </c>
      <c r="Q36" s="79">
        <f>'Catering MMC'!Q36+'Catering BBC'!Q36</f>
        <v>196088.68426740565</v>
      </c>
      <c r="R36" s="80">
        <f t="shared" ref="R36:R46" si="17">IFERROR(Q36/Q$28,0)</f>
        <v>0.1477860501135039</v>
      </c>
      <c r="S36" s="79">
        <f>'Catering MMC'!S36+'Catering BBC'!S36</f>
        <v>200010.45795275376</v>
      </c>
      <c r="T36" s="80">
        <f t="shared" ref="T36:T46" si="18">IFERROR(S36/S$28,0)</f>
        <v>0.1477860501135039</v>
      </c>
      <c r="U36" s="79">
        <f>'Catering MMC'!U36+'Catering BBC'!U36</f>
        <v>204010.66711180884</v>
      </c>
      <c r="V36" s="80">
        <f t="shared" ref="V36:V46" si="19">IFERROR(U36/U$28,0)</f>
        <v>0.1477860501135039</v>
      </c>
    </row>
    <row r="37" spans="1:22" ht="12.75" customHeight="1">
      <c r="A37" s="2" t="s">
        <v>372</v>
      </c>
      <c r="B37" s="35"/>
      <c r="C37" s="79">
        <f>'Catering MMC'!C37+'Catering BBC'!C37</f>
        <v>296795</v>
      </c>
      <c r="D37" s="80">
        <f t="shared" si="10"/>
        <v>0.26003399423499829</v>
      </c>
      <c r="E37" s="79">
        <f>'Catering MMC'!E37+'Catering BBC'!E37</f>
        <v>301716.82</v>
      </c>
      <c r="F37" s="80">
        <f t="shared" si="11"/>
        <v>0.25608342031649367</v>
      </c>
      <c r="G37" s="79">
        <f>'Catering MMC'!G37+'Catering BBC'!G37</f>
        <v>306737.07640000002</v>
      </c>
      <c r="H37" s="80">
        <f t="shared" si="12"/>
        <v>0.2552395922122801</v>
      </c>
      <c r="I37" s="79">
        <f>'Catering MMC'!I37+'Catering BBC'!I37</f>
        <v>311857.73792800005</v>
      </c>
      <c r="J37" s="80">
        <f t="shared" si="13"/>
        <v>0.25441230975716872</v>
      </c>
      <c r="K37" s="79">
        <f>'Catering MMC'!K37+'Catering BBC'!K37</f>
        <v>317080.81268656004</v>
      </c>
      <c r="L37" s="80">
        <f t="shared" si="14"/>
        <v>0.25360124852666738</v>
      </c>
      <c r="M37" s="79">
        <f>'Catering MMC'!M37+'Catering BBC'!M37</f>
        <v>322408.34894029127</v>
      </c>
      <c r="N37" s="80">
        <f t="shared" si="15"/>
        <v>0.25280609045754848</v>
      </c>
      <c r="O37" s="79">
        <f>'Catering MMC'!O37+'Catering BBC'!O37</f>
        <v>327842.4359190971</v>
      </c>
      <c r="P37" s="80">
        <f t="shared" si="16"/>
        <v>0.25202652372311812</v>
      </c>
      <c r="Q37" s="79">
        <f>'Catering MMC'!Q37+'Catering BBC'!Q37</f>
        <v>333385.20463747904</v>
      </c>
      <c r="R37" s="80">
        <f t="shared" si="17"/>
        <v>0.2512622426109315</v>
      </c>
      <c r="S37" s="79">
        <f>'Catering MMC'!S37+'Catering BBC'!S37</f>
        <v>339038.82873022865</v>
      </c>
      <c r="T37" s="80">
        <f t="shared" si="18"/>
        <v>0.25051294740290547</v>
      </c>
      <c r="U37" s="79">
        <f>'Catering MMC'!U37+'Catering BBC'!U37</f>
        <v>344805.52530483325</v>
      </c>
      <c r="V37" s="80">
        <f t="shared" si="19"/>
        <v>0.24977834425778189</v>
      </c>
    </row>
    <row r="38" spans="1:22" ht="12.75" customHeight="1">
      <c r="A38" s="2" t="s">
        <v>373</v>
      </c>
      <c r="B38" s="35"/>
      <c r="C38" s="79">
        <f>'Catering MMC'!C38+'Catering BBC'!C38</f>
        <v>0</v>
      </c>
      <c r="D38" s="80">
        <f t="shared" si="10"/>
        <v>0</v>
      </c>
      <c r="E38" s="79">
        <f>'Catering MMC'!E38+'Catering BBC'!E38</f>
        <v>0</v>
      </c>
      <c r="F38" s="80">
        <f t="shared" si="11"/>
        <v>0</v>
      </c>
      <c r="G38" s="79">
        <f>'Catering MMC'!G38+'Catering BBC'!G38</f>
        <v>0</v>
      </c>
      <c r="H38" s="80">
        <f t="shared" si="12"/>
        <v>0</v>
      </c>
      <c r="I38" s="79">
        <f>'Catering MMC'!I38+'Catering BBC'!I38</f>
        <v>0</v>
      </c>
      <c r="J38" s="80">
        <f t="shared" si="13"/>
        <v>0</v>
      </c>
      <c r="K38" s="79">
        <f>'Catering MMC'!K38+'Catering BBC'!K38</f>
        <v>0</v>
      </c>
      <c r="L38" s="80">
        <f t="shared" si="14"/>
        <v>0</v>
      </c>
      <c r="M38" s="79">
        <f>'Catering MMC'!M38+'Catering BBC'!M38</f>
        <v>0</v>
      </c>
      <c r="N38" s="80">
        <f t="shared" si="15"/>
        <v>0</v>
      </c>
      <c r="O38" s="79">
        <f>'Catering MMC'!O38+'Catering BBC'!O38</f>
        <v>0</v>
      </c>
      <c r="P38" s="80">
        <f t="shared" si="16"/>
        <v>0</v>
      </c>
      <c r="Q38" s="79">
        <f>'Catering MMC'!Q38+'Catering BBC'!Q38</f>
        <v>0</v>
      </c>
      <c r="R38" s="80">
        <f t="shared" si="17"/>
        <v>0</v>
      </c>
      <c r="S38" s="79">
        <f>'Catering MMC'!S38+'Catering BBC'!S38</f>
        <v>0</v>
      </c>
      <c r="T38" s="80">
        <f t="shared" si="18"/>
        <v>0</v>
      </c>
      <c r="U38" s="79">
        <f>'Catering MMC'!U38+'Catering BBC'!U38</f>
        <v>0</v>
      </c>
      <c r="V38" s="80">
        <f t="shared" si="19"/>
        <v>0</v>
      </c>
    </row>
    <row r="39" spans="1:22" ht="12.75" customHeight="1">
      <c r="A39" s="2" t="s">
        <v>374</v>
      </c>
      <c r="B39" s="35"/>
      <c r="C39" s="79">
        <f>'Catering MMC'!C39+'Catering BBC'!C39</f>
        <v>26430</v>
      </c>
      <c r="D39" s="80">
        <f t="shared" si="10"/>
        <v>2.3156382242392914E-2</v>
      </c>
      <c r="E39" s="79">
        <f>'Catering MMC'!E39+'Catering BBC'!E39</f>
        <v>26958.600000000002</v>
      </c>
      <c r="F39" s="80">
        <f t="shared" si="11"/>
        <v>2.2881225166512847E-2</v>
      </c>
      <c r="G39" s="79">
        <f>'Catering MMC'!G39+'Catering BBC'!G39</f>
        <v>27497.772000000004</v>
      </c>
      <c r="H39" s="80">
        <f t="shared" si="12"/>
        <v>2.2881225166512847E-2</v>
      </c>
      <c r="I39" s="79">
        <f>'Catering MMC'!I39+'Catering BBC'!I39</f>
        <v>28047.727440000006</v>
      </c>
      <c r="J39" s="80">
        <f t="shared" si="13"/>
        <v>2.2881225166512847E-2</v>
      </c>
      <c r="K39" s="79">
        <f>'Catering MMC'!K39+'Catering BBC'!K39</f>
        <v>28608.681988800006</v>
      </c>
      <c r="L39" s="80">
        <f t="shared" si="14"/>
        <v>2.2881225166512843E-2</v>
      </c>
      <c r="M39" s="79">
        <f>'Catering MMC'!M39+'Catering BBC'!M39</f>
        <v>29180.855628576006</v>
      </c>
      <c r="N39" s="80">
        <f t="shared" si="15"/>
        <v>2.2881225166512847E-2</v>
      </c>
      <c r="O39" s="79">
        <f>'Catering MMC'!O39+'Catering BBC'!O39</f>
        <v>29764.472741147525</v>
      </c>
      <c r="P39" s="80">
        <f t="shared" si="16"/>
        <v>2.2881225166512847E-2</v>
      </c>
      <c r="Q39" s="79">
        <f>'Catering MMC'!Q39+'Catering BBC'!Q39</f>
        <v>30359.762195970477</v>
      </c>
      <c r="R39" s="80">
        <f t="shared" si="17"/>
        <v>2.2881225166512847E-2</v>
      </c>
      <c r="S39" s="79">
        <f>'Catering MMC'!S39+'Catering BBC'!S39</f>
        <v>30966.957439889888</v>
      </c>
      <c r="T39" s="80">
        <f t="shared" si="18"/>
        <v>2.2881225166512847E-2</v>
      </c>
      <c r="U39" s="79">
        <f>'Catering MMC'!U39+'Catering BBC'!U39</f>
        <v>31586.296588687685</v>
      </c>
      <c r="V39" s="80">
        <f t="shared" si="19"/>
        <v>2.288122516651285E-2</v>
      </c>
    </row>
    <row r="40" spans="1:22" ht="12.75" customHeight="1">
      <c r="A40" s="2" t="s">
        <v>375</v>
      </c>
      <c r="B40" s="35"/>
      <c r="C40" s="79">
        <f>'Catering MMC'!C40+'Catering BBC'!C40</f>
        <v>21167.668000000001</v>
      </c>
      <c r="D40" s="80">
        <f t="shared" si="10"/>
        <v>1.8545842277263289E-2</v>
      </c>
      <c r="E40" s="79">
        <f>'Catering MMC'!E40+'Catering BBC'!E40</f>
        <v>21591.021360000002</v>
      </c>
      <c r="F40" s="80">
        <f t="shared" si="11"/>
        <v>1.8325470214074487E-2</v>
      </c>
      <c r="G40" s="79">
        <f>'Catering MMC'!G40+'Catering BBC'!G40</f>
        <v>22022.841787200003</v>
      </c>
      <c r="H40" s="80">
        <f t="shared" si="12"/>
        <v>1.8325470214074487E-2</v>
      </c>
      <c r="I40" s="79">
        <f>'Catering MMC'!I40+'Catering BBC'!I40</f>
        <v>22463.298622943999</v>
      </c>
      <c r="J40" s="80">
        <f t="shared" si="13"/>
        <v>1.832547021407448E-2</v>
      </c>
      <c r="K40" s="79">
        <f>'Catering MMC'!K40+'Catering BBC'!K40</f>
        <v>22912.564595402881</v>
      </c>
      <c r="L40" s="80">
        <f t="shared" si="14"/>
        <v>1.832547021407448E-2</v>
      </c>
      <c r="M40" s="79">
        <f>'Catering MMC'!M40+'Catering BBC'!M40</f>
        <v>23370.815887310939</v>
      </c>
      <c r="N40" s="80">
        <f t="shared" si="15"/>
        <v>1.8325470214074484E-2</v>
      </c>
      <c r="O40" s="79">
        <f>'Catering MMC'!O40+'Catering BBC'!O40</f>
        <v>23838.232205057157</v>
      </c>
      <c r="P40" s="80">
        <f t="shared" si="16"/>
        <v>1.8325470214074484E-2</v>
      </c>
      <c r="Q40" s="79">
        <f>'Catering MMC'!Q40+'Catering BBC'!Q40</f>
        <v>24314.996849158302</v>
      </c>
      <c r="R40" s="80">
        <f t="shared" si="17"/>
        <v>1.8325470214074484E-2</v>
      </c>
      <c r="S40" s="79">
        <f>'Catering MMC'!S40+'Catering BBC'!S40</f>
        <v>24801.296786141465</v>
      </c>
      <c r="T40" s="80">
        <f t="shared" si="18"/>
        <v>1.8325470214074484E-2</v>
      </c>
      <c r="U40" s="79">
        <f>'Catering MMC'!U40+'Catering BBC'!U40</f>
        <v>25297.322721864297</v>
      </c>
      <c r="V40" s="80">
        <f t="shared" si="19"/>
        <v>1.8325470214074487E-2</v>
      </c>
    </row>
    <row r="41" spans="1:22" ht="12.75" customHeight="1">
      <c r="A41" s="2" t="s">
        <v>376</v>
      </c>
      <c r="B41" s="35"/>
      <c r="C41" s="79">
        <f>'Catering MMC'!C41+'Catering BBC'!C41</f>
        <v>36802.58</v>
      </c>
      <c r="D41" s="80">
        <f t="shared" si="10"/>
        <v>3.2244215285139786E-2</v>
      </c>
      <c r="E41" s="79">
        <f>'Catering MMC'!E41+'Catering BBC'!E41</f>
        <v>37412.885679999999</v>
      </c>
      <c r="F41" s="80">
        <f t="shared" si="11"/>
        <v>3.1754344119245215E-2</v>
      </c>
      <c r="G41" s="79">
        <f>'Catering MMC'!G41+'Catering BBC'!G41</f>
        <v>38035.397473600002</v>
      </c>
      <c r="H41" s="80">
        <f t="shared" si="12"/>
        <v>3.1649709434322729E-2</v>
      </c>
      <c r="I41" s="79">
        <f>'Catering MMC'!I41+'Catering BBC'!I41</f>
        <v>38670.359503072003</v>
      </c>
      <c r="J41" s="80">
        <f t="shared" si="13"/>
        <v>3.1547126409888923E-2</v>
      </c>
      <c r="K41" s="79">
        <f>'Catering MMC'!K41+'Catering BBC'!K41</f>
        <v>39318.020773133445</v>
      </c>
      <c r="L41" s="80">
        <f t="shared" si="14"/>
        <v>3.1446554817306752E-2</v>
      </c>
      <c r="M41" s="79">
        <f>'Catering MMC'!M41+'Catering BBC'!M41</f>
        <v>39978.635268596117</v>
      </c>
      <c r="N41" s="80">
        <f t="shared" si="15"/>
        <v>3.1347955216736015E-2</v>
      </c>
      <c r="O41" s="79">
        <f>'Catering MMC'!O41+'Catering BBC'!O41</f>
        <v>40652.46205396804</v>
      </c>
      <c r="P41" s="80">
        <f t="shared" si="16"/>
        <v>3.125128894166665E-2</v>
      </c>
      <c r="Q41" s="79">
        <f>'Catering MMC'!Q41+'Catering BBC'!Q41</f>
        <v>41339.765375047406</v>
      </c>
      <c r="R41" s="80">
        <f t="shared" si="17"/>
        <v>3.1156518083755511E-2</v>
      </c>
      <c r="S41" s="79">
        <f>'Catering MMC'!S41+'Catering BBC'!S41</f>
        <v>42040.814762548354</v>
      </c>
      <c r="T41" s="80">
        <f t="shared" si="18"/>
        <v>3.1063605477960277E-2</v>
      </c>
      <c r="U41" s="79">
        <f>'Catering MMC'!U41+'Catering BBC'!U41</f>
        <v>42755.885137799327</v>
      </c>
      <c r="V41" s="80">
        <f t="shared" si="19"/>
        <v>3.0972514687964955E-2</v>
      </c>
    </row>
    <row r="42" spans="1:22" ht="12.75" customHeight="1">
      <c r="A42" s="2" t="s">
        <v>377</v>
      </c>
      <c r="B42" s="35"/>
      <c r="C42" s="79">
        <f>'Catering MMC'!C42+'Catering BBC'!C42</f>
        <v>0</v>
      </c>
      <c r="D42" s="80">
        <f t="shared" si="10"/>
        <v>0</v>
      </c>
      <c r="E42" s="79">
        <f>'Catering MMC'!E42+'Catering BBC'!E42</f>
        <v>0</v>
      </c>
      <c r="F42" s="80">
        <f t="shared" si="11"/>
        <v>0</v>
      </c>
      <c r="G42" s="79">
        <f>'Catering MMC'!G42+'Catering BBC'!G42</f>
        <v>0</v>
      </c>
      <c r="H42" s="80">
        <f t="shared" si="12"/>
        <v>0</v>
      </c>
      <c r="I42" s="79">
        <f>'Catering MMC'!I42+'Catering BBC'!I42</f>
        <v>0</v>
      </c>
      <c r="J42" s="80">
        <f t="shared" si="13"/>
        <v>0</v>
      </c>
      <c r="K42" s="79">
        <f>'Catering MMC'!K42+'Catering BBC'!K42</f>
        <v>0</v>
      </c>
      <c r="L42" s="80">
        <f t="shared" si="14"/>
        <v>0</v>
      </c>
      <c r="M42" s="79">
        <f>'Catering MMC'!M42+'Catering BBC'!M42</f>
        <v>0</v>
      </c>
      <c r="N42" s="80">
        <f t="shared" si="15"/>
        <v>0</v>
      </c>
      <c r="O42" s="79">
        <f>'Catering MMC'!O42+'Catering BBC'!O42</f>
        <v>0</v>
      </c>
      <c r="P42" s="80">
        <f t="shared" si="16"/>
        <v>0</v>
      </c>
      <c r="Q42" s="79">
        <f>'Catering MMC'!Q42+'Catering BBC'!Q42</f>
        <v>0</v>
      </c>
      <c r="R42" s="80">
        <f t="shared" si="17"/>
        <v>0</v>
      </c>
      <c r="S42" s="79">
        <f>'Catering MMC'!S42+'Catering BBC'!S42</f>
        <v>0</v>
      </c>
      <c r="T42" s="80">
        <f t="shared" si="18"/>
        <v>0</v>
      </c>
      <c r="U42" s="79">
        <f>'Catering MMC'!U42+'Catering BBC'!U42</f>
        <v>0</v>
      </c>
      <c r="V42" s="80">
        <f t="shared" si="19"/>
        <v>0</v>
      </c>
    </row>
    <row r="43" spans="1:22" ht="12.75" customHeight="1">
      <c r="A43" s="2" t="s">
        <v>378</v>
      </c>
      <c r="B43" s="35"/>
      <c r="C43" s="79">
        <f>'Catering MMC'!C43+'Catering BBC'!C43</f>
        <v>0</v>
      </c>
      <c r="D43" s="80">
        <f t="shared" si="10"/>
        <v>0</v>
      </c>
      <c r="E43" s="79">
        <f>'Catering MMC'!E43+'Catering BBC'!E43</f>
        <v>0</v>
      </c>
      <c r="F43" s="80">
        <f t="shared" si="11"/>
        <v>0</v>
      </c>
      <c r="G43" s="79">
        <f>'Catering MMC'!G43+'Catering BBC'!G43</f>
        <v>0</v>
      </c>
      <c r="H43" s="80">
        <f t="shared" si="12"/>
        <v>0</v>
      </c>
      <c r="I43" s="79">
        <f>'Catering MMC'!I43+'Catering BBC'!I43</f>
        <v>0</v>
      </c>
      <c r="J43" s="80">
        <f t="shared" si="13"/>
        <v>0</v>
      </c>
      <c r="K43" s="79">
        <f>'Catering MMC'!K43+'Catering BBC'!K43</f>
        <v>0</v>
      </c>
      <c r="L43" s="80">
        <f t="shared" si="14"/>
        <v>0</v>
      </c>
      <c r="M43" s="79">
        <f>'Catering MMC'!M43+'Catering BBC'!M43</f>
        <v>0</v>
      </c>
      <c r="N43" s="80">
        <f t="shared" si="15"/>
        <v>0</v>
      </c>
      <c r="O43" s="79">
        <f>'Catering MMC'!O43+'Catering BBC'!O43</f>
        <v>0</v>
      </c>
      <c r="P43" s="80">
        <f t="shared" si="16"/>
        <v>0</v>
      </c>
      <c r="Q43" s="79">
        <f>'Catering MMC'!Q43+'Catering BBC'!Q43</f>
        <v>0</v>
      </c>
      <c r="R43" s="80">
        <f t="shared" si="17"/>
        <v>0</v>
      </c>
      <c r="S43" s="79">
        <f>'Catering MMC'!S43+'Catering BBC'!S43</f>
        <v>0</v>
      </c>
      <c r="T43" s="80">
        <f t="shared" si="18"/>
        <v>0</v>
      </c>
      <c r="U43" s="79">
        <f>'Catering MMC'!U43+'Catering BBC'!U43</f>
        <v>0</v>
      </c>
      <c r="V43" s="80">
        <f t="shared" si="19"/>
        <v>0</v>
      </c>
    </row>
    <row r="44" spans="1:22" ht="12.75" customHeight="1">
      <c r="A44" s="2" t="s">
        <v>379</v>
      </c>
      <c r="B44" s="35"/>
      <c r="C44" s="79">
        <f>'Catering MMC'!C44+'Catering BBC'!C44</f>
        <v>0</v>
      </c>
      <c r="D44" s="80">
        <f t="shared" si="10"/>
        <v>0</v>
      </c>
      <c r="E44" s="79">
        <f>'Catering MMC'!E44+'Catering BBC'!E44</f>
        <v>0</v>
      </c>
      <c r="F44" s="80">
        <f t="shared" si="11"/>
        <v>0</v>
      </c>
      <c r="G44" s="79">
        <f>'Catering MMC'!G44+'Catering BBC'!G44</f>
        <v>0</v>
      </c>
      <c r="H44" s="80">
        <f t="shared" si="12"/>
        <v>0</v>
      </c>
      <c r="I44" s="79">
        <f>'Catering MMC'!I44+'Catering BBC'!I44</f>
        <v>0</v>
      </c>
      <c r="J44" s="80">
        <f t="shared" si="13"/>
        <v>0</v>
      </c>
      <c r="K44" s="79">
        <f>'Catering MMC'!K44+'Catering BBC'!K44</f>
        <v>0</v>
      </c>
      <c r="L44" s="80">
        <f t="shared" si="14"/>
        <v>0</v>
      </c>
      <c r="M44" s="79">
        <f>'Catering MMC'!M44+'Catering BBC'!M44</f>
        <v>0</v>
      </c>
      <c r="N44" s="80">
        <f t="shared" si="15"/>
        <v>0</v>
      </c>
      <c r="O44" s="79">
        <f>'Catering MMC'!O44+'Catering BBC'!O44</f>
        <v>0</v>
      </c>
      <c r="P44" s="80">
        <f t="shared" si="16"/>
        <v>0</v>
      </c>
      <c r="Q44" s="79">
        <f>'Catering MMC'!Q44+'Catering BBC'!Q44</f>
        <v>0</v>
      </c>
      <c r="R44" s="80">
        <f t="shared" si="17"/>
        <v>0</v>
      </c>
      <c r="S44" s="79">
        <f>'Catering MMC'!S44+'Catering BBC'!S44</f>
        <v>0</v>
      </c>
      <c r="T44" s="80">
        <f t="shared" si="18"/>
        <v>0</v>
      </c>
      <c r="U44" s="79">
        <f>'Catering MMC'!U44+'Catering BBC'!U44</f>
        <v>0</v>
      </c>
      <c r="V44" s="80">
        <f t="shared" si="19"/>
        <v>0</v>
      </c>
    </row>
    <row r="45" spans="1:22" ht="12.75" customHeight="1">
      <c r="A45" s="2" t="s">
        <v>380</v>
      </c>
      <c r="B45" s="35"/>
      <c r="C45" s="81">
        <f>'Catering MMC'!C45+'Catering BBC'!C45</f>
        <v>46429.608</v>
      </c>
      <c r="D45" s="80">
        <f t="shared" si="10"/>
        <v>4.067884034099372E-2</v>
      </c>
      <c r="E45" s="81">
        <f>'Catering MMC'!E45+'Catering BBC'!E45</f>
        <v>47262.876640000002</v>
      </c>
      <c r="F45" s="80">
        <f t="shared" si="11"/>
        <v>4.0114565386071985E-2</v>
      </c>
      <c r="G45" s="81">
        <f>'Catering MMC'!G45+'Catering BBC'!G45</f>
        <v>48112.810652799999</v>
      </c>
      <c r="H45" s="80">
        <f t="shared" si="12"/>
        <v>4.0035245544275899E-2</v>
      </c>
      <c r="I45" s="81">
        <f>'Catering MMC'!I45+'Catering BBC'!I45</f>
        <v>48979.743345856004</v>
      </c>
      <c r="J45" s="80">
        <f t="shared" si="13"/>
        <v>3.9957480993495435E-2</v>
      </c>
      <c r="K45" s="81">
        <f>'Catering MMC'!K45+'Catering BBC'!K45</f>
        <v>49864.014692773126</v>
      </c>
      <c r="L45" s="80">
        <f t="shared" si="14"/>
        <v>3.9881241237828303E-2</v>
      </c>
      <c r="M45" s="81">
        <f>'Catering MMC'!M45+'Catering BBC'!M45</f>
        <v>50765.971466628594</v>
      </c>
      <c r="N45" s="80">
        <f t="shared" si="15"/>
        <v>3.9806496379331133E-2</v>
      </c>
      <c r="O45" s="81">
        <f>'Catering MMC'!O45+'Catering BBC'!O45</f>
        <v>51685.967375961161</v>
      </c>
      <c r="P45" s="80">
        <f t="shared" si="16"/>
        <v>3.9733217106294676E-2</v>
      </c>
      <c r="Q45" s="81">
        <f>'Catering MMC'!Q45+'Catering BBC'!Q45</f>
        <v>52624.363203480381</v>
      </c>
      <c r="R45" s="80">
        <f t="shared" si="17"/>
        <v>3.9661374681749136E-2</v>
      </c>
      <c r="S45" s="81">
        <f>'Catering MMC'!S45+'Catering BBC'!S45</f>
        <v>53581.526947549995</v>
      </c>
      <c r="T45" s="80">
        <f t="shared" si="18"/>
        <v>3.9590940932194688E-2</v>
      </c>
      <c r="U45" s="81">
        <f>'Catering MMC'!U45+'Catering BBC'!U45</f>
        <v>54557.833966500999</v>
      </c>
      <c r="V45" s="80">
        <f t="shared" si="19"/>
        <v>3.9521888236553074E-2</v>
      </c>
    </row>
    <row r="46" spans="1:22" ht="12.75" customHeight="1">
      <c r="A46" s="1" t="s">
        <v>381</v>
      </c>
      <c r="B46" s="53"/>
      <c r="C46" s="82">
        <f>SUM(C36:C45)</f>
        <v>598331.85600000003</v>
      </c>
      <c r="D46" s="83">
        <f t="shared" si="10"/>
        <v>0.5242225185522662</v>
      </c>
      <c r="E46" s="82">
        <f>SUM(E36:E45)</f>
        <v>609063.34367999993</v>
      </c>
      <c r="F46" s="83">
        <f t="shared" si="11"/>
        <v>0.51694507531590206</v>
      </c>
      <c r="G46" s="82">
        <f>SUM(G36:G45)</f>
        <v>620009.46111360006</v>
      </c>
      <c r="H46" s="83">
        <f t="shared" si="12"/>
        <v>0.51591729268497</v>
      </c>
      <c r="I46" s="82">
        <f>SUM(I36:I45)</f>
        <v>631174.50089587201</v>
      </c>
      <c r="J46" s="83">
        <f t="shared" si="13"/>
        <v>0.51490966265464422</v>
      </c>
      <c r="K46" s="82">
        <f>SUM(K36:K45)</f>
        <v>642562.84147378965</v>
      </c>
      <c r="L46" s="83">
        <f t="shared" si="14"/>
        <v>0.51392179007589378</v>
      </c>
      <c r="M46" s="82">
        <f>SUM(M36:M45)</f>
        <v>654178.94886326534</v>
      </c>
      <c r="N46" s="83">
        <f t="shared" si="15"/>
        <v>0.51295328754770686</v>
      </c>
      <c r="O46" s="82">
        <f>SUM(O36:O45)</f>
        <v>666027.37840053055</v>
      </c>
      <c r="P46" s="83">
        <f t="shared" si="16"/>
        <v>0.5120037752651706</v>
      </c>
      <c r="Q46" s="82">
        <f>SUM(Q36:Q45)</f>
        <v>678112.77652854135</v>
      </c>
      <c r="R46" s="83">
        <f t="shared" si="17"/>
        <v>0.51107288087052749</v>
      </c>
      <c r="S46" s="82">
        <f>SUM(S36:S45)</f>
        <v>690439.88261911215</v>
      </c>
      <c r="T46" s="83">
        <f t="shared" si="18"/>
        <v>0.51016023930715171</v>
      </c>
      <c r="U46" s="82">
        <f>SUM(U36:U45)</f>
        <v>703013.53083149437</v>
      </c>
      <c r="V46" s="83">
        <f t="shared" si="19"/>
        <v>0.5092654926763911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>
        <f>B4</f>
        <v>0</v>
      </c>
    </row>
    <row r="49" spans="1:22" ht="12.75" customHeight="1">
      <c r="A49" s="1"/>
      <c r="B49" s="118"/>
    </row>
    <row r="50" spans="1:22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2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2" ht="12.75" customHeight="1">
      <c r="A52" s="2" t="s">
        <v>383</v>
      </c>
      <c r="B52" s="35"/>
      <c r="C52" s="79">
        <f>'Catering MMC'!C52+'Catering BBC'!C52</f>
        <v>0</v>
      </c>
      <c r="D52" s="80">
        <f t="shared" ref="D52:D83" si="20">IFERROR(C52/C$28,0)</f>
        <v>0</v>
      </c>
      <c r="E52" s="79">
        <f>'Catering MMC'!E52+'Catering BBC'!E52</f>
        <v>0</v>
      </c>
      <c r="F52" s="80">
        <f t="shared" ref="F52:F83" si="21">IFERROR(E52/E$28,0)</f>
        <v>0</v>
      </c>
      <c r="G52" s="79">
        <f>'Catering MMC'!G52+'Catering BBC'!G52</f>
        <v>0</v>
      </c>
      <c r="H52" s="80">
        <f t="shared" ref="H52:H83" si="22">IFERROR(G52/G$28,0)</f>
        <v>0</v>
      </c>
      <c r="I52" s="79">
        <f>'Catering MMC'!I52+'Catering BBC'!I52</f>
        <v>0</v>
      </c>
      <c r="J52" s="80">
        <f t="shared" ref="J52:J83" si="23">IFERROR(I52/I$28,0)</f>
        <v>0</v>
      </c>
      <c r="K52" s="79">
        <f>'Catering MMC'!K52+'Catering BBC'!K52</f>
        <v>0</v>
      </c>
      <c r="L52" s="80">
        <f t="shared" ref="L52:L83" si="24">IFERROR(K52/K$28,0)</f>
        <v>0</v>
      </c>
      <c r="M52" s="79">
        <f>'Catering MMC'!M52+'Catering BBC'!M52</f>
        <v>0</v>
      </c>
      <c r="N52" s="80">
        <f t="shared" ref="N52:N83" si="25">IFERROR(M52/M$28,0)</f>
        <v>0</v>
      </c>
      <c r="O52" s="79">
        <f>'Catering MMC'!O52+'Catering BBC'!O52</f>
        <v>0</v>
      </c>
      <c r="P52" s="80">
        <f t="shared" ref="P52:P83" si="26">IFERROR(O52/O$28,0)</f>
        <v>0</v>
      </c>
      <c r="Q52" s="79">
        <f>'Catering MMC'!Q52+'Catering BBC'!Q52</f>
        <v>0</v>
      </c>
      <c r="R52" s="80">
        <f t="shared" ref="R52:R83" si="27">IFERROR(Q52/Q$28,0)</f>
        <v>0</v>
      </c>
      <c r="S52" s="79">
        <f>'Catering MMC'!S52+'Catering BBC'!S52</f>
        <v>0</v>
      </c>
      <c r="T52" s="80">
        <f t="shared" ref="T52:T83" si="28">IFERROR(S52/S$28,0)</f>
        <v>0</v>
      </c>
      <c r="U52" s="79">
        <f>'Catering MMC'!U52+'Catering BBC'!U52</f>
        <v>0</v>
      </c>
      <c r="V52" s="80">
        <f t="shared" ref="V52:V105" si="29">IFERROR(U52/U$28,0)</f>
        <v>0</v>
      </c>
    </row>
    <row r="53" spans="1:22" ht="12.75" customHeight="1">
      <c r="A53" s="2" t="s">
        <v>384</v>
      </c>
      <c r="B53" s="35"/>
      <c r="C53" s="79">
        <f>'Catering MMC'!C53+'Catering BBC'!C53</f>
        <v>0</v>
      </c>
      <c r="D53" s="80">
        <f t="shared" si="20"/>
        <v>0</v>
      </c>
      <c r="E53" s="79">
        <f>'Catering MMC'!E53+'Catering BBC'!E53</f>
        <v>0</v>
      </c>
      <c r="F53" s="80">
        <f t="shared" si="21"/>
        <v>0</v>
      </c>
      <c r="G53" s="79">
        <f>'Catering MMC'!G53+'Catering BBC'!G53</f>
        <v>0</v>
      </c>
      <c r="H53" s="80">
        <f t="shared" si="22"/>
        <v>0</v>
      </c>
      <c r="I53" s="79">
        <f>'Catering MMC'!I53+'Catering BBC'!I53</f>
        <v>0</v>
      </c>
      <c r="J53" s="80">
        <f t="shared" si="23"/>
        <v>0</v>
      </c>
      <c r="K53" s="79">
        <f>'Catering MMC'!K53+'Catering BBC'!K53</f>
        <v>0</v>
      </c>
      <c r="L53" s="80">
        <f t="shared" si="24"/>
        <v>0</v>
      </c>
      <c r="M53" s="79">
        <f>'Catering MMC'!M53+'Catering BBC'!M53</f>
        <v>0</v>
      </c>
      <c r="N53" s="80">
        <f t="shared" si="25"/>
        <v>0</v>
      </c>
      <c r="O53" s="79">
        <f>'Catering MMC'!O53+'Catering BBC'!O53</f>
        <v>0</v>
      </c>
      <c r="P53" s="80">
        <f t="shared" si="26"/>
        <v>0</v>
      </c>
      <c r="Q53" s="79">
        <f>'Catering MMC'!Q53+'Catering BBC'!Q53</f>
        <v>0</v>
      </c>
      <c r="R53" s="80">
        <f t="shared" si="27"/>
        <v>0</v>
      </c>
      <c r="S53" s="79">
        <f>'Catering MMC'!S53+'Catering BBC'!S53</f>
        <v>0</v>
      </c>
      <c r="T53" s="80">
        <f t="shared" si="28"/>
        <v>0</v>
      </c>
      <c r="U53" s="79">
        <f>'Catering MMC'!U53+'Catering BBC'!U53</f>
        <v>0</v>
      </c>
      <c r="V53" s="80">
        <f t="shared" si="29"/>
        <v>0</v>
      </c>
    </row>
    <row r="54" spans="1:22" ht="12.75" customHeight="1">
      <c r="A54" s="221" t="s">
        <v>385</v>
      </c>
      <c r="B54" s="222"/>
      <c r="C54" s="79">
        <f>'Catering MMC'!C54+'Catering BBC'!C54</f>
        <v>798.95900000000006</v>
      </c>
      <c r="D54" s="80">
        <f t="shared" si="20"/>
        <v>7.000000000000001E-4</v>
      </c>
      <c r="E54" s="79">
        <f>'Catering MMC'!E54+'Catering BBC'!E54</f>
        <v>824.73818000000006</v>
      </c>
      <c r="F54" s="80">
        <f t="shared" si="21"/>
        <v>7.000000000000001E-4</v>
      </c>
      <c r="G54" s="79">
        <f>'Catering MMC'!G54+'Catering BBC'!G54</f>
        <v>841.23294360000023</v>
      </c>
      <c r="H54" s="80">
        <f t="shared" si="22"/>
        <v>7.0000000000000021E-4</v>
      </c>
      <c r="I54" s="79">
        <f>'Catering MMC'!I54+'Catering BBC'!I54</f>
        <v>858.0576024720001</v>
      </c>
      <c r="J54" s="80">
        <f t="shared" si="23"/>
        <v>6.9999999999999999E-4</v>
      </c>
      <c r="K54" s="79">
        <f>'Catering MMC'!K54+'Catering BBC'!K54</f>
        <v>875.21875452144013</v>
      </c>
      <c r="L54" s="80">
        <f t="shared" si="24"/>
        <v>6.9999999999999999E-4</v>
      </c>
      <c r="M54" s="79">
        <f>'Catering MMC'!M54+'Catering BBC'!M54</f>
        <v>892.7231296118689</v>
      </c>
      <c r="N54" s="80">
        <f t="shared" si="25"/>
        <v>7.000000000000001E-4</v>
      </c>
      <c r="O54" s="79">
        <f>'Catering MMC'!O54+'Catering BBC'!O54</f>
        <v>910.57759220410617</v>
      </c>
      <c r="P54" s="80">
        <f t="shared" si="26"/>
        <v>6.9999999999999999E-4</v>
      </c>
      <c r="Q54" s="79">
        <f>'Catering MMC'!Q54+'Catering BBC'!Q54</f>
        <v>928.78914404818829</v>
      </c>
      <c r="R54" s="80">
        <f t="shared" si="27"/>
        <v>6.9999999999999999E-4</v>
      </c>
      <c r="S54" s="79">
        <f>'Catering MMC'!S54+'Catering BBC'!S54</f>
        <v>947.36492692915203</v>
      </c>
      <c r="T54" s="80">
        <f t="shared" si="28"/>
        <v>6.9999999999999988E-4</v>
      </c>
      <c r="U54" s="79">
        <f>'Catering MMC'!U54+'Catering BBC'!U54</f>
        <v>966.31222546773517</v>
      </c>
      <c r="V54" s="80">
        <f t="shared" si="29"/>
        <v>7.000000000000001E-4</v>
      </c>
    </row>
    <row r="55" spans="1:22" ht="12.75" customHeight="1">
      <c r="A55" s="221" t="s">
        <v>386</v>
      </c>
      <c r="B55" s="222"/>
      <c r="C55" s="79">
        <f>'Catering MMC'!C55+'Catering BBC'!C55</f>
        <v>0</v>
      </c>
      <c r="D55" s="80">
        <f t="shared" si="20"/>
        <v>0</v>
      </c>
      <c r="E55" s="79">
        <f>'Catering MMC'!E55+'Catering BBC'!E55</f>
        <v>0</v>
      </c>
      <c r="F55" s="80">
        <f t="shared" si="21"/>
        <v>0</v>
      </c>
      <c r="G55" s="79">
        <f>'Catering MMC'!G55+'Catering BBC'!G55</f>
        <v>0</v>
      </c>
      <c r="H55" s="80">
        <f t="shared" si="22"/>
        <v>0</v>
      </c>
      <c r="I55" s="79">
        <f>'Catering MMC'!I55+'Catering BBC'!I55</f>
        <v>0</v>
      </c>
      <c r="J55" s="80">
        <f t="shared" si="23"/>
        <v>0</v>
      </c>
      <c r="K55" s="79">
        <f>'Catering MMC'!K55+'Catering BBC'!K55</f>
        <v>0</v>
      </c>
      <c r="L55" s="80">
        <f t="shared" si="24"/>
        <v>0</v>
      </c>
      <c r="M55" s="79">
        <f>'Catering MMC'!M55+'Catering BBC'!M55</f>
        <v>0</v>
      </c>
      <c r="N55" s="80">
        <f t="shared" si="25"/>
        <v>0</v>
      </c>
      <c r="O55" s="79">
        <f>'Catering MMC'!O55+'Catering BBC'!O55</f>
        <v>0</v>
      </c>
      <c r="P55" s="80">
        <f t="shared" si="26"/>
        <v>0</v>
      </c>
      <c r="Q55" s="79">
        <f>'Catering MMC'!Q55+'Catering BBC'!Q55</f>
        <v>0</v>
      </c>
      <c r="R55" s="80">
        <f t="shared" si="27"/>
        <v>0</v>
      </c>
      <c r="S55" s="79">
        <f>'Catering MMC'!S55+'Catering BBC'!S55</f>
        <v>0</v>
      </c>
      <c r="T55" s="80">
        <f t="shared" si="28"/>
        <v>0</v>
      </c>
      <c r="U55" s="79">
        <f>'Catering MMC'!U55+'Catering BBC'!U55</f>
        <v>0</v>
      </c>
      <c r="V55" s="80">
        <f t="shared" si="29"/>
        <v>0</v>
      </c>
    </row>
    <row r="56" spans="1:22" ht="12.75" customHeight="1">
      <c r="A56" s="221" t="s">
        <v>387</v>
      </c>
      <c r="B56" s="222"/>
      <c r="C56" s="79">
        <f>'Catering MMC'!C56+'Catering BBC'!C56</f>
        <v>582.09870000000012</v>
      </c>
      <c r="D56" s="80">
        <f t="shared" si="20"/>
        <v>5.1000000000000015E-4</v>
      </c>
      <c r="E56" s="79">
        <f>'Catering MMC'!E56+'Catering BBC'!E56</f>
        <v>600.880674</v>
      </c>
      <c r="F56" s="80">
        <f t="shared" si="21"/>
        <v>5.1000000000000004E-4</v>
      </c>
      <c r="G56" s="79">
        <f>'Catering MMC'!G56+'Catering BBC'!G56</f>
        <v>612.89828748000014</v>
      </c>
      <c r="H56" s="80">
        <f t="shared" si="22"/>
        <v>5.1000000000000015E-4</v>
      </c>
      <c r="I56" s="79">
        <f>'Catering MMC'!I56+'Catering BBC'!I56</f>
        <v>625.15625322960022</v>
      </c>
      <c r="J56" s="80">
        <f t="shared" si="23"/>
        <v>5.1000000000000015E-4</v>
      </c>
      <c r="K56" s="79">
        <f>'Catering MMC'!K56+'Catering BBC'!K56</f>
        <v>637.65937829419215</v>
      </c>
      <c r="L56" s="80">
        <f t="shared" si="24"/>
        <v>5.1000000000000004E-4</v>
      </c>
      <c r="M56" s="79">
        <f>'Catering MMC'!M56+'Catering BBC'!M56</f>
        <v>650.41256586007592</v>
      </c>
      <c r="N56" s="80">
        <f t="shared" si="25"/>
        <v>5.1000000000000004E-4</v>
      </c>
      <c r="O56" s="79">
        <f>'Catering MMC'!O56+'Catering BBC'!O56</f>
        <v>663.4208171772774</v>
      </c>
      <c r="P56" s="80">
        <f t="shared" si="26"/>
        <v>5.1000000000000004E-4</v>
      </c>
      <c r="Q56" s="79">
        <f>'Catering MMC'!Q56+'Catering BBC'!Q56</f>
        <v>676.68923352082311</v>
      </c>
      <c r="R56" s="80">
        <f t="shared" si="27"/>
        <v>5.1000000000000015E-4</v>
      </c>
      <c r="S56" s="79">
        <f>'Catering MMC'!S56+'Catering BBC'!S56</f>
        <v>690.22301819123948</v>
      </c>
      <c r="T56" s="80">
        <f t="shared" si="28"/>
        <v>5.1000000000000004E-4</v>
      </c>
      <c r="U56" s="79">
        <f>'Catering MMC'!U56+'Catering BBC'!U56</f>
        <v>704.02747855506414</v>
      </c>
      <c r="V56" s="80">
        <f t="shared" si="29"/>
        <v>5.1000000000000004E-4</v>
      </c>
    </row>
    <row r="57" spans="1:22" ht="12.75" customHeight="1">
      <c r="A57" s="2" t="s">
        <v>388</v>
      </c>
      <c r="B57" s="35"/>
      <c r="C57" s="79">
        <f>'Catering MMC'!C57+'Catering BBC'!C57</f>
        <v>0</v>
      </c>
      <c r="D57" s="80">
        <f t="shared" si="20"/>
        <v>0</v>
      </c>
      <c r="E57" s="79">
        <f>'Catering MMC'!E57+'Catering BBC'!E57</f>
        <v>0</v>
      </c>
      <c r="F57" s="80">
        <f t="shared" si="21"/>
        <v>0</v>
      </c>
      <c r="G57" s="79">
        <f>'Catering MMC'!G57+'Catering BBC'!G57</f>
        <v>0</v>
      </c>
      <c r="H57" s="80">
        <f t="shared" si="22"/>
        <v>0</v>
      </c>
      <c r="I57" s="79">
        <f>'Catering MMC'!I57+'Catering BBC'!I57</f>
        <v>0</v>
      </c>
      <c r="J57" s="80">
        <f t="shared" si="23"/>
        <v>0</v>
      </c>
      <c r="K57" s="79">
        <f>'Catering MMC'!K57+'Catering BBC'!K57</f>
        <v>0</v>
      </c>
      <c r="L57" s="80">
        <f t="shared" si="24"/>
        <v>0</v>
      </c>
      <c r="M57" s="79">
        <f>'Catering MMC'!M57+'Catering BBC'!M57</f>
        <v>0</v>
      </c>
      <c r="N57" s="80">
        <f t="shared" si="25"/>
        <v>0</v>
      </c>
      <c r="O57" s="79">
        <f>'Catering MMC'!O57+'Catering BBC'!O57</f>
        <v>0</v>
      </c>
      <c r="P57" s="80">
        <f t="shared" si="26"/>
        <v>0</v>
      </c>
      <c r="Q57" s="79">
        <f>'Catering MMC'!Q57+'Catering BBC'!Q57</f>
        <v>0</v>
      </c>
      <c r="R57" s="80">
        <f t="shared" si="27"/>
        <v>0</v>
      </c>
      <c r="S57" s="79">
        <f>'Catering MMC'!S57+'Catering BBC'!S57</f>
        <v>0</v>
      </c>
      <c r="T57" s="80">
        <f t="shared" si="28"/>
        <v>0</v>
      </c>
      <c r="U57" s="79">
        <f>'Catering MMC'!U57+'Catering BBC'!U57</f>
        <v>0</v>
      </c>
      <c r="V57" s="80">
        <f t="shared" si="29"/>
        <v>0</v>
      </c>
    </row>
    <row r="58" spans="1:22" ht="12.75" customHeight="1">
      <c r="A58" s="2" t="s">
        <v>389</v>
      </c>
      <c r="B58" s="35"/>
      <c r="C58" s="79">
        <f>'Catering MMC'!C58+'Catering BBC'!C58</f>
        <v>0</v>
      </c>
      <c r="D58" s="80">
        <f t="shared" si="20"/>
        <v>0</v>
      </c>
      <c r="E58" s="79">
        <f>'Catering MMC'!E58+'Catering BBC'!E58</f>
        <v>0</v>
      </c>
      <c r="F58" s="80">
        <f t="shared" si="21"/>
        <v>0</v>
      </c>
      <c r="G58" s="79">
        <f>'Catering MMC'!G58+'Catering BBC'!G58</f>
        <v>0</v>
      </c>
      <c r="H58" s="80">
        <f t="shared" si="22"/>
        <v>0</v>
      </c>
      <c r="I58" s="79">
        <f>'Catering MMC'!I58+'Catering BBC'!I58</f>
        <v>0</v>
      </c>
      <c r="J58" s="80">
        <f t="shared" si="23"/>
        <v>0</v>
      </c>
      <c r="K58" s="79">
        <f>'Catering MMC'!K58+'Catering BBC'!K58</f>
        <v>0</v>
      </c>
      <c r="L58" s="80">
        <f t="shared" si="24"/>
        <v>0</v>
      </c>
      <c r="M58" s="79">
        <f>'Catering MMC'!M58+'Catering BBC'!M58</f>
        <v>0</v>
      </c>
      <c r="N58" s="80">
        <f t="shared" si="25"/>
        <v>0</v>
      </c>
      <c r="O58" s="79">
        <f>'Catering MMC'!O58+'Catering BBC'!O58</f>
        <v>0</v>
      </c>
      <c r="P58" s="80">
        <f t="shared" si="26"/>
        <v>0</v>
      </c>
      <c r="Q58" s="79">
        <f>'Catering MMC'!Q58+'Catering BBC'!Q58</f>
        <v>0</v>
      </c>
      <c r="R58" s="80">
        <f t="shared" si="27"/>
        <v>0</v>
      </c>
      <c r="S58" s="79">
        <f>'Catering MMC'!S58+'Catering BBC'!S58</f>
        <v>0</v>
      </c>
      <c r="T58" s="80">
        <f t="shared" si="28"/>
        <v>0</v>
      </c>
      <c r="U58" s="79">
        <f>'Catering MMC'!U58+'Catering BBC'!U58</f>
        <v>0</v>
      </c>
      <c r="V58" s="80">
        <f t="shared" si="29"/>
        <v>0</v>
      </c>
    </row>
    <row r="59" spans="1:22" ht="12.75" customHeight="1">
      <c r="A59" s="2" t="s">
        <v>390</v>
      </c>
      <c r="B59" s="35"/>
      <c r="C59" s="79">
        <f>'Catering MMC'!C59+'Catering BBC'!C59</f>
        <v>0</v>
      </c>
      <c r="D59" s="80">
        <f t="shared" si="20"/>
        <v>0</v>
      </c>
      <c r="E59" s="79">
        <f>'Catering MMC'!E59+'Catering BBC'!E59</f>
        <v>0</v>
      </c>
      <c r="F59" s="80">
        <f t="shared" si="21"/>
        <v>0</v>
      </c>
      <c r="G59" s="79">
        <f>'Catering MMC'!G59+'Catering BBC'!G59</f>
        <v>0</v>
      </c>
      <c r="H59" s="80">
        <f t="shared" si="22"/>
        <v>0</v>
      </c>
      <c r="I59" s="79">
        <f>'Catering MMC'!I59+'Catering BBC'!I59</f>
        <v>0</v>
      </c>
      <c r="J59" s="80">
        <f t="shared" si="23"/>
        <v>0</v>
      </c>
      <c r="K59" s="79">
        <f>'Catering MMC'!K59+'Catering BBC'!K59</f>
        <v>0</v>
      </c>
      <c r="L59" s="80">
        <f t="shared" si="24"/>
        <v>0</v>
      </c>
      <c r="M59" s="79">
        <f>'Catering MMC'!M59+'Catering BBC'!M59</f>
        <v>0</v>
      </c>
      <c r="N59" s="80">
        <f t="shared" si="25"/>
        <v>0</v>
      </c>
      <c r="O59" s="79">
        <f>'Catering MMC'!O59+'Catering BBC'!O59</f>
        <v>0</v>
      </c>
      <c r="P59" s="80">
        <f t="shared" si="26"/>
        <v>0</v>
      </c>
      <c r="Q59" s="79">
        <f>'Catering MMC'!Q59+'Catering BBC'!Q59</f>
        <v>0</v>
      </c>
      <c r="R59" s="80">
        <f t="shared" si="27"/>
        <v>0</v>
      </c>
      <c r="S59" s="79">
        <f>'Catering MMC'!S59+'Catering BBC'!S59</f>
        <v>0</v>
      </c>
      <c r="T59" s="80">
        <f t="shared" si="28"/>
        <v>0</v>
      </c>
      <c r="U59" s="79">
        <f>'Catering MMC'!U59+'Catering BBC'!U59</f>
        <v>0</v>
      </c>
      <c r="V59" s="80">
        <f t="shared" si="29"/>
        <v>0</v>
      </c>
    </row>
    <row r="60" spans="1:22" ht="12.75" customHeight="1">
      <c r="A60" s="2" t="s">
        <v>391</v>
      </c>
      <c r="B60" s="35"/>
      <c r="C60" s="79">
        <f>'Catering MMC'!C60+'Catering BBC'!C60</f>
        <v>0</v>
      </c>
      <c r="D60" s="80">
        <f t="shared" si="20"/>
        <v>0</v>
      </c>
      <c r="E60" s="79">
        <f>'Catering MMC'!E60+'Catering BBC'!E60</f>
        <v>0</v>
      </c>
      <c r="F60" s="80">
        <f t="shared" si="21"/>
        <v>0</v>
      </c>
      <c r="G60" s="79">
        <f>'Catering MMC'!G60+'Catering BBC'!G60</f>
        <v>0</v>
      </c>
      <c r="H60" s="80">
        <f t="shared" si="22"/>
        <v>0</v>
      </c>
      <c r="I60" s="79">
        <f>'Catering MMC'!I60+'Catering BBC'!I60</f>
        <v>0</v>
      </c>
      <c r="J60" s="80">
        <f t="shared" si="23"/>
        <v>0</v>
      </c>
      <c r="K60" s="79">
        <f>'Catering MMC'!K60+'Catering BBC'!K60</f>
        <v>0</v>
      </c>
      <c r="L60" s="80">
        <f t="shared" si="24"/>
        <v>0</v>
      </c>
      <c r="M60" s="79">
        <f>'Catering MMC'!M60+'Catering BBC'!M60</f>
        <v>0</v>
      </c>
      <c r="N60" s="80">
        <f t="shared" si="25"/>
        <v>0</v>
      </c>
      <c r="O60" s="79">
        <f>'Catering MMC'!O60+'Catering BBC'!O60</f>
        <v>0</v>
      </c>
      <c r="P60" s="80">
        <f t="shared" si="26"/>
        <v>0</v>
      </c>
      <c r="Q60" s="79">
        <f>'Catering MMC'!Q60+'Catering BBC'!Q60</f>
        <v>0</v>
      </c>
      <c r="R60" s="80">
        <f t="shared" si="27"/>
        <v>0</v>
      </c>
      <c r="S60" s="79">
        <f>'Catering MMC'!S60+'Catering BBC'!S60</f>
        <v>0</v>
      </c>
      <c r="T60" s="80">
        <f t="shared" si="28"/>
        <v>0</v>
      </c>
      <c r="U60" s="79">
        <f>'Catering MMC'!U60+'Catering BBC'!U60</f>
        <v>0</v>
      </c>
      <c r="V60" s="80">
        <f t="shared" si="29"/>
        <v>0</v>
      </c>
    </row>
    <row r="61" spans="1:22" ht="12.75" customHeight="1">
      <c r="A61" s="2" t="s">
        <v>392</v>
      </c>
      <c r="B61" s="35"/>
      <c r="C61" s="79">
        <f>'Catering MMC'!C61+'Catering BBC'!C61</f>
        <v>0</v>
      </c>
      <c r="D61" s="80">
        <f t="shared" si="20"/>
        <v>0</v>
      </c>
      <c r="E61" s="79">
        <f>'Catering MMC'!E61+'Catering BBC'!E61</f>
        <v>0</v>
      </c>
      <c r="F61" s="80">
        <f t="shared" si="21"/>
        <v>0</v>
      </c>
      <c r="G61" s="79">
        <f>'Catering MMC'!G61+'Catering BBC'!G61</f>
        <v>0</v>
      </c>
      <c r="H61" s="80">
        <f t="shared" si="22"/>
        <v>0</v>
      </c>
      <c r="I61" s="79">
        <f>'Catering MMC'!I61+'Catering BBC'!I61</f>
        <v>0</v>
      </c>
      <c r="J61" s="80">
        <f t="shared" si="23"/>
        <v>0</v>
      </c>
      <c r="K61" s="79">
        <f>'Catering MMC'!K61+'Catering BBC'!K61</f>
        <v>0</v>
      </c>
      <c r="L61" s="80">
        <f t="shared" si="24"/>
        <v>0</v>
      </c>
      <c r="M61" s="79">
        <f>'Catering MMC'!M61+'Catering BBC'!M61</f>
        <v>0</v>
      </c>
      <c r="N61" s="80">
        <f t="shared" si="25"/>
        <v>0</v>
      </c>
      <c r="O61" s="79">
        <f>'Catering MMC'!O61+'Catering BBC'!O61</f>
        <v>0</v>
      </c>
      <c r="P61" s="80">
        <f t="shared" si="26"/>
        <v>0</v>
      </c>
      <c r="Q61" s="79">
        <f>'Catering MMC'!Q61+'Catering BBC'!Q61</f>
        <v>0</v>
      </c>
      <c r="R61" s="80">
        <f t="shared" si="27"/>
        <v>0</v>
      </c>
      <c r="S61" s="79">
        <f>'Catering MMC'!S61+'Catering BBC'!S61</f>
        <v>0</v>
      </c>
      <c r="T61" s="80">
        <f t="shared" si="28"/>
        <v>0</v>
      </c>
      <c r="U61" s="79">
        <f>'Catering MMC'!U61+'Catering BBC'!U61</f>
        <v>0</v>
      </c>
      <c r="V61" s="80">
        <f t="shared" si="29"/>
        <v>0</v>
      </c>
    </row>
    <row r="62" spans="1:22" ht="12.75" customHeight="1">
      <c r="A62" s="2" t="s">
        <v>393</v>
      </c>
      <c r="B62" s="35"/>
      <c r="C62" s="79">
        <f>'Catering MMC'!C62+'Catering BBC'!C62</f>
        <v>0</v>
      </c>
      <c r="D62" s="80">
        <f t="shared" si="20"/>
        <v>0</v>
      </c>
      <c r="E62" s="79">
        <f>'Catering MMC'!E62+'Catering BBC'!E62</f>
        <v>0</v>
      </c>
      <c r="F62" s="80">
        <f t="shared" si="21"/>
        <v>0</v>
      </c>
      <c r="G62" s="79">
        <f>'Catering MMC'!G62+'Catering BBC'!G62</f>
        <v>0</v>
      </c>
      <c r="H62" s="80">
        <f t="shared" si="22"/>
        <v>0</v>
      </c>
      <c r="I62" s="79">
        <f>'Catering MMC'!I62+'Catering BBC'!I62</f>
        <v>0</v>
      </c>
      <c r="J62" s="80">
        <f t="shared" si="23"/>
        <v>0</v>
      </c>
      <c r="K62" s="79">
        <f>'Catering MMC'!K62+'Catering BBC'!K62</f>
        <v>0</v>
      </c>
      <c r="L62" s="80">
        <f t="shared" si="24"/>
        <v>0</v>
      </c>
      <c r="M62" s="79">
        <f>'Catering MMC'!M62+'Catering BBC'!M62</f>
        <v>0</v>
      </c>
      <c r="N62" s="80">
        <f t="shared" si="25"/>
        <v>0</v>
      </c>
      <c r="O62" s="79">
        <f>'Catering MMC'!O62+'Catering BBC'!O62</f>
        <v>0</v>
      </c>
      <c r="P62" s="80">
        <f t="shared" si="26"/>
        <v>0</v>
      </c>
      <c r="Q62" s="79">
        <f>'Catering MMC'!Q62+'Catering BBC'!Q62</f>
        <v>0</v>
      </c>
      <c r="R62" s="80">
        <f t="shared" si="27"/>
        <v>0</v>
      </c>
      <c r="S62" s="79">
        <f>'Catering MMC'!S62+'Catering BBC'!S62</f>
        <v>0</v>
      </c>
      <c r="T62" s="80">
        <f t="shared" si="28"/>
        <v>0</v>
      </c>
      <c r="U62" s="79">
        <f>'Catering MMC'!U62+'Catering BBC'!U62</f>
        <v>0</v>
      </c>
      <c r="V62" s="80">
        <f t="shared" si="29"/>
        <v>0</v>
      </c>
    </row>
    <row r="63" spans="1:22" ht="12.75" customHeight="1">
      <c r="A63" s="221" t="s">
        <v>394</v>
      </c>
      <c r="B63" s="222"/>
      <c r="C63" s="79">
        <f>'Catering MMC'!C63+'Catering BBC'!C63</f>
        <v>15662.376262757476</v>
      </c>
      <c r="D63" s="80">
        <f t="shared" si="20"/>
        <v>1.3722435549171151E-2</v>
      </c>
      <c r="E63" s="79">
        <f>'Catering MMC'!E63+'Catering BBC'!E63</f>
        <v>9139.654789667713</v>
      </c>
      <c r="F63" s="80">
        <f t="shared" si="21"/>
        <v>7.7573204538286316E-3</v>
      </c>
      <c r="G63" s="79">
        <f>'Catering MMC'!G63+'Catering BBC'!G63</f>
        <v>10698.734985437291</v>
      </c>
      <c r="H63" s="80">
        <f t="shared" si="22"/>
        <v>8.9025454207213289E-3</v>
      </c>
      <c r="I63" s="79">
        <f>'Catering MMC'!I63+'Catering BBC'!I63</f>
        <v>10817.238187124369</v>
      </c>
      <c r="J63" s="80">
        <f t="shared" si="23"/>
        <v>8.8246601500557749E-3</v>
      </c>
      <c r="K63" s="79">
        <f>'Catering MMC'!K63+'Catering BBC'!K63</f>
        <v>10906.516843663321</v>
      </c>
      <c r="L63" s="80">
        <f t="shared" si="24"/>
        <v>8.7230326716876833E-3</v>
      </c>
      <c r="M63" s="79">
        <f>'Catering MMC'!M63+'Catering BBC'!M63</f>
        <v>11101.26318215898</v>
      </c>
      <c r="N63" s="80">
        <f t="shared" si="25"/>
        <v>8.7046968648497435E-3</v>
      </c>
      <c r="O63" s="79">
        <f>'Catering MMC'!O63+'Catering BBC'!O63</f>
        <v>11300.111398522871</v>
      </c>
      <c r="P63" s="80">
        <f t="shared" si="26"/>
        <v>8.686879675810168E-3</v>
      </c>
      <c r="Q63" s="79">
        <f>'Catering MMC'!Q63+'Catering BBC'!Q63</f>
        <v>11502.751178318469</v>
      </c>
      <c r="R63" s="80">
        <f t="shared" si="27"/>
        <v>8.6692721124281037E-3</v>
      </c>
      <c r="S63" s="79">
        <f>'Catering MMC'!S63+'Catering BBC'!S63</f>
        <v>11708.874977714557</v>
      </c>
      <c r="T63" s="80">
        <f t="shared" si="28"/>
        <v>8.6515895315735451E-3</v>
      </c>
      <c r="U63" s="79">
        <f>'Catering MMC'!U63+'Catering BBC'!U63</f>
        <v>12374.530477861685</v>
      </c>
      <c r="V63" s="80">
        <f t="shared" si="29"/>
        <v>8.964153724030895E-3</v>
      </c>
    </row>
    <row r="64" spans="1:22" ht="12.75" customHeight="1">
      <c r="A64" s="221" t="s">
        <v>395</v>
      </c>
      <c r="B64" s="222"/>
      <c r="C64" s="79">
        <f>'Catering MMC'!C64+'Catering BBC'!C64</f>
        <v>5478.576</v>
      </c>
      <c r="D64" s="80">
        <f t="shared" si="20"/>
        <v>4.8000000000000004E-3</v>
      </c>
      <c r="E64" s="79">
        <f>'Catering MMC'!E64+'Catering BBC'!E64</f>
        <v>5655.3475199999993</v>
      </c>
      <c r="F64" s="80">
        <f t="shared" si="21"/>
        <v>4.7999999999999996E-3</v>
      </c>
      <c r="G64" s="79">
        <f>'Catering MMC'!G64+'Catering BBC'!G64</f>
        <v>5768.4544704</v>
      </c>
      <c r="H64" s="80">
        <f t="shared" si="22"/>
        <v>4.7999999999999996E-3</v>
      </c>
      <c r="I64" s="79">
        <f>'Catering MMC'!I64+'Catering BBC'!I64</f>
        <v>5883.8235598080009</v>
      </c>
      <c r="J64" s="80">
        <f t="shared" si="23"/>
        <v>4.8000000000000004E-3</v>
      </c>
      <c r="K64" s="79">
        <f>'Catering MMC'!K64+'Catering BBC'!K64</f>
        <v>6001.5000310041596</v>
      </c>
      <c r="L64" s="80">
        <f t="shared" si="24"/>
        <v>4.7999999999999987E-3</v>
      </c>
      <c r="M64" s="79">
        <f>'Catering MMC'!M64+'Catering BBC'!M64</f>
        <v>6121.5300316242428</v>
      </c>
      <c r="N64" s="80">
        <f t="shared" si="25"/>
        <v>4.7999999999999996E-3</v>
      </c>
      <c r="O64" s="79">
        <f>'Catering MMC'!O64+'Catering BBC'!O64</f>
        <v>6243.9606322567279</v>
      </c>
      <c r="P64" s="80">
        <f t="shared" si="26"/>
        <v>4.7999999999999996E-3</v>
      </c>
      <c r="Q64" s="79">
        <f>'Catering MMC'!Q64+'Catering BBC'!Q64</f>
        <v>6368.8398449018623</v>
      </c>
      <c r="R64" s="80">
        <f t="shared" si="27"/>
        <v>4.7999999999999996E-3</v>
      </c>
      <c r="S64" s="79">
        <f>'Catering MMC'!S64+'Catering BBC'!S64</f>
        <v>6496.2166417998997</v>
      </c>
      <c r="T64" s="80">
        <f t="shared" si="28"/>
        <v>4.7999999999999996E-3</v>
      </c>
      <c r="U64" s="79">
        <f>'Catering MMC'!U64+'Catering BBC'!U64</f>
        <v>6626.1409746358977</v>
      </c>
      <c r="V64" s="80">
        <f t="shared" si="29"/>
        <v>4.8000000000000004E-3</v>
      </c>
    </row>
    <row r="65" spans="1:22" ht="12.75" customHeight="1">
      <c r="A65" s="221" t="s">
        <v>396</v>
      </c>
      <c r="B65" s="222"/>
      <c r="C65" s="79">
        <f>'Catering MMC'!C65+'Catering BBC'!C65</f>
        <v>570.68499999999995</v>
      </c>
      <c r="D65" s="80">
        <f t="shared" si="20"/>
        <v>4.999999999999999E-4</v>
      </c>
      <c r="E65" s="79">
        <f>'Catering MMC'!E65+'Catering BBC'!E65</f>
        <v>589.09870000000001</v>
      </c>
      <c r="F65" s="80">
        <f t="shared" si="21"/>
        <v>5.0000000000000001E-4</v>
      </c>
      <c r="G65" s="79">
        <f>'Catering MMC'!G65+'Catering BBC'!G65</f>
        <v>600.88067400000011</v>
      </c>
      <c r="H65" s="80">
        <f t="shared" si="22"/>
        <v>5.0000000000000012E-4</v>
      </c>
      <c r="I65" s="79">
        <f>'Catering MMC'!I65+'Catering BBC'!I65</f>
        <v>612.89828748000014</v>
      </c>
      <c r="J65" s="80">
        <f t="shared" si="23"/>
        <v>5.0000000000000001E-4</v>
      </c>
      <c r="K65" s="79">
        <f>'Catering MMC'!K65+'Catering BBC'!K65</f>
        <v>625.1562532296</v>
      </c>
      <c r="L65" s="80">
        <f t="shared" si="24"/>
        <v>4.999999999999999E-4</v>
      </c>
      <c r="M65" s="79">
        <f>'Catering MMC'!M65+'Catering BBC'!M65</f>
        <v>637.65937829419204</v>
      </c>
      <c r="N65" s="80">
        <f t="shared" si="25"/>
        <v>5.0000000000000001E-4</v>
      </c>
      <c r="O65" s="79">
        <f>'Catering MMC'!O65+'Catering BBC'!O65</f>
        <v>650.4125658600758</v>
      </c>
      <c r="P65" s="80">
        <f t="shared" si="26"/>
        <v>4.999999999999999E-4</v>
      </c>
      <c r="Q65" s="79">
        <f>'Catering MMC'!Q65+'Catering BBC'!Q65</f>
        <v>663.4208171772774</v>
      </c>
      <c r="R65" s="80">
        <f t="shared" si="27"/>
        <v>5.0000000000000001E-4</v>
      </c>
      <c r="S65" s="79">
        <f>'Catering MMC'!S65+'Catering BBC'!S65</f>
        <v>676.68923352082288</v>
      </c>
      <c r="T65" s="80">
        <f t="shared" si="28"/>
        <v>4.999999999999999E-4</v>
      </c>
      <c r="U65" s="79">
        <f>'Catering MMC'!U65+'Catering BBC'!U65</f>
        <v>690.22301819123936</v>
      </c>
      <c r="V65" s="80">
        <f t="shared" si="29"/>
        <v>5.0000000000000001E-4</v>
      </c>
    </row>
    <row r="66" spans="1:22" ht="12.75" customHeight="1">
      <c r="A66" s="221" t="s">
        <v>397</v>
      </c>
      <c r="B66" s="222"/>
      <c r="C66" s="79">
        <f>'Catering MMC'!C66+'Catering BBC'!C66</f>
        <v>3195.8360000000002</v>
      </c>
      <c r="D66" s="80">
        <f t="shared" si="20"/>
        <v>2.8000000000000004E-3</v>
      </c>
      <c r="E66" s="79">
        <f>'Catering MMC'!E66+'Catering BBC'!E66</f>
        <v>3298.9527200000002</v>
      </c>
      <c r="F66" s="80">
        <f t="shared" si="21"/>
        <v>2.8000000000000004E-3</v>
      </c>
      <c r="G66" s="79">
        <f>'Catering MMC'!G66+'Catering BBC'!G66</f>
        <v>3364.9317744000009</v>
      </c>
      <c r="H66" s="80">
        <f t="shared" si="22"/>
        <v>2.8000000000000008E-3</v>
      </c>
      <c r="I66" s="79">
        <f>'Catering MMC'!I66+'Catering BBC'!I66</f>
        <v>3432.2304098880004</v>
      </c>
      <c r="J66" s="80">
        <f t="shared" si="23"/>
        <v>2.8E-3</v>
      </c>
      <c r="K66" s="79">
        <f>'Catering MMC'!K66+'Catering BBC'!K66</f>
        <v>3500.8750180857605</v>
      </c>
      <c r="L66" s="80">
        <f t="shared" si="24"/>
        <v>2.8E-3</v>
      </c>
      <c r="M66" s="79">
        <f>'Catering MMC'!M66+'Catering BBC'!M66</f>
        <v>3570.8925184474756</v>
      </c>
      <c r="N66" s="80">
        <f t="shared" si="25"/>
        <v>2.8000000000000004E-3</v>
      </c>
      <c r="O66" s="79">
        <f>'Catering MMC'!O66+'Catering BBC'!O66</f>
        <v>3642.3103688164247</v>
      </c>
      <c r="P66" s="80">
        <f t="shared" si="26"/>
        <v>2.8E-3</v>
      </c>
      <c r="Q66" s="79">
        <f>'Catering MMC'!Q66+'Catering BBC'!Q66</f>
        <v>3715.1565761927532</v>
      </c>
      <c r="R66" s="80">
        <f t="shared" si="27"/>
        <v>2.8E-3</v>
      </c>
      <c r="S66" s="79">
        <f>'Catering MMC'!S66+'Catering BBC'!S66</f>
        <v>3789.4597077166081</v>
      </c>
      <c r="T66" s="80">
        <f t="shared" si="28"/>
        <v>2.7999999999999995E-3</v>
      </c>
      <c r="U66" s="79">
        <f>'Catering MMC'!U66+'Catering BBC'!U66</f>
        <v>3865.2489018709407</v>
      </c>
      <c r="V66" s="80">
        <f t="shared" si="29"/>
        <v>2.8000000000000004E-3</v>
      </c>
    </row>
    <row r="67" spans="1:22" ht="12.75" customHeight="1">
      <c r="A67" s="221" t="s">
        <v>398</v>
      </c>
      <c r="B67" s="222"/>
      <c r="C67" s="79">
        <f>'Catering MMC'!C67+'Catering BBC'!C67</f>
        <v>17120.550000000003</v>
      </c>
      <c r="D67" s="80">
        <f t="shared" si="20"/>
        <v>1.5000000000000003E-2</v>
      </c>
      <c r="E67" s="79">
        <f>'Catering MMC'!E67+'Catering BBC'!E67</f>
        <v>17672.960999999999</v>
      </c>
      <c r="F67" s="80">
        <f t="shared" si="21"/>
        <v>1.5000000000000001E-2</v>
      </c>
      <c r="G67" s="79">
        <f>'Catering MMC'!G67+'Catering BBC'!G67</f>
        <v>18026.420220000004</v>
      </c>
      <c r="H67" s="80">
        <f t="shared" si="22"/>
        <v>1.5000000000000003E-2</v>
      </c>
      <c r="I67" s="79">
        <f>'Catering MMC'!I67+'Catering BBC'!I67</f>
        <v>18386.9486244</v>
      </c>
      <c r="J67" s="80">
        <f t="shared" si="23"/>
        <v>1.4999999999999998E-2</v>
      </c>
      <c r="K67" s="79">
        <f>'Catering MMC'!K67+'Catering BBC'!K67</f>
        <v>18754.687596888001</v>
      </c>
      <c r="L67" s="80">
        <f t="shared" si="24"/>
        <v>1.4999999999999998E-2</v>
      </c>
      <c r="M67" s="79">
        <f>'Catering MMC'!M67+'Catering BBC'!M67</f>
        <v>19129.78134882576</v>
      </c>
      <c r="N67" s="80">
        <f t="shared" si="25"/>
        <v>1.4999999999999999E-2</v>
      </c>
      <c r="O67" s="79">
        <f>'Catering MMC'!O67+'Catering BBC'!O67</f>
        <v>19512.376975802275</v>
      </c>
      <c r="P67" s="80">
        <f t="shared" si="26"/>
        <v>1.4999999999999999E-2</v>
      </c>
      <c r="Q67" s="79">
        <f>'Catering MMC'!Q67+'Catering BBC'!Q67</f>
        <v>19902.624515318323</v>
      </c>
      <c r="R67" s="80">
        <f t="shared" si="27"/>
        <v>1.5000000000000001E-2</v>
      </c>
      <c r="S67" s="79">
        <f>'Catering MMC'!S67+'Catering BBC'!S67</f>
        <v>20300.67700562469</v>
      </c>
      <c r="T67" s="80">
        <f t="shared" si="28"/>
        <v>1.5000000000000001E-2</v>
      </c>
      <c r="U67" s="79">
        <f>'Catering MMC'!U67+'Catering BBC'!U67</f>
        <v>20706.690545737179</v>
      </c>
      <c r="V67" s="80">
        <f t="shared" si="29"/>
        <v>1.4999999999999999E-2</v>
      </c>
    </row>
    <row r="68" spans="1:22" ht="12.75" customHeight="1">
      <c r="A68" s="221" t="s">
        <v>399</v>
      </c>
      <c r="B68" s="222"/>
      <c r="C68" s="79">
        <f>'Catering MMC'!C68+'Catering BBC'!C68</f>
        <v>1940.3290000000002</v>
      </c>
      <c r="D68" s="80">
        <f t="shared" si="20"/>
        <v>1.7000000000000001E-3</v>
      </c>
      <c r="E68" s="79">
        <f>'Catering MMC'!E68+'Catering BBC'!E68</f>
        <v>2002.9355799999998</v>
      </c>
      <c r="F68" s="80">
        <f t="shared" si="21"/>
        <v>1.6999999999999999E-3</v>
      </c>
      <c r="G68" s="79">
        <f>'Catering MMC'!G68+'Catering BBC'!G68</f>
        <v>2042.9942916000002</v>
      </c>
      <c r="H68" s="80">
        <f t="shared" si="22"/>
        <v>1.7000000000000001E-3</v>
      </c>
      <c r="I68" s="79">
        <f>'Catering MMC'!I68+'Catering BBC'!I68</f>
        <v>2083.8541774320001</v>
      </c>
      <c r="J68" s="80">
        <f t="shared" si="23"/>
        <v>1.6999999999999999E-3</v>
      </c>
      <c r="K68" s="79">
        <f>'Catering MMC'!K68+'Catering BBC'!K68</f>
        <v>2125.5312609806401</v>
      </c>
      <c r="L68" s="80">
        <f t="shared" si="24"/>
        <v>1.6999999999999997E-3</v>
      </c>
      <c r="M68" s="79">
        <f>'Catering MMC'!M68+'Catering BBC'!M68</f>
        <v>2168.0418862002525</v>
      </c>
      <c r="N68" s="80">
        <f t="shared" si="25"/>
        <v>1.6999999999999997E-3</v>
      </c>
      <c r="O68" s="79">
        <f>'Catering MMC'!O68+'Catering BBC'!O68</f>
        <v>2211.4027239242578</v>
      </c>
      <c r="P68" s="80">
        <f t="shared" si="26"/>
        <v>1.6999999999999999E-3</v>
      </c>
      <c r="Q68" s="79">
        <f>'Catering MMC'!Q68+'Catering BBC'!Q68</f>
        <v>2255.6307784027431</v>
      </c>
      <c r="R68" s="80">
        <f t="shared" si="27"/>
        <v>1.6999999999999999E-3</v>
      </c>
      <c r="S68" s="79">
        <f>'Catering MMC'!S68+'Catering BBC'!S68</f>
        <v>2300.743393970798</v>
      </c>
      <c r="T68" s="80">
        <f t="shared" si="28"/>
        <v>1.6999999999999999E-3</v>
      </c>
      <c r="U68" s="79">
        <f>'Catering MMC'!U68+'Catering BBC'!U68</f>
        <v>2346.7582618502138</v>
      </c>
      <c r="V68" s="80">
        <f t="shared" si="29"/>
        <v>1.7000000000000001E-3</v>
      </c>
    </row>
    <row r="69" spans="1:22" ht="12.75" customHeight="1">
      <c r="A69" s="2" t="s">
        <v>400</v>
      </c>
      <c r="B69" s="35"/>
      <c r="C69" s="79">
        <f>'Catering MMC'!C69+'Catering BBC'!C69</f>
        <v>0</v>
      </c>
      <c r="D69" s="80">
        <f t="shared" si="20"/>
        <v>0</v>
      </c>
      <c r="E69" s="79">
        <f>'Catering MMC'!E69+'Catering BBC'!E69</f>
        <v>0</v>
      </c>
      <c r="F69" s="80">
        <f t="shared" si="21"/>
        <v>0</v>
      </c>
      <c r="G69" s="79">
        <f>'Catering MMC'!G69+'Catering BBC'!G69</f>
        <v>0</v>
      </c>
      <c r="H69" s="80">
        <f t="shared" si="22"/>
        <v>0</v>
      </c>
      <c r="I69" s="79">
        <f>'Catering MMC'!I69+'Catering BBC'!I69</f>
        <v>0</v>
      </c>
      <c r="J69" s="80">
        <f t="shared" si="23"/>
        <v>0</v>
      </c>
      <c r="K69" s="79">
        <f>'Catering MMC'!K69+'Catering BBC'!K69</f>
        <v>0</v>
      </c>
      <c r="L69" s="80">
        <f t="shared" si="24"/>
        <v>0</v>
      </c>
      <c r="M69" s="79">
        <f>'Catering MMC'!M69+'Catering BBC'!M69</f>
        <v>0</v>
      </c>
      <c r="N69" s="80">
        <f t="shared" si="25"/>
        <v>0</v>
      </c>
      <c r="O69" s="79">
        <f>'Catering MMC'!O69+'Catering BBC'!O69</f>
        <v>0</v>
      </c>
      <c r="P69" s="80">
        <f t="shared" si="26"/>
        <v>0</v>
      </c>
      <c r="Q69" s="79">
        <f>'Catering MMC'!Q69+'Catering BBC'!Q69</f>
        <v>0</v>
      </c>
      <c r="R69" s="80">
        <f t="shared" si="27"/>
        <v>0</v>
      </c>
      <c r="S69" s="79">
        <f>'Catering MMC'!S69+'Catering BBC'!S69</f>
        <v>0</v>
      </c>
      <c r="T69" s="80">
        <f t="shared" si="28"/>
        <v>0</v>
      </c>
      <c r="U69" s="79">
        <f>'Catering MMC'!U69+'Catering BBC'!U69</f>
        <v>0</v>
      </c>
      <c r="V69" s="80">
        <f t="shared" si="29"/>
        <v>0</v>
      </c>
    </row>
    <row r="70" spans="1:22" ht="12.75" customHeight="1">
      <c r="A70" s="221" t="s">
        <v>401</v>
      </c>
      <c r="B70" s="222"/>
      <c r="C70" s="79">
        <f>'Catering MMC'!C70+'Catering BBC'!C70</f>
        <v>114.13700000000003</v>
      </c>
      <c r="D70" s="80">
        <f t="shared" si="20"/>
        <v>1.0000000000000003E-4</v>
      </c>
      <c r="E70" s="79">
        <f>'Catering MMC'!E70+'Catering BBC'!E70</f>
        <v>117.81974</v>
      </c>
      <c r="F70" s="80">
        <f t="shared" si="21"/>
        <v>1E-4</v>
      </c>
      <c r="G70" s="79">
        <f>'Catering MMC'!G70+'Catering BBC'!G70</f>
        <v>120.17613480000001</v>
      </c>
      <c r="H70" s="80">
        <f t="shared" si="22"/>
        <v>1.0000000000000002E-4</v>
      </c>
      <c r="I70" s="79">
        <f>'Catering MMC'!I70+'Catering BBC'!I70</f>
        <v>122.57965749600002</v>
      </c>
      <c r="J70" s="80">
        <f t="shared" si="23"/>
        <v>1E-4</v>
      </c>
      <c r="K70" s="79">
        <f>'Catering MMC'!K70+'Catering BBC'!K70</f>
        <v>125.03125064592003</v>
      </c>
      <c r="L70" s="80">
        <f t="shared" si="24"/>
        <v>9.9999999999999991E-5</v>
      </c>
      <c r="M70" s="79">
        <f>'Catering MMC'!M70+'Catering BBC'!M70</f>
        <v>127.53187565883842</v>
      </c>
      <c r="N70" s="80">
        <f t="shared" si="25"/>
        <v>1E-4</v>
      </c>
      <c r="O70" s="79">
        <f>'Catering MMC'!O70+'Catering BBC'!O70</f>
        <v>130.08251317201518</v>
      </c>
      <c r="P70" s="80">
        <f t="shared" si="26"/>
        <v>1E-4</v>
      </c>
      <c r="Q70" s="79">
        <f>'Catering MMC'!Q70+'Catering BBC'!Q70</f>
        <v>132.68416343545547</v>
      </c>
      <c r="R70" s="80">
        <f t="shared" si="27"/>
        <v>9.9999999999999991E-5</v>
      </c>
      <c r="S70" s="79">
        <f>'Catering MMC'!S70+'Catering BBC'!S70</f>
        <v>135.3378467041646</v>
      </c>
      <c r="T70" s="80">
        <f t="shared" si="28"/>
        <v>1E-4</v>
      </c>
      <c r="U70" s="79">
        <f>'Catering MMC'!U70+'Catering BBC'!U70</f>
        <v>138.04460363824791</v>
      </c>
      <c r="V70" s="80">
        <f t="shared" si="29"/>
        <v>1.0000000000000003E-4</v>
      </c>
    </row>
    <row r="71" spans="1:22" ht="12.75" customHeight="1">
      <c r="A71" s="2" t="s">
        <v>402</v>
      </c>
      <c r="B71" s="35"/>
      <c r="C71" s="79">
        <f>'Catering MMC'!C71+'Catering BBC'!C71</f>
        <v>0</v>
      </c>
      <c r="D71" s="80">
        <f t="shared" si="20"/>
        <v>0</v>
      </c>
      <c r="E71" s="79">
        <f>'Catering MMC'!E71+'Catering BBC'!E71</f>
        <v>0</v>
      </c>
      <c r="F71" s="80">
        <f t="shared" si="21"/>
        <v>0</v>
      </c>
      <c r="G71" s="79">
        <f>'Catering MMC'!G71+'Catering BBC'!G71</f>
        <v>0</v>
      </c>
      <c r="H71" s="80">
        <f t="shared" si="22"/>
        <v>0</v>
      </c>
      <c r="I71" s="79">
        <f>'Catering MMC'!I71+'Catering BBC'!I71</f>
        <v>0</v>
      </c>
      <c r="J71" s="80">
        <f t="shared" si="23"/>
        <v>0</v>
      </c>
      <c r="K71" s="79">
        <f>'Catering MMC'!K71+'Catering BBC'!K71</f>
        <v>0</v>
      </c>
      <c r="L71" s="80">
        <f t="shared" si="24"/>
        <v>0</v>
      </c>
      <c r="M71" s="79">
        <f>'Catering MMC'!M71+'Catering BBC'!M71</f>
        <v>0</v>
      </c>
      <c r="N71" s="80">
        <f t="shared" si="25"/>
        <v>0</v>
      </c>
      <c r="O71" s="79">
        <f>'Catering MMC'!O71+'Catering BBC'!O71</f>
        <v>0</v>
      </c>
      <c r="P71" s="80">
        <f t="shared" si="26"/>
        <v>0</v>
      </c>
      <c r="Q71" s="79">
        <f>'Catering MMC'!Q71+'Catering BBC'!Q71</f>
        <v>0</v>
      </c>
      <c r="R71" s="80">
        <f t="shared" si="27"/>
        <v>0</v>
      </c>
      <c r="S71" s="79">
        <f>'Catering MMC'!S71+'Catering BBC'!S71</f>
        <v>0</v>
      </c>
      <c r="T71" s="80">
        <f t="shared" si="28"/>
        <v>0</v>
      </c>
      <c r="U71" s="79">
        <f>'Catering MMC'!U71+'Catering BBC'!U71</f>
        <v>0</v>
      </c>
      <c r="V71" s="80">
        <f t="shared" si="29"/>
        <v>0</v>
      </c>
    </row>
    <row r="72" spans="1:22" ht="12.75" customHeight="1">
      <c r="A72" s="2" t="s">
        <v>403</v>
      </c>
      <c r="B72" s="35"/>
      <c r="C72" s="79">
        <f>'Catering MMC'!C72+'Catering BBC'!C72</f>
        <v>0</v>
      </c>
      <c r="D72" s="80">
        <f t="shared" si="20"/>
        <v>0</v>
      </c>
      <c r="E72" s="79">
        <f>'Catering MMC'!E72+'Catering BBC'!E72</f>
        <v>0</v>
      </c>
      <c r="F72" s="80">
        <f t="shared" si="21"/>
        <v>0</v>
      </c>
      <c r="G72" s="79">
        <f>'Catering MMC'!G72+'Catering BBC'!G72</f>
        <v>0</v>
      </c>
      <c r="H72" s="80">
        <f t="shared" si="22"/>
        <v>0</v>
      </c>
      <c r="I72" s="79">
        <f>'Catering MMC'!I72+'Catering BBC'!I72</f>
        <v>0</v>
      </c>
      <c r="J72" s="80">
        <f t="shared" si="23"/>
        <v>0</v>
      </c>
      <c r="K72" s="79">
        <f>'Catering MMC'!K72+'Catering BBC'!K72</f>
        <v>0</v>
      </c>
      <c r="L72" s="80">
        <f t="shared" si="24"/>
        <v>0</v>
      </c>
      <c r="M72" s="79">
        <f>'Catering MMC'!M72+'Catering BBC'!M72</f>
        <v>0</v>
      </c>
      <c r="N72" s="80">
        <f t="shared" si="25"/>
        <v>0</v>
      </c>
      <c r="O72" s="79">
        <f>'Catering MMC'!O72+'Catering BBC'!O72</f>
        <v>0</v>
      </c>
      <c r="P72" s="80">
        <f t="shared" si="26"/>
        <v>0</v>
      </c>
      <c r="Q72" s="79">
        <f>'Catering MMC'!Q72+'Catering BBC'!Q72</f>
        <v>0</v>
      </c>
      <c r="R72" s="80">
        <f t="shared" si="27"/>
        <v>0</v>
      </c>
      <c r="S72" s="79">
        <f>'Catering MMC'!S72+'Catering BBC'!S72</f>
        <v>0</v>
      </c>
      <c r="T72" s="80">
        <f t="shared" si="28"/>
        <v>0</v>
      </c>
      <c r="U72" s="79">
        <f>'Catering MMC'!U72+'Catering BBC'!U72</f>
        <v>0</v>
      </c>
      <c r="V72" s="80">
        <f t="shared" si="29"/>
        <v>0</v>
      </c>
    </row>
    <row r="73" spans="1:22" ht="12.75" customHeight="1">
      <c r="A73" s="2" t="s">
        <v>404</v>
      </c>
      <c r="B73" s="35"/>
      <c r="C73" s="79">
        <f>'Catering MMC'!C73+'Catering BBC'!C73</f>
        <v>0</v>
      </c>
      <c r="D73" s="80">
        <f t="shared" si="20"/>
        <v>0</v>
      </c>
      <c r="E73" s="79">
        <f>'Catering MMC'!E73+'Catering BBC'!E73</f>
        <v>0</v>
      </c>
      <c r="F73" s="80">
        <f t="shared" si="21"/>
        <v>0</v>
      </c>
      <c r="G73" s="79">
        <f>'Catering MMC'!G73+'Catering BBC'!G73</f>
        <v>0</v>
      </c>
      <c r="H73" s="80">
        <f t="shared" si="22"/>
        <v>0</v>
      </c>
      <c r="I73" s="79">
        <f>'Catering MMC'!I73+'Catering BBC'!I73</f>
        <v>0</v>
      </c>
      <c r="J73" s="80">
        <f t="shared" si="23"/>
        <v>0</v>
      </c>
      <c r="K73" s="79">
        <f>'Catering MMC'!K73+'Catering BBC'!K73</f>
        <v>0</v>
      </c>
      <c r="L73" s="80">
        <f t="shared" si="24"/>
        <v>0</v>
      </c>
      <c r="M73" s="79">
        <f>'Catering MMC'!M73+'Catering BBC'!M73</f>
        <v>0</v>
      </c>
      <c r="N73" s="80">
        <f t="shared" si="25"/>
        <v>0</v>
      </c>
      <c r="O73" s="79">
        <f>'Catering MMC'!O73+'Catering BBC'!O73</f>
        <v>0</v>
      </c>
      <c r="P73" s="80">
        <f t="shared" si="26"/>
        <v>0</v>
      </c>
      <c r="Q73" s="79">
        <f>'Catering MMC'!Q73+'Catering BBC'!Q73</f>
        <v>0</v>
      </c>
      <c r="R73" s="80">
        <f t="shared" si="27"/>
        <v>0</v>
      </c>
      <c r="S73" s="79">
        <f>'Catering MMC'!S73+'Catering BBC'!S73</f>
        <v>0</v>
      </c>
      <c r="T73" s="80">
        <f t="shared" si="28"/>
        <v>0</v>
      </c>
      <c r="U73" s="79">
        <f>'Catering MMC'!U73+'Catering BBC'!U73</f>
        <v>0</v>
      </c>
      <c r="V73" s="80">
        <f t="shared" si="29"/>
        <v>0</v>
      </c>
    </row>
    <row r="74" spans="1:22" ht="12.75" customHeight="1">
      <c r="A74" s="2" t="s">
        <v>405</v>
      </c>
      <c r="B74" s="35"/>
      <c r="C74" s="79">
        <f>'Catering MMC'!C74+'Catering BBC'!C74</f>
        <v>0</v>
      </c>
      <c r="D74" s="80">
        <f t="shared" si="20"/>
        <v>0</v>
      </c>
      <c r="E74" s="79">
        <f>'Catering MMC'!E74+'Catering BBC'!E74</f>
        <v>0</v>
      </c>
      <c r="F74" s="80">
        <f t="shared" si="21"/>
        <v>0</v>
      </c>
      <c r="G74" s="79">
        <f>'Catering MMC'!G74+'Catering BBC'!G74</f>
        <v>0</v>
      </c>
      <c r="H74" s="80">
        <f t="shared" si="22"/>
        <v>0</v>
      </c>
      <c r="I74" s="79">
        <f>'Catering MMC'!I74+'Catering BBC'!I74</f>
        <v>0</v>
      </c>
      <c r="J74" s="80">
        <f t="shared" si="23"/>
        <v>0</v>
      </c>
      <c r="K74" s="79">
        <f>'Catering MMC'!K74+'Catering BBC'!K74</f>
        <v>0</v>
      </c>
      <c r="L74" s="80">
        <f t="shared" si="24"/>
        <v>0</v>
      </c>
      <c r="M74" s="79">
        <f>'Catering MMC'!M74+'Catering BBC'!M74</f>
        <v>0</v>
      </c>
      <c r="N74" s="80">
        <f t="shared" si="25"/>
        <v>0</v>
      </c>
      <c r="O74" s="79">
        <f>'Catering MMC'!O74+'Catering BBC'!O74</f>
        <v>0</v>
      </c>
      <c r="P74" s="80">
        <f t="shared" si="26"/>
        <v>0</v>
      </c>
      <c r="Q74" s="79">
        <f>'Catering MMC'!Q74+'Catering BBC'!Q74</f>
        <v>0</v>
      </c>
      <c r="R74" s="80">
        <f t="shared" si="27"/>
        <v>0</v>
      </c>
      <c r="S74" s="79">
        <f>'Catering MMC'!S74+'Catering BBC'!S74</f>
        <v>0</v>
      </c>
      <c r="T74" s="80">
        <f t="shared" si="28"/>
        <v>0</v>
      </c>
      <c r="U74" s="79">
        <f>'Catering MMC'!U74+'Catering BBC'!U74</f>
        <v>0</v>
      </c>
      <c r="V74" s="80">
        <f t="shared" si="29"/>
        <v>0</v>
      </c>
    </row>
    <row r="75" spans="1:22" ht="12.75" customHeight="1">
      <c r="A75" s="221" t="s">
        <v>406</v>
      </c>
      <c r="B75" s="222"/>
      <c r="C75" s="79">
        <f>'Catering MMC'!C75+'Catering BBC'!C75</f>
        <v>5706.85</v>
      </c>
      <c r="D75" s="80">
        <f t="shared" si="20"/>
        <v>5.0000000000000001E-3</v>
      </c>
      <c r="E75" s="79">
        <f>'Catering MMC'!E75+'Catering BBC'!E75</f>
        <v>5890.9870000000001</v>
      </c>
      <c r="F75" s="80">
        <f t="shared" si="21"/>
        <v>5.0000000000000001E-3</v>
      </c>
      <c r="G75" s="79">
        <f>'Catering MMC'!G75+'Catering BBC'!G75</f>
        <v>6008.8067400000009</v>
      </c>
      <c r="H75" s="80">
        <f t="shared" si="22"/>
        <v>5.000000000000001E-3</v>
      </c>
      <c r="I75" s="79">
        <f>'Catering MMC'!I75+'Catering BBC'!I75</f>
        <v>6128.9828748000018</v>
      </c>
      <c r="J75" s="80">
        <f t="shared" si="23"/>
        <v>5.000000000000001E-3</v>
      </c>
      <c r="K75" s="79">
        <f>'Catering MMC'!K75+'Catering BBC'!K75</f>
        <v>6251.5625322960013</v>
      </c>
      <c r="L75" s="80">
        <f t="shared" si="24"/>
        <v>5.0000000000000001E-3</v>
      </c>
      <c r="M75" s="79">
        <f>'Catering MMC'!M75+'Catering BBC'!M75</f>
        <v>6376.5937829419199</v>
      </c>
      <c r="N75" s="80">
        <f t="shared" si="25"/>
        <v>5.0000000000000001E-3</v>
      </c>
      <c r="O75" s="79">
        <f>'Catering MMC'!O75+'Catering BBC'!O75</f>
        <v>6504.1256586007603</v>
      </c>
      <c r="P75" s="80">
        <f t="shared" si="26"/>
        <v>5.000000000000001E-3</v>
      </c>
      <c r="Q75" s="79">
        <f>'Catering MMC'!Q75+'Catering BBC'!Q75</f>
        <v>6634.2081717727742</v>
      </c>
      <c r="R75" s="80">
        <f t="shared" si="27"/>
        <v>5.0000000000000001E-3</v>
      </c>
      <c r="S75" s="79">
        <f>'Catering MMC'!S75+'Catering BBC'!S75</f>
        <v>6766.8923352082302</v>
      </c>
      <c r="T75" s="80">
        <f t="shared" si="28"/>
        <v>5.0000000000000001E-3</v>
      </c>
      <c r="U75" s="79">
        <f>'Catering MMC'!U75+'Catering BBC'!U75</f>
        <v>6902.2301819123932</v>
      </c>
      <c r="V75" s="80">
        <f t="shared" si="29"/>
        <v>5.0000000000000001E-3</v>
      </c>
    </row>
    <row r="76" spans="1:22" ht="12.75" customHeight="1">
      <c r="A76" s="221" t="s">
        <v>407</v>
      </c>
      <c r="B76" s="222"/>
      <c r="C76" s="79">
        <f>'Catering MMC'!C76+'Catering BBC'!C76</f>
        <v>456.54800000000012</v>
      </c>
      <c r="D76" s="80">
        <f t="shared" si="20"/>
        <v>4.0000000000000013E-4</v>
      </c>
      <c r="E76" s="79">
        <f>'Catering MMC'!E76+'Catering BBC'!E76</f>
        <v>471.27895999999998</v>
      </c>
      <c r="F76" s="80">
        <f t="shared" si="21"/>
        <v>4.0000000000000002E-4</v>
      </c>
      <c r="G76" s="79">
        <f>'Catering MMC'!G76+'Catering BBC'!G76</f>
        <v>480.70453920000006</v>
      </c>
      <c r="H76" s="80">
        <f t="shared" si="22"/>
        <v>4.0000000000000007E-4</v>
      </c>
      <c r="I76" s="79">
        <f>'Catering MMC'!I76+'Catering BBC'!I76</f>
        <v>490.3186299840001</v>
      </c>
      <c r="J76" s="80">
        <f t="shared" si="23"/>
        <v>4.0000000000000002E-4</v>
      </c>
      <c r="K76" s="79">
        <f>'Catering MMC'!K76+'Catering BBC'!K76</f>
        <v>500.1250025836801</v>
      </c>
      <c r="L76" s="80">
        <f t="shared" si="24"/>
        <v>3.9999999999999996E-4</v>
      </c>
      <c r="M76" s="79">
        <f>'Catering MMC'!M76+'Catering BBC'!M76</f>
        <v>510.12750263535366</v>
      </c>
      <c r="N76" s="80">
        <f t="shared" si="25"/>
        <v>4.0000000000000002E-4</v>
      </c>
      <c r="O76" s="79">
        <f>'Catering MMC'!O76+'Catering BBC'!O76</f>
        <v>520.33005268806073</v>
      </c>
      <c r="P76" s="80">
        <f t="shared" si="26"/>
        <v>4.0000000000000002E-4</v>
      </c>
      <c r="Q76" s="79">
        <f>'Catering MMC'!Q76+'Catering BBC'!Q76</f>
        <v>530.7366537418219</v>
      </c>
      <c r="R76" s="80">
        <f t="shared" si="27"/>
        <v>3.9999999999999996E-4</v>
      </c>
      <c r="S76" s="79">
        <f>'Catering MMC'!S76+'Catering BBC'!S76</f>
        <v>541.35138681665842</v>
      </c>
      <c r="T76" s="80">
        <f t="shared" si="28"/>
        <v>4.0000000000000002E-4</v>
      </c>
      <c r="U76" s="79">
        <f>'Catering MMC'!U76+'Catering BBC'!U76</f>
        <v>552.17841455299163</v>
      </c>
      <c r="V76" s="80">
        <f t="shared" si="29"/>
        <v>4.0000000000000013E-4</v>
      </c>
    </row>
    <row r="77" spans="1:22" ht="12.75" customHeight="1">
      <c r="A77" s="221" t="s">
        <v>408</v>
      </c>
      <c r="B77" s="222"/>
      <c r="C77" s="79">
        <f>'Catering MMC'!C77+'Catering BBC'!C77</f>
        <v>1483.7809999999999</v>
      </c>
      <c r="D77" s="80">
        <f t="shared" si="20"/>
        <v>1.2999999999999999E-3</v>
      </c>
      <c r="E77" s="79">
        <f>'Catering MMC'!E77+'Catering BBC'!E77</f>
        <v>1531.6566199999997</v>
      </c>
      <c r="F77" s="80">
        <f t="shared" si="21"/>
        <v>1.2999999999999999E-3</v>
      </c>
      <c r="G77" s="79">
        <f>'Catering MMC'!G77+'Catering BBC'!G77</f>
        <v>1562.2897524</v>
      </c>
      <c r="H77" s="80">
        <f t="shared" si="22"/>
        <v>1.2999999999999999E-3</v>
      </c>
      <c r="I77" s="79">
        <f>'Catering MMC'!I77+'Catering BBC'!I77</f>
        <v>1593.5355474480002</v>
      </c>
      <c r="J77" s="80">
        <f t="shared" si="23"/>
        <v>1.3000000000000002E-3</v>
      </c>
      <c r="K77" s="79">
        <f>'Catering MMC'!K77+'Catering BBC'!K77</f>
        <v>1625.4062583969599</v>
      </c>
      <c r="L77" s="80">
        <f t="shared" si="24"/>
        <v>1.2999999999999995E-3</v>
      </c>
      <c r="M77" s="79">
        <f>'Catering MMC'!M77+'Catering BBC'!M77</f>
        <v>1657.9143835648993</v>
      </c>
      <c r="N77" s="80">
        <f t="shared" si="25"/>
        <v>1.2999999999999999E-3</v>
      </c>
      <c r="O77" s="79">
        <f>'Catering MMC'!O77+'Catering BBC'!O77</f>
        <v>1691.072671236197</v>
      </c>
      <c r="P77" s="80">
        <f t="shared" si="26"/>
        <v>1.2999999999999997E-3</v>
      </c>
      <c r="Q77" s="79">
        <f>'Catering MMC'!Q77+'Catering BBC'!Q77</f>
        <v>1724.8941246609211</v>
      </c>
      <c r="R77" s="80">
        <f t="shared" si="27"/>
        <v>1.2999999999999999E-3</v>
      </c>
      <c r="S77" s="79">
        <f>'Catering MMC'!S77+'Catering BBC'!S77</f>
        <v>1759.3920071541397</v>
      </c>
      <c r="T77" s="80">
        <f t="shared" si="28"/>
        <v>1.2999999999999999E-3</v>
      </c>
      <c r="U77" s="79">
        <f>'Catering MMC'!U77+'Catering BBC'!U77</f>
        <v>1794.5798472972224</v>
      </c>
      <c r="V77" s="80">
        <f t="shared" si="29"/>
        <v>1.3000000000000002E-3</v>
      </c>
    </row>
    <row r="78" spans="1:22" ht="12.75" customHeight="1">
      <c r="A78" s="221" t="s">
        <v>409</v>
      </c>
      <c r="B78" s="222"/>
      <c r="C78" s="79">
        <f>'Catering MMC'!C78+'Catering BBC'!C78</f>
        <v>25110.14</v>
      </c>
      <c r="D78" s="80">
        <f t="shared" si="20"/>
        <v>2.1999999999999999E-2</v>
      </c>
      <c r="E78" s="79">
        <f>'Catering MMC'!E78+'Catering BBC'!E78</f>
        <v>25920.342799999995</v>
      </c>
      <c r="F78" s="80">
        <f t="shared" si="21"/>
        <v>2.1999999999999999E-2</v>
      </c>
      <c r="G78" s="79">
        <f>'Catering MMC'!G78+'Catering BBC'!G78</f>
        <v>26438.749656</v>
      </c>
      <c r="H78" s="80">
        <f t="shared" si="22"/>
        <v>2.1999999999999999E-2</v>
      </c>
      <c r="I78" s="79">
        <f>'Catering MMC'!I78+'Catering BBC'!I78</f>
        <v>26967.524649120001</v>
      </c>
      <c r="J78" s="80">
        <f t="shared" si="23"/>
        <v>2.1999999999999999E-2</v>
      </c>
      <c r="K78" s="79">
        <f>'Catering MMC'!K78+'Catering BBC'!K78</f>
        <v>27506.875142102399</v>
      </c>
      <c r="L78" s="80">
        <f t="shared" si="24"/>
        <v>2.1999999999999995E-2</v>
      </c>
      <c r="M78" s="79">
        <f>'Catering MMC'!M78+'Catering BBC'!M78</f>
        <v>28057.012644944451</v>
      </c>
      <c r="N78" s="80">
        <f t="shared" si="25"/>
        <v>2.2000000000000002E-2</v>
      </c>
      <c r="O78" s="79">
        <f>'Catering MMC'!O78+'Catering BBC'!O78</f>
        <v>28618.152897843338</v>
      </c>
      <c r="P78" s="80">
        <f t="shared" si="26"/>
        <v>2.1999999999999999E-2</v>
      </c>
      <c r="Q78" s="79">
        <f>'Catering MMC'!Q78+'Catering BBC'!Q78</f>
        <v>29190.515955800198</v>
      </c>
      <c r="R78" s="80">
        <f t="shared" si="27"/>
        <v>2.1999999999999995E-2</v>
      </c>
      <c r="S78" s="79">
        <f>'Catering MMC'!S78+'Catering BBC'!S78</f>
        <v>29774.32627491621</v>
      </c>
      <c r="T78" s="80">
        <f t="shared" si="28"/>
        <v>2.1999999999999999E-2</v>
      </c>
      <c r="U78" s="79">
        <f>'Catering MMC'!U78+'Catering BBC'!U78</f>
        <v>30369.812800414536</v>
      </c>
      <c r="V78" s="80">
        <f t="shared" si="29"/>
        <v>2.2000000000000006E-2</v>
      </c>
    </row>
    <row r="79" spans="1:22" ht="12.75" customHeight="1">
      <c r="A79" s="2" t="s">
        <v>410</v>
      </c>
      <c r="B79" s="35"/>
      <c r="C79" s="79">
        <f>'Catering MMC'!C79+'Catering BBC'!C79</f>
        <v>0</v>
      </c>
      <c r="D79" s="80">
        <f t="shared" si="20"/>
        <v>0</v>
      </c>
      <c r="E79" s="79">
        <f>'Catering MMC'!E79+'Catering BBC'!E79</f>
        <v>0</v>
      </c>
      <c r="F79" s="80">
        <f t="shared" si="21"/>
        <v>0</v>
      </c>
      <c r="G79" s="79">
        <f>'Catering MMC'!G79+'Catering BBC'!G79</f>
        <v>0</v>
      </c>
      <c r="H79" s="80">
        <f t="shared" si="22"/>
        <v>0</v>
      </c>
      <c r="I79" s="79">
        <f>'Catering MMC'!I79+'Catering BBC'!I79</f>
        <v>0</v>
      </c>
      <c r="J79" s="80">
        <f t="shared" si="23"/>
        <v>0</v>
      </c>
      <c r="K79" s="79">
        <f>'Catering MMC'!K79+'Catering BBC'!K79</f>
        <v>0</v>
      </c>
      <c r="L79" s="80">
        <f t="shared" si="24"/>
        <v>0</v>
      </c>
      <c r="M79" s="79">
        <f>'Catering MMC'!M79+'Catering BBC'!M79</f>
        <v>0</v>
      </c>
      <c r="N79" s="80">
        <f t="shared" si="25"/>
        <v>0</v>
      </c>
      <c r="O79" s="79">
        <f>'Catering MMC'!O79+'Catering BBC'!O79</f>
        <v>0</v>
      </c>
      <c r="P79" s="80">
        <f t="shared" si="26"/>
        <v>0</v>
      </c>
      <c r="Q79" s="79">
        <f>'Catering MMC'!Q79+'Catering BBC'!Q79</f>
        <v>0</v>
      </c>
      <c r="R79" s="80">
        <f t="shared" si="27"/>
        <v>0</v>
      </c>
      <c r="S79" s="79">
        <f>'Catering MMC'!S79+'Catering BBC'!S79</f>
        <v>0</v>
      </c>
      <c r="T79" s="80">
        <f t="shared" si="28"/>
        <v>0</v>
      </c>
      <c r="U79" s="79">
        <f>'Catering MMC'!U79+'Catering BBC'!U79</f>
        <v>0</v>
      </c>
      <c r="V79" s="80">
        <f t="shared" si="29"/>
        <v>0</v>
      </c>
    </row>
    <row r="80" spans="1:22" ht="12.75" customHeight="1">
      <c r="A80" s="2" t="s">
        <v>411</v>
      </c>
      <c r="B80" s="35"/>
      <c r="C80" s="79">
        <f>'Catering MMC'!C80+'Catering BBC'!C80</f>
        <v>0</v>
      </c>
      <c r="D80" s="80">
        <f t="shared" si="20"/>
        <v>0</v>
      </c>
      <c r="E80" s="79">
        <f>'Catering MMC'!E80+'Catering BBC'!E80</f>
        <v>0</v>
      </c>
      <c r="F80" s="80">
        <f t="shared" si="21"/>
        <v>0</v>
      </c>
      <c r="G80" s="79">
        <f>'Catering MMC'!G80+'Catering BBC'!G80</f>
        <v>0</v>
      </c>
      <c r="H80" s="80">
        <f t="shared" si="22"/>
        <v>0</v>
      </c>
      <c r="I80" s="79">
        <f>'Catering MMC'!I80+'Catering BBC'!I80</f>
        <v>0</v>
      </c>
      <c r="J80" s="80">
        <f t="shared" si="23"/>
        <v>0</v>
      </c>
      <c r="K80" s="79">
        <f>'Catering MMC'!K80+'Catering BBC'!K80</f>
        <v>0</v>
      </c>
      <c r="L80" s="80">
        <f t="shared" si="24"/>
        <v>0</v>
      </c>
      <c r="M80" s="79">
        <f>'Catering MMC'!M80+'Catering BBC'!M80</f>
        <v>0</v>
      </c>
      <c r="N80" s="80">
        <f t="shared" si="25"/>
        <v>0</v>
      </c>
      <c r="O80" s="79">
        <f>'Catering MMC'!O80+'Catering BBC'!O80</f>
        <v>0</v>
      </c>
      <c r="P80" s="80">
        <f t="shared" si="26"/>
        <v>0</v>
      </c>
      <c r="Q80" s="79">
        <f>'Catering MMC'!Q80+'Catering BBC'!Q80</f>
        <v>0</v>
      </c>
      <c r="R80" s="80">
        <f t="shared" si="27"/>
        <v>0</v>
      </c>
      <c r="S80" s="79">
        <f>'Catering MMC'!S80+'Catering BBC'!S80</f>
        <v>0</v>
      </c>
      <c r="T80" s="80">
        <f t="shared" si="28"/>
        <v>0</v>
      </c>
      <c r="U80" s="79">
        <f>'Catering MMC'!U80+'Catering BBC'!U80</f>
        <v>0</v>
      </c>
      <c r="V80" s="80">
        <f t="shared" si="29"/>
        <v>0</v>
      </c>
    </row>
    <row r="81" spans="1:22" ht="12.75" customHeight="1">
      <c r="A81" s="2" t="s">
        <v>412</v>
      </c>
      <c r="B81" s="35"/>
      <c r="C81" s="79">
        <f>'Catering MMC'!C81+'Catering BBC'!C81</f>
        <v>0</v>
      </c>
      <c r="D81" s="80">
        <f t="shared" si="20"/>
        <v>0</v>
      </c>
      <c r="E81" s="79">
        <f>'Catering MMC'!E81+'Catering BBC'!E81</f>
        <v>0</v>
      </c>
      <c r="F81" s="80">
        <f t="shared" si="21"/>
        <v>0</v>
      </c>
      <c r="G81" s="79">
        <f>'Catering MMC'!G81+'Catering BBC'!G81</f>
        <v>0</v>
      </c>
      <c r="H81" s="80">
        <f t="shared" si="22"/>
        <v>0</v>
      </c>
      <c r="I81" s="79">
        <f>'Catering MMC'!I81+'Catering BBC'!I81</f>
        <v>0</v>
      </c>
      <c r="J81" s="80">
        <f t="shared" si="23"/>
        <v>0</v>
      </c>
      <c r="K81" s="79">
        <f>'Catering MMC'!K81+'Catering BBC'!K81</f>
        <v>0</v>
      </c>
      <c r="L81" s="80">
        <f t="shared" si="24"/>
        <v>0</v>
      </c>
      <c r="M81" s="79">
        <f>'Catering MMC'!M81+'Catering BBC'!M81</f>
        <v>0</v>
      </c>
      <c r="N81" s="80">
        <f t="shared" si="25"/>
        <v>0</v>
      </c>
      <c r="O81" s="79">
        <f>'Catering MMC'!O81+'Catering BBC'!O81</f>
        <v>0</v>
      </c>
      <c r="P81" s="80">
        <f t="shared" si="26"/>
        <v>0</v>
      </c>
      <c r="Q81" s="79">
        <f>'Catering MMC'!Q81+'Catering BBC'!Q81</f>
        <v>0</v>
      </c>
      <c r="R81" s="80">
        <f t="shared" si="27"/>
        <v>0</v>
      </c>
      <c r="S81" s="79">
        <f>'Catering MMC'!S81+'Catering BBC'!S81</f>
        <v>0</v>
      </c>
      <c r="T81" s="80">
        <f t="shared" si="28"/>
        <v>0</v>
      </c>
      <c r="U81" s="79">
        <f>'Catering MMC'!U81+'Catering BBC'!U81</f>
        <v>0</v>
      </c>
      <c r="V81" s="80">
        <f t="shared" si="29"/>
        <v>0</v>
      </c>
    </row>
    <row r="82" spans="1:22" ht="12.75" customHeight="1">
      <c r="A82" s="2" t="s">
        <v>413</v>
      </c>
      <c r="B82" s="35"/>
      <c r="C82" s="79">
        <f>'Catering MMC'!C82+'Catering BBC'!C82</f>
        <v>0</v>
      </c>
      <c r="D82" s="80">
        <f t="shared" si="20"/>
        <v>0</v>
      </c>
      <c r="E82" s="79">
        <f>'Catering MMC'!E82+'Catering BBC'!E82</f>
        <v>0</v>
      </c>
      <c r="F82" s="80">
        <f t="shared" si="21"/>
        <v>0</v>
      </c>
      <c r="G82" s="79">
        <f>'Catering MMC'!G82+'Catering BBC'!G82</f>
        <v>0</v>
      </c>
      <c r="H82" s="80">
        <f t="shared" si="22"/>
        <v>0</v>
      </c>
      <c r="I82" s="79">
        <f>'Catering MMC'!I82+'Catering BBC'!I82</f>
        <v>0</v>
      </c>
      <c r="J82" s="80">
        <f t="shared" si="23"/>
        <v>0</v>
      </c>
      <c r="K82" s="79">
        <f>'Catering MMC'!K82+'Catering BBC'!K82</f>
        <v>0</v>
      </c>
      <c r="L82" s="80">
        <f t="shared" si="24"/>
        <v>0</v>
      </c>
      <c r="M82" s="79">
        <f>'Catering MMC'!M82+'Catering BBC'!M82</f>
        <v>0</v>
      </c>
      <c r="N82" s="80">
        <f t="shared" si="25"/>
        <v>0</v>
      </c>
      <c r="O82" s="79">
        <f>'Catering MMC'!O82+'Catering BBC'!O82</f>
        <v>0</v>
      </c>
      <c r="P82" s="80">
        <f t="shared" si="26"/>
        <v>0</v>
      </c>
      <c r="Q82" s="79">
        <f>'Catering MMC'!Q82+'Catering BBC'!Q82</f>
        <v>0</v>
      </c>
      <c r="R82" s="80">
        <f t="shared" si="27"/>
        <v>0</v>
      </c>
      <c r="S82" s="79">
        <f>'Catering MMC'!S82+'Catering BBC'!S82</f>
        <v>0</v>
      </c>
      <c r="T82" s="80">
        <f t="shared" si="28"/>
        <v>0</v>
      </c>
      <c r="U82" s="79">
        <f>'Catering MMC'!U82+'Catering BBC'!U82</f>
        <v>0</v>
      </c>
      <c r="V82" s="80">
        <f t="shared" si="29"/>
        <v>0</v>
      </c>
    </row>
    <row r="83" spans="1:22" ht="12.75" customHeight="1">
      <c r="A83" s="2" t="s">
        <v>414</v>
      </c>
      <c r="B83" s="35"/>
      <c r="C83" s="79">
        <f>'Catering MMC'!C83+'Catering BBC'!C83</f>
        <v>0</v>
      </c>
      <c r="D83" s="80">
        <f t="shared" si="20"/>
        <v>0</v>
      </c>
      <c r="E83" s="79">
        <f>'Catering MMC'!E83+'Catering BBC'!E83</f>
        <v>0</v>
      </c>
      <c r="F83" s="80">
        <f t="shared" si="21"/>
        <v>0</v>
      </c>
      <c r="G83" s="79">
        <f>'Catering MMC'!G83+'Catering BBC'!G83</f>
        <v>0</v>
      </c>
      <c r="H83" s="80">
        <f t="shared" si="22"/>
        <v>0</v>
      </c>
      <c r="I83" s="79">
        <f>'Catering MMC'!I83+'Catering BBC'!I83</f>
        <v>0</v>
      </c>
      <c r="J83" s="80">
        <f t="shared" si="23"/>
        <v>0</v>
      </c>
      <c r="K83" s="79">
        <f>'Catering MMC'!K83+'Catering BBC'!K83</f>
        <v>0</v>
      </c>
      <c r="L83" s="80">
        <f t="shared" si="24"/>
        <v>0</v>
      </c>
      <c r="M83" s="79">
        <f>'Catering MMC'!M83+'Catering BBC'!M83</f>
        <v>0</v>
      </c>
      <c r="N83" s="80">
        <f t="shared" si="25"/>
        <v>0</v>
      </c>
      <c r="O83" s="79">
        <f>'Catering MMC'!O83+'Catering BBC'!O83</f>
        <v>0</v>
      </c>
      <c r="P83" s="80">
        <f t="shared" si="26"/>
        <v>0</v>
      </c>
      <c r="Q83" s="79">
        <f>'Catering MMC'!Q83+'Catering BBC'!Q83</f>
        <v>0</v>
      </c>
      <c r="R83" s="80">
        <f t="shared" si="27"/>
        <v>0</v>
      </c>
      <c r="S83" s="79">
        <f>'Catering MMC'!S83+'Catering BBC'!S83</f>
        <v>0</v>
      </c>
      <c r="T83" s="80">
        <f t="shared" si="28"/>
        <v>0</v>
      </c>
      <c r="U83" s="79">
        <f>'Catering MMC'!U83+'Catering BBC'!U83</f>
        <v>0</v>
      </c>
      <c r="V83" s="80">
        <f t="shared" si="29"/>
        <v>0</v>
      </c>
    </row>
    <row r="84" spans="1:22" ht="12.75" customHeight="1">
      <c r="A84" s="2" t="s">
        <v>415</v>
      </c>
      <c r="B84" s="35"/>
      <c r="C84" s="79">
        <f>'Catering MMC'!C84+'Catering BBC'!C84</f>
        <v>0</v>
      </c>
      <c r="D84" s="80">
        <f t="shared" ref="D84:D105" si="30">IFERROR(C84/C$28,0)</f>
        <v>0</v>
      </c>
      <c r="E84" s="79">
        <f>'Catering MMC'!E84+'Catering BBC'!E84</f>
        <v>0</v>
      </c>
      <c r="F84" s="80">
        <f t="shared" ref="F84:F105" si="31">IFERROR(E84/E$28,0)</f>
        <v>0</v>
      </c>
      <c r="G84" s="79">
        <f>'Catering MMC'!G84+'Catering BBC'!G84</f>
        <v>0</v>
      </c>
      <c r="H84" s="80">
        <f t="shared" ref="H84:H105" si="32">IFERROR(G84/G$28,0)</f>
        <v>0</v>
      </c>
      <c r="I84" s="79">
        <f>'Catering MMC'!I84+'Catering BBC'!I84</f>
        <v>0</v>
      </c>
      <c r="J84" s="80">
        <f t="shared" ref="J84:J105" si="33">IFERROR(I84/I$28,0)</f>
        <v>0</v>
      </c>
      <c r="K84" s="79">
        <f>'Catering MMC'!K84+'Catering BBC'!K84</f>
        <v>0</v>
      </c>
      <c r="L84" s="80">
        <f t="shared" ref="L84:L105" si="34">IFERROR(K84/K$28,0)</f>
        <v>0</v>
      </c>
      <c r="M84" s="79">
        <f>'Catering MMC'!M84+'Catering BBC'!M84</f>
        <v>0</v>
      </c>
      <c r="N84" s="80">
        <f t="shared" ref="N84:N105" si="35">IFERROR(M84/M$28,0)</f>
        <v>0</v>
      </c>
      <c r="O84" s="79">
        <f>'Catering MMC'!O84+'Catering BBC'!O84</f>
        <v>0</v>
      </c>
      <c r="P84" s="80">
        <f t="shared" ref="P84:P105" si="36">IFERROR(O84/O$28,0)</f>
        <v>0</v>
      </c>
      <c r="Q84" s="79">
        <f>'Catering MMC'!Q84+'Catering BBC'!Q84</f>
        <v>0</v>
      </c>
      <c r="R84" s="80">
        <f t="shared" ref="R84:R105" si="37">IFERROR(Q84/Q$28,0)</f>
        <v>0</v>
      </c>
      <c r="S84" s="79">
        <f>'Catering MMC'!S84+'Catering BBC'!S84</f>
        <v>0</v>
      </c>
      <c r="T84" s="80">
        <f t="shared" ref="T84:T105" si="38">IFERROR(S84/S$28,0)</f>
        <v>0</v>
      </c>
      <c r="U84" s="79">
        <f>'Catering MMC'!U84+'Catering BBC'!U84</f>
        <v>0</v>
      </c>
      <c r="V84" s="80">
        <f t="shared" si="29"/>
        <v>0</v>
      </c>
    </row>
    <row r="85" spans="1:22" ht="12.75" customHeight="1">
      <c r="A85" s="2" t="s">
        <v>416</v>
      </c>
      <c r="B85" s="35"/>
      <c r="C85" s="79">
        <f>'Catering MMC'!C85+'Catering BBC'!C85</f>
        <v>0</v>
      </c>
      <c r="D85" s="80">
        <f t="shared" si="30"/>
        <v>0</v>
      </c>
      <c r="E85" s="79">
        <f>'Catering MMC'!E85+'Catering BBC'!E85</f>
        <v>0</v>
      </c>
      <c r="F85" s="80">
        <f t="shared" si="31"/>
        <v>0</v>
      </c>
      <c r="G85" s="79">
        <f>'Catering MMC'!G85+'Catering BBC'!G85</f>
        <v>0</v>
      </c>
      <c r="H85" s="80">
        <f t="shared" si="32"/>
        <v>0</v>
      </c>
      <c r="I85" s="79">
        <f>'Catering MMC'!I85+'Catering BBC'!I85</f>
        <v>0</v>
      </c>
      <c r="J85" s="80">
        <f t="shared" si="33"/>
        <v>0</v>
      </c>
      <c r="K85" s="79">
        <f>'Catering MMC'!K85+'Catering BBC'!K85</f>
        <v>0</v>
      </c>
      <c r="L85" s="80">
        <f t="shared" si="34"/>
        <v>0</v>
      </c>
      <c r="M85" s="79">
        <f>'Catering MMC'!M85+'Catering BBC'!M85</f>
        <v>0</v>
      </c>
      <c r="N85" s="80">
        <f t="shared" si="35"/>
        <v>0</v>
      </c>
      <c r="O85" s="79">
        <f>'Catering MMC'!O85+'Catering BBC'!O85</f>
        <v>0</v>
      </c>
      <c r="P85" s="80">
        <f t="shared" si="36"/>
        <v>0</v>
      </c>
      <c r="Q85" s="79">
        <f>'Catering MMC'!Q85+'Catering BBC'!Q85</f>
        <v>0</v>
      </c>
      <c r="R85" s="80">
        <f t="shared" si="37"/>
        <v>0</v>
      </c>
      <c r="S85" s="79">
        <f>'Catering MMC'!S85+'Catering BBC'!S85</f>
        <v>0</v>
      </c>
      <c r="T85" s="80">
        <f t="shared" si="38"/>
        <v>0</v>
      </c>
      <c r="U85" s="79">
        <f>'Catering MMC'!U85+'Catering BBC'!U85</f>
        <v>0</v>
      </c>
      <c r="V85" s="80">
        <f t="shared" si="29"/>
        <v>0</v>
      </c>
    </row>
    <row r="86" spans="1:22" ht="12.75" customHeight="1">
      <c r="A86" s="221" t="s">
        <v>417</v>
      </c>
      <c r="B86" s="222"/>
      <c r="C86" s="79">
        <f>'Catering MMC'!C86+'Catering BBC'!C86</f>
        <v>4565.4799999999996</v>
      </c>
      <c r="D86" s="80">
        <f t="shared" si="30"/>
        <v>3.9999999999999992E-3</v>
      </c>
      <c r="E86" s="79">
        <f>'Catering MMC'!E86+'Catering BBC'!E86</f>
        <v>4712.7896000000001</v>
      </c>
      <c r="F86" s="80">
        <f t="shared" si="31"/>
        <v>4.0000000000000001E-3</v>
      </c>
      <c r="G86" s="79">
        <f>'Catering MMC'!G86+'Catering BBC'!G86</f>
        <v>4807.0453920000009</v>
      </c>
      <c r="H86" s="80">
        <f t="shared" si="32"/>
        <v>4.000000000000001E-3</v>
      </c>
      <c r="I86" s="79">
        <f>'Catering MMC'!I86+'Catering BBC'!I86</f>
        <v>4903.1862998400011</v>
      </c>
      <c r="J86" s="80">
        <f t="shared" si="33"/>
        <v>4.0000000000000001E-3</v>
      </c>
      <c r="K86" s="79">
        <f>'Catering MMC'!K86+'Catering BBC'!K86</f>
        <v>5001.2500258368</v>
      </c>
      <c r="L86" s="80">
        <f t="shared" si="34"/>
        <v>3.9999999999999992E-3</v>
      </c>
      <c r="M86" s="79">
        <f>'Catering MMC'!M86+'Catering BBC'!M86</f>
        <v>5101.2750263535363</v>
      </c>
      <c r="N86" s="80">
        <f t="shared" si="35"/>
        <v>4.0000000000000001E-3</v>
      </c>
      <c r="O86" s="79">
        <f>'Catering MMC'!O86+'Catering BBC'!O86</f>
        <v>5203.3005268806064</v>
      </c>
      <c r="P86" s="80">
        <f t="shared" si="36"/>
        <v>3.9999999999999992E-3</v>
      </c>
      <c r="Q86" s="79">
        <f>'Catering MMC'!Q86+'Catering BBC'!Q86</f>
        <v>5307.3665374182192</v>
      </c>
      <c r="R86" s="80">
        <f t="shared" si="37"/>
        <v>4.0000000000000001E-3</v>
      </c>
      <c r="S86" s="79">
        <f>'Catering MMC'!S86+'Catering BBC'!S86</f>
        <v>5413.5138681665831</v>
      </c>
      <c r="T86" s="80">
        <f t="shared" si="38"/>
        <v>3.9999999999999992E-3</v>
      </c>
      <c r="U86" s="79">
        <f>'Catering MMC'!U86+'Catering BBC'!U86</f>
        <v>5521.7841455299149</v>
      </c>
      <c r="V86" s="80">
        <f t="shared" si="29"/>
        <v>4.0000000000000001E-3</v>
      </c>
    </row>
    <row r="87" spans="1:22" ht="12.75" customHeight="1">
      <c r="A87" s="2" t="s">
        <v>418</v>
      </c>
      <c r="B87" s="35"/>
      <c r="C87" s="79">
        <f>'Catering MMC'!C87+'Catering BBC'!C87</f>
        <v>0</v>
      </c>
      <c r="D87" s="80">
        <f t="shared" si="30"/>
        <v>0</v>
      </c>
      <c r="E87" s="79">
        <f>'Catering MMC'!E87+'Catering BBC'!E87</f>
        <v>0</v>
      </c>
      <c r="F87" s="80">
        <f t="shared" si="31"/>
        <v>0</v>
      </c>
      <c r="G87" s="79">
        <f>'Catering MMC'!G87+'Catering BBC'!G87</f>
        <v>0</v>
      </c>
      <c r="H87" s="80">
        <f t="shared" si="32"/>
        <v>0</v>
      </c>
      <c r="I87" s="79">
        <f>'Catering MMC'!I87+'Catering BBC'!I87</f>
        <v>0</v>
      </c>
      <c r="J87" s="80">
        <f t="shared" si="33"/>
        <v>0</v>
      </c>
      <c r="K87" s="79">
        <f>'Catering MMC'!K87+'Catering BBC'!K87</f>
        <v>0</v>
      </c>
      <c r="L87" s="80">
        <f t="shared" si="34"/>
        <v>0</v>
      </c>
      <c r="M87" s="79">
        <f>'Catering MMC'!M87+'Catering BBC'!M87</f>
        <v>0</v>
      </c>
      <c r="N87" s="80">
        <f t="shared" si="35"/>
        <v>0</v>
      </c>
      <c r="O87" s="79">
        <f>'Catering MMC'!O87+'Catering BBC'!O87</f>
        <v>0</v>
      </c>
      <c r="P87" s="80">
        <f t="shared" si="36"/>
        <v>0</v>
      </c>
      <c r="Q87" s="79">
        <f>'Catering MMC'!Q87+'Catering BBC'!Q87</f>
        <v>0</v>
      </c>
      <c r="R87" s="80">
        <f t="shared" si="37"/>
        <v>0</v>
      </c>
      <c r="S87" s="79">
        <f>'Catering MMC'!S87+'Catering BBC'!S87</f>
        <v>0</v>
      </c>
      <c r="T87" s="80">
        <f t="shared" si="38"/>
        <v>0</v>
      </c>
      <c r="U87" s="79">
        <f>'Catering MMC'!U87+'Catering BBC'!U87</f>
        <v>0</v>
      </c>
      <c r="V87" s="80">
        <f t="shared" si="29"/>
        <v>0</v>
      </c>
    </row>
    <row r="88" spans="1:22" ht="12.75" customHeight="1">
      <c r="A88" s="221" t="s">
        <v>419</v>
      </c>
      <c r="B88" s="222"/>
      <c r="C88" s="79">
        <f>'Catering MMC'!C88+'Catering BBC'!C88</f>
        <v>5820.987000000001</v>
      </c>
      <c r="D88" s="80">
        <f t="shared" si="30"/>
        <v>5.1000000000000012E-3</v>
      </c>
      <c r="E88" s="79">
        <f>'Catering MMC'!E88+'Catering BBC'!E88</f>
        <v>6008.80674</v>
      </c>
      <c r="F88" s="80">
        <f t="shared" si="31"/>
        <v>5.1000000000000004E-3</v>
      </c>
      <c r="G88" s="79">
        <f>'Catering MMC'!G88+'Catering BBC'!G88</f>
        <v>6128.9828748000018</v>
      </c>
      <c r="H88" s="80">
        <f t="shared" si="32"/>
        <v>5.1000000000000012E-3</v>
      </c>
      <c r="I88" s="79">
        <f>'Catering MMC'!I88+'Catering BBC'!I88</f>
        <v>6251.5625322960022</v>
      </c>
      <c r="J88" s="80">
        <f t="shared" si="33"/>
        <v>5.1000000000000012E-3</v>
      </c>
      <c r="K88" s="79">
        <f>'Catering MMC'!K88+'Catering BBC'!K88</f>
        <v>6376.5937829419208</v>
      </c>
      <c r="L88" s="80">
        <f t="shared" si="34"/>
        <v>5.0999999999999995E-3</v>
      </c>
      <c r="M88" s="79">
        <f>'Catering MMC'!M88+'Catering BBC'!M88</f>
        <v>6504.1256586007594</v>
      </c>
      <c r="N88" s="80">
        <f t="shared" si="35"/>
        <v>5.1000000000000004E-3</v>
      </c>
      <c r="O88" s="79">
        <f>'Catering MMC'!O88+'Catering BBC'!O88</f>
        <v>6634.2081717727742</v>
      </c>
      <c r="P88" s="80">
        <f t="shared" si="36"/>
        <v>5.1000000000000004E-3</v>
      </c>
      <c r="Q88" s="79">
        <f>'Catering MMC'!Q88+'Catering BBC'!Q88</f>
        <v>6766.8923352082302</v>
      </c>
      <c r="R88" s="80">
        <f t="shared" si="37"/>
        <v>5.1000000000000004E-3</v>
      </c>
      <c r="S88" s="79">
        <f>'Catering MMC'!S88+'Catering BBC'!S88</f>
        <v>6902.230181912395</v>
      </c>
      <c r="T88" s="80">
        <f t="shared" si="38"/>
        <v>5.1000000000000004E-3</v>
      </c>
      <c r="U88" s="79">
        <f>'Catering MMC'!U88+'Catering BBC'!U88</f>
        <v>7040.2747855506423</v>
      </c>
      <c r="V88" s="80">
        <f t="shared" si="29"/>
        <v>5.1000000000000004E-3</v>
      </c>
    </row>
    <row r="89" spans="1:22" ht="12.75" customHeight="1">
      <c r="A89" s="2" t="s">
        <v>420</v>
      </c>
      <c r="B89" s="35"/>
      <c r="C89" s="79">
        <f>'Catering MMC'!C89+'Catering BBC'!C89</f>
        <v>0</v>
      </c>
      <c r="D89" s="80">
        <f t="shared" si="30"/>
        <v>0</v>
      </c>
      <c r="E89" s="79">
        <f>'Catering MMC'!E89+'Catering BBC'!E89</f>
        <v>0</v>
      </c>
      <c r="F89" s="80">
        <f t="shared" si="31"/>
        <v>0</v>
      </c>
      <c r="G89" s="79">
        <f>'Catering MMC'!G89+'Catering BBC'!G89</f>
        <v>0</v>
      </c>
      <c r="H89" s="80">
        <f t="shared" si="32"/>
        <v>0</v>
      </c>
      <c r="I89" s="79">
        <f>'Catering MMC'!I89+'Catering BBC'!I89</f>
        <v>0</v>
      </c>
      <c r="J89" s="80">
        <f t="shared" si="33"/>
        <v>0</v>
      </c>
      <c r="K89" s="79">
        <f>'Catering MMC'!K89+'Catering BBC'!K89</f>
        <v>0</v>
      </c>
      <c r="L89" s="80">
        <f t="shared" si="34"/>
        <v>0</v>
      </c>
      <c r="M89" s="79">
        <f>'Catering MMC'!M89+'Catering BBC'!M89</f>
        <v>0</v>
      </c>
      <c r="N89" s="80">
        <f t="shared" si="35"/>
        <v>0</v>
      </c>
      <c r="O89" s="79">
        <f>'Catering MMC'!O89+'Catering BBC'!O89</f>
        <v>0</v>
      </c>
      <c r="P89" s="80">
        <f t="shared" si="36"/>
        <v>0</v>
      </c>
      <c r="Q89" s="79">
        <f>'Catering MMC'!Q89+'Catering BBC'!Q89</f>
        <v>0</v>
      </c>
      <c r="R89" s="80">
        <f t="shared" si="37"/>
        <v>0</v>
      </c>
      <c r="S89" s="79">
        <f>'Catering MMC'!S89+'Catering BBC'!S89</f>
        <v>0</v>
      </c>
      <c r="T89" s="80">
        <f t="shared" si="38"/>
        <v>0</v>
      </c>
      <c r="U89" s="79">
        <f>'Catering MMC'!U89+'Catering BBC'!U89</f>
        <v>0</v>
      </c>
      <c r="V89" s="80">
        <f t="shared" si="29"/>
        <v>0</v>
      </c>
    </row>
    <row r="90" spans="1:22" ht="12.75" customHeight="1">
      <c r="A90" s="221" t="s">
        <v>421</v>
      </c>
      <c r="B90" s="222"/>
      <c r="C90" s="79">
        <f>'Catering MMC'!C90+'Catering BBC'!C90</f>
        <v>228.27400000000006</v>
      </c>
      <c r="D90" s="80">
        <f t="shared" si="30"/>
        <v>2.0000000000000006E-4</v>
      </c>
      <c r="E90" s="79">
        <f>'Catering MMC'!E90+'Catering BBC'!E90</f>
        <v>235.63947999999999</v>
      </c>
      <c r="F90" s="80">
        <f t="shared" si="31"/>
        <v>2.0000000000000001E-4</v>
      </c>
      <c r="G90" s="79">
        <f>'Catering MMC'!G90+'Catering BBC'!G90</f>
        <v>240.35226960000003</v>
      </c>
      <c r="H90" s="80">
        <f t="shared" si="32"/>
        <v>2.0000000000000004E-4</v>
      </c>
      <c r="I90" s="79">
        <f>'Catering MMC'!I90+'Catering BBC'!I90</f>
        <v>245.15931499200005</v>
      </c>
      <c r="J90" s="80">
        <f t="shared" si="33"/>
        <v>2.0000000000000001E-4</v>
      </c>
      <c r="K90" s="79">
        <f>'Catering MMC'!K90+'Catering BBC'!K90</f>
        <v>250.06250129184005</v>
      </c>
      <c r="L90" s="80">
        <f t="shared" si="34"/>
        <v>1.9999999999999998E-4</v>
      </c>
      <c r="M90" s="79">
        <f>'Catering MMC'!M90+'Catering BBC'!M90</f>
        <v>255.06375131767683</v>
      </c>
      <c r="N90" s="80">
        <f t="shared" si="35"/>
        <v>2.0000000000000001E-4</v>
      </c>
      <c r="O90" s="79">
        <f>'Catering MMC'!O90+'Catering BBC'!O90</f>
        <v>260.16502634403037</v>
      </c>
      <c r="P90" s="80">
        <f t="shared" si="36"/>
        <v>2.0000000000000001E-4</v>
      </c>
      <c r="Q90" s="79">
        <f>'Catering MMC'!Q90+'Catering BBC'!Q90</f>
        <v>265.36832687091095</v>
      </c>
      <c r="R90" s="80">
        <f t="shared" si="37"/>
        <v>1.9999999999999998E-4</v>
      </c>
      <c r="S90" s="79">
        <f>'Catering MMC'!S90+'Catering BBC'!S90</f>
        <v>270.67569340832921</v>
      </c>
      <c r="T90" s="80">
        <f t="shared" si="38"/>
        <v>2.0000000000000001E-4</v>
      </c>
      <c r="U90" s="79">
        <f>'Catering MMC'!U90+'Catering BBC'!U90</f>
        <v>276.08920727649581</v>
      </c>
      <c r="V90" s="80">
        <f t="shared" si="29"/>
        <v>2.0000000000000006E-4</v>
      </c>
    </row>
    <row r="91" spans="1:22" ht="12.75" customHeight="1">
      <c r="A91" s="2" t="s">
        <v>422</v>
      </c>
      <c r="C91" s="79">
        <f>'Catering MMC'!C91+'Catering BBC'!C91</f>
        <v>0</v>
      </c>
      <c r="D91" s="80">
        <f t="shared" si="30"/>
        <v>0</v>
      </c>
      <c r="E91" s="79">
        <f>'Catering MMC'!E91+'Catering BBC'!E91</f>
        <v>0</v>
      </c>
      <c r="F91" s="80">
        <f t="shared" si="31"/>
        <v>0</v>
      </c>
      <c r="G91" s="79">
        <f>'Catering MMC'!G91+'Catering BBC'!G91</f>
        <v>0</v>
      </c>
      <c r="H91" s="80">
        <f t="shared" si="32"/>
        <v>0</v>
      </c>
      <c r="I91" s="79">
        <f>'Catering MMC'!I91+'Catering BBC'!I91</f>
        <v>0</v>
      </c>
      <c r="J91" s="80">
        <f t="shared" si="33"/>
        <v>0</v>
      </c>
      <c r="K91" s="79">
        <f>'Catering MMC'!K91+'Catering BBC'!K91</f>
        <v>0</v>
      </c>
      <c r="L91" s="80">
        <f t="shared" si="34"/>
        <v>0</v>
      </c>
      <c r="M91" s="79">
        <f>'Catering MMC'!M91+'Catering BBC'!M91</f>
        <v>0</v>
      </c>
      <c r="N91" s="80">
        <f t="shared" si="35"/>
        <v>0</v>
      </c>
      <c r="O91" s="79">
        <f>'Catering MMC'!O91+'Catering BBC'!O91</f>
        <v>0</v>
      </c>
      <c r="P91" s="80">
        <f t="shared" si="36"/>
        <v>0</v>
      </c>
      <c r="Q91" s="79">
        <f>'Catering MMC'!Q91+'Catering BBC'!Q91</f>
        <v>0</v>
      </c>
      <c r="R91" s="80">
        <f t="shared" si="37"/>
        <v>0</v>
      </c>
      <c r="S91" s="79">
        <f>'Catering MMC'!S91+'Catering BBC'!S91</f>
        <v>0</v>
      </c>
      <c r="T91" s="80">
        <f t="shared" si="38"/>
        <v>0</v>
      </c>
      <c r="U91" s="79">
        <f>'Catering MMC'!U91+'Catering BBC'!U91</f>
        <v>0</v>
      </c>
      <c r="V91" s="80">
        <f t="shared" si="29"/>
        <v>0</v>
      </c>
    </row>
    <row r="92" spans="1:22" ht="12.75" customHeight="1">
      <c r="A92" s="221" t="s">
        <v>423</v>
      </c>
      <c r="B92" s="222"/>
      <c r="C92" s="79">
        <f>'Catering MMC'!C92+'Catering BBC'!C92</f>
        <v>5935.1239999999998</v>
      </c>
      <c r="D92" s="80">
        <f t="shared" si="30"/>
        <v>5.1999999999999998E-3</v>
      </c>
      <c r="E92" s="79">
        <f>'Catering MMC'!E92+'Catering BBC'!E92</f>
        <v>6126.626479999999</v>
      </c>
      <c r="F92" s="80">
        <f t="shared" si="31"/>
        <v>5.1999999999999998E-3</v>
      </c>
      <c r="G92" s="79">
        <f>'Catering MMC'!G92+'Catering BBC'!G92</f>
        <v>6249.1590096</v>
      </c>
      <c r="H92" s="80">
        <f t="shared" si="32"/>
        <v>5.1999999999999998E-3</v>
      </c>
      <c r="I92" s="79">
        <f>'Catering MMC'!I92+'Catering BBC'!I92</f>
        <v>6374.1421897920009</v>
      </c>
      <c r="J92" s="80">
        <f t="shared" si="33"/>
        <v>5.2000000000000006E-3</v>
      </c>
      <c r="K92" s="79">
        <f>'Catering MMC'!K92+'Catering BBC'!K92</f>
        <v>6501.6250335878394</v>
      </c>
      <c r="L92" s="80">
        <f t="shared" si="34"/>
        <v>5.199999999999998E-3</v>
      </c>
      <c r="M92" s="79">
        <f>'Catering MMC'!M92+'Catering BBC'!M92</f>
        <v>6631.657534259597</v>
      </c>
      <c r="N92" s="80">
        <f t="shared" si="35"/>
        <v>5.1999999999999998E-3</v>
      </c>
      <c r="O92" s="79">
        <f>'Catering MMC'!O92+'Catering BBC'!O92</f>
        <v>6764.2906849447882</v>
      </c>
      <c r="P92" s="80">
        <f t="shared" si="36"/>
        <v>5.1999999999999989E-3</v>
      </c>
      <c r="Q92" s="79">
        <f>'Catering MMC'!Q92+'Catering BBC'!Q92</f>
        <v>6899.5764986436843</v>
      </c>
      <c r="R92" s="80">
        <f t="shared" si="37"/>
        <v>5.1999999999999998E-3</v>
      </c>
      <c r="S92" s="79">
        <f>'Catering MMC'!S92+'Catering BBC'!S92</f>
        <v>7037.5680286165589</v>
      </c>
      <c r="T92" s="80">
        <f t="shared" si="38"/>
        <v>5.1999999999999998E-3</v>
      </c>
      <c r="U92" s="79">
        <f>'Catering MMC'!U92+'Catering BBC'!U92</f>
        <v>7178.3193891888895</v>
      </c>
      <c r="V92" s="80">
        <f t="shared" si="29"/>
        <v>5.2000000000000006E-3</v>
      </c>
    </row>
    <row r="93" spans="1:22" ht="12.75" customHeight="1">
      <c r="A93" s="2" t="s">
        <v>424</v>
      </c>
      <c r="B93" s="35"/>
      <c r="C93" s="79">
        <f>'Catering MMC'!C93+'Catering BBC'!C93</f>
        <v>0</v>
      </c>
      <c r="D93" s="80">
        <f t="shared" si="30"/>
        <v>0</v>
      </c>
      <c r="E93" s="79">
        <f>'Catering MMC'!E93+'Catering BBC'!E93</f>
        <v>0</v>
      </c>
      <c r="F93" s="80">
        <f t="shared" si="31"/>
        <v>0</v>
      </c>
      <c r="G93" s="79">
        <f>'Catering MMC'!G93+'Catering BBC'!G93</f>
        <v>0</v>
      </c>
      <c r="H93" s="80">
        <f t="shared" si="32"/>
        <v>0</v>
      </c>
      <c r="I93" s="79">
        <f>'Catering MMC'!I93+'Catering BBC'!I93</f>
        <v>0</v>
      </c>
      <c r="J93" s="80">
        <f t="shared" si="33"/>
        <v>0</v>
      </c>
      <c r="K93" s="79">
        <f>'Catering MMC'!K93+'Catering BBC'!K93</f>
        <v>0</v>
      </c>
      <c r="L93" s="80">
        <f t="shared" si="34"/>
        <v>0</v>
      </c>
      <c r="M93" s="79">
        <f>'Catering MMC'!M93+'Catering BBC'!M93</f>
        <v>0</v>
      </c>
      <c r="N93" s="80">
        <f t="shared" si="35"/>
        <v>0</v>
      </c>
      <c r="O93" s="79">
        <f>'Catering MMC'!O93+'Catering BBC'!O93</f>
        <v>0</v>
      </c>
      <c r="P93" s="80">
        <f t="shared" si="36"/>
        <v>0</v>
      </c>
      <c r="Q93" s="79">
        <f>'Catering MMC'!Q93+'Catering BBC'!Q93</f>
        <v>0</v>
      </c>
      <c r="R93" s="80">
        <f t="shared" si="37"/>
        <v>0</v>
      </c>
      <c r="S93" s="79">
        <f>'Catering MMC'!S93+'Catering BBC'!S93</f>
        <v>0</v>
      </c>
      <c r="T93" s="80">
        <f t="shared" si="38"/>
        <v>0</v>
      </c>
      <c r="U93" s="79">
        <f>'Catering MMC'!U93+'Catering BBC'!U93</f>
        <v>0</v>
      </c>
      <c r="V93" s="80">
        <f t="shared" si="29"/>
        <v>0</v>
      </c>
    </row>
    <row r="94" spans="1:22" ht="12.75" customHeight="1">
      <c r="A94" s="2" t="s">
        <v>425</v>
      </c>
      <c r="B94" s="35"/>
      <c r="C94" s="79">
        <f>'Catering MMC'!C94+'Catering BBC'!C94</f>
        <v>0</v>
      </c>
      <c r="D94" s="80">
        <f t="shared" si="30"/>
        <v>0</v>
      </c>
      <c r="E94" s="79">
        <f>'Catering MMC'!E94+'Catering BBC'!E94</f>
        <v>0</v>
      </c>
      <c r="F94" s="80">
        <f t="shared" si="31"/>
        <v>0</v>
      </c>
      <c r="G94" s="79">
        <f>'Catering MMC'!G94+'Catering BBC'!G94</f>
        <v>0</v>
      </c>
      <c r="H94" s="80">
        <f t="shared" si="32"/>
        <v>0</v>
      </c>
      <c r="I94" s="79">
        <f>'Catering MMC'!I94+'Catering BBC'!I94</f>
        <v>0</v>
      </c>
      <c r="J94" s="80">
        <f t="shared" si="33"/>
        <v>0</v>
      </c>
      <c r="K94" s="79">
        <f>'Catering MMC'!K94+'Catering BBC'!K94</f>
        <v>0</v>
      </c>
      <c r="L94" s="80">
        <f t="shared" si="34"/>
        <v>0</v>
      </c>
      <c r="M94" s="79">
        <f>'Catering MMC'!M94+'Catering BBC'!M94</f>
        <v>0</v>
      </c>
      <c r="N94" s="80">
        <f t="shared" si="35"/>
        <v>0</v>
      </c>
      <c r="O94" s="79">
        <f>'Catering MMC'!O94+'Catering BBC'!O94</f>
        <v>0</v>
      </c>
      <c r="P94" s="80">
        <f t="shared" si="36"/>
        <v>0</v>
      </c>
      <c r="Q94" s="79">
        <f>'Catering MMC'!Q94+'Catering BBC'!Q94</f>
        <v>0</v>
      </c>
      <c r="R94" s="80">
        <f t="shared" si="37"/>
        <v>0</v>
      </c>
      <c r="S94" s="79">
        <f>'Catering MMC'!S94+'Catering BBC'!S94</f>
        <v>0</v>
      </c>
      <c r="T94" s="80">
        <f t="shared" si="38"/>
        <v>0</v>
      </c>
      <c r="U94" s="79">
        <f>'Catering MMC'!U94+'Catering BBC'!U94</f>
        <v>0</v>
      </c>
      <c r="V94" s="80">
        <f t="shared" si="29"/>
        <v>0</v>
      </c>
    </row>
    <row r="95" spans="1:22" ht="12.75" customHeight="1">
      <c r="A95" s="2" t="s">
        <v>426</v>
      </c>
      <c r="B95" s="35"/>
      <c r="C95" s="79">
        <f>'Catering MMC'!C95+'Catering BBC'!C95</f>
        <v>0</v>
      </c>
      <c r="D95" s="80">
        <f t="shared" si="30"/>
        <v>0</v>
      </c>
      <c r="E95" s="79">
        <f>'Catering MMC'!E95+'Catering BBC'!E95</f>
        <v>0</v>
      </c>
      <c r="F95" s="80">
        <f t="shared" si="31"/>
        <v>0</v>
      </c>
      <c r="G95" s="79">
        <f>'Catering MMC'!G95+'Catering BBC'!G95</f>
        <v>0</v>
      </c>
      <c r="H95" s="80">
        <f t="shared" si="32"/>
        <v>0</v>
      </c>
      <c r="I95" s="79">
        <f>'Catering MMC'!I95+'Catering BBC'!I95</f>
        <v>0</v>
      </c>
      <c r="J95" s="80">
        <f t="shared" si="33"/>
        <v>0</v>
      </c>
      <c r="K95" s="79">
        <f>'Catering MMC'!K95+'Catering BBC'!K95</f>
        <v>0</v>
      </c>
      <c r="L95" s="80">
        <f t="shared" si="34"/>
        <v>0</v>
      </c>
      <c r="M95" s="79">
        <f>'Catering MMC'!M95+'Catering BBC'!M95</f>
        <v>0</v>
      </c>
      <c r="N95" s="80">
        <f t="shared" si="35"/>
        <v>0</v>
      </c>
      <c r="O95" s="79">
        <f>'Catering MMC'!O95+'Catering BBC'!O95</f>
        <v>0</v>
      </c>
      <c r="P95" s="80">
        <f t="shared" si="36"/>
        <v>0</v>
      </c>
      <c r="Q95" s="79">
        <f>'Catering MMC'!Q95+'Catering BBC'!Q95</f>
        <v>0</v>
      </c>
      <c r="R95" s="80">
        <f t="shared" si="37"/>
        <v>0</v>
      </c>
      <c r="S95" s="79">
        <f>'Catering MMC'!S95+'Catering BBC'!S95</f>
        <v>0</v>
      </c>
      <c r="T95" s="80">
        <f t="shared" si="38"/>
        <v>0</v>
      </c>
      <c r="U95" s="79">
        <f>'Catering MMC'!U95+'Catering BBC'!U95</f>
        <v>0</v>
      </c>
      <c r="V95" s="80">
        <f t="shared" si="29"/>
        <v>0</v>
      </c>
    </row>
    <row r="96" spans="1:22" ht="12.75" customHeight="1">
      <c r="A96" s="2" t="s">
        <v>427</v>
      </c>
      <c r="B96" s="35"/>
      <c r="C96" s="79">
        <f>'Catering MMC'!C96+'Catering BBC'!C96</f>
        <v>0</v>
      </c>
      <c r="D96" s="80">
        <f t="shared" si="30"/>
        <v>0</v>
      </c>
      <c r="E96" s="79">
        <f>'Catering MMC'!E96+'Catering BBC'!E96</f>
        <v>0</v>
      </c>
      <c r="F96" s="80">
        <f t="shared" si="31"/>
        <v>0</v>
      </c>
      <c r="G96" s="79">
        <f>'Catering MMC'!G96+'Catering BBC'!G96</f>
        <v>0</v>
      </c>
      <c r="H96" s="80">
        <f t="shared" si="32"/>
        <v>0</v>
      </c>
      <c r="I96" s="79">
        <f>'Catering MMC'!I96+'Catering BBC'!I96</f>
        <v>0</v>
      </c>
      <c r="J96" s="80">
        <f t="shared" si="33"/>
        <v>0</v>
      </c>
      <c r="K96" s="79">
        <f>'Catering MMC'!K96+'Catering BBC'!K96</f>
        <v>0</v>
      </c>
      <c r="L96" s="80">
        <f t="shared" si="34"/>
        <v>0</v>
      </c>
      <c r="M96" s="79">
        <f>'Catering MMC'!M96+'Catering BBC'!M96</f>
        <v>0</v>
      </c>
      <c r="N96" s="80">
        <f t="shared" si="35"/>
        <v>0</v>
      </c>
      <c r="O96" s="79">
        <f>'Catering MMC'!O96+'Catering BBC'!O96</f>
        <v>0</v>
      </c>
      <c r="P96" s="80">
        <f t="shared" si="36"/>
        <v>0</v>
      </c>
      <c r="Q96" s="79">
        <f>'Catering MMC'!Q96+'Catering BBC'!Q96</f>
        <v>0</v>
      </c>
      <c r="R96" s="80">
        <f t="shared" si="37"/>
        <v>0</v>
      </c>
      <c r="S96" s="79">
        <f>'Catering MMC'!S96+'Catering BBC'!S96</f>
        <v>0</v>
      </c>
      <c r="T96" s="80">
        <f t="shared" si="38"/>
        <v>0</v>
      </c>
      <c r="U96" s="79">
        <f>'Catering MMC'!U96+'Catering BBC'!U96</f>
        <v>0</v>
      </c>
      <c r="V96" s="80">
        <f t="shared" si="29"/>
        <v>0</v>
      </c>
    </row>
    <row r="97" spans="1:22" ht="12.75" customHeight="1">
      <c r="A97" s="2" t="s">
        <v>428</v>
      </c>
      <c r="B97" s="35"/>
      <c r="C97" s="79">
        <f>'Catering MMC'!C97+'Catering BBC'!C97</f>
        <v>21881.187600000001</v>
      </c>
      <c r="D97" s="80">
        <f t="shared" si="30"/>
        <v>1.9170985394744912E-2</v>
      </c>
      <c r="E97" s="79">
        <f>'Catering MMC'!E97+'Catering BBC'!E97</f>
        <v>22273.887608000001</v>
      </c>
      <c r="F97" s="80">
        <f t="shared" si="31"/>
        <v>1.8905055814925412E-2</v>
      </c>
      <c r="G97" s="79">
        <f>'Catering MMC'!G97+'Catering BBC'!G97</f>
        <v>22674.441616160002</v>
      </c>
      <c r="H97" s="80">
        <f t="shared" si="32"/>
        <v>1.8867674229908749E-2</v>
      </c>
      <c r="I97" s="79">
        <f>'Catering MMC'!I97+'Catering BBC'!I97</f>
        <v>23083.006704483199</v>
      </c>
      <c r="J97" s="80">
        <f t="shared" si="33"/>
        <v>1.8831025617147314E-2</v>
      </c>
      <c r="K97" s="79">
        <f>'Catering MMC'!K97+'Catering BBC'!K97</f>
        <v>23499.743094572867</v>
      </c>
      <c r="L97" s="80">
        <f t="shared" si="34"/>
        <v>1.8795095604636106E-2</v>
      </c>
      <c r="M97" s="79">
        <f>'Catering MMC'!M97+'Catering BBC'!M97</f>
        <v>23924.814212464327</v>
      </c>
      <c r="N97" s="80">
        <f t="shared" si="35"/>
        <v>1.8759870102174142E-2</v>
      </c>
      <c r="O97" s="79">
        <f>'Catering MMC'!O97+'Catering BBC'!O97</f>
        <v>24358.38675271361</v>
      </c>
      <c r="P97" s="80">
        <f t="shared" si="36"/>
        <v>1.8725335295838873E-2</v>
      </c>
      <c r="Q97" s="79">
        <f>'Catering MMC'!Q97+'Catering BBC'!Q97</f>
        <v>24800.630743767884</v>
      </c>
      <c r="R97" s="80">
        <f t="shared" si="37"/>
        <v>1.869147764256901E-2</v>
      </c>
      <c r="S97" s="79">
        <f>'Catering MMC'!S97+'Catering BBC'!S97</f>
        <v>25251.719614643243</v>
      </c>
      <c r="T97" s="80">
        <f t="shared" si="38"/>
        <v>1.8658283864853454E-2</v>
      </c>
      <c r="U97" s="79">
        <f>'Catering MMC'!U97+'Catering BBC'!U97</f>
        <v>25711.83026293611</v>
      </c>
      <c r="V97" s="80">
        <f t="shared" si="29"/>
        <v>1.862574094552448E-2</v>
      </c>
    </row>
    <row r="98" spans="1:22" ht="12.75" customHeight="1">
      <c r="A98" s="223" t="s">
        <v>431</v>
      </c>
      <c r="B98" s="222"/>
      <c r="C98" s="79">
        <f>'Catering MMC'!C98+'Catering BBC'!C98</f>
        <v>1369.644</v>
      </c>
      <c r="D98" s="80">
        <f t="shared" si="30"/>
        <v>1.2000000000000001E-3</v>
      </c>
      <c r="E98" s="79">
        <f>'Catering MMC'!E98+'Catering BBC'!E98</f>
        <v>1413.8368799999998</v>
      </c>
      <c r="F98" s="80">
        <f t="shared" si="31"/>
        <v>1.1999999999999999E-3</v>
      </c>
      <c r="G98" s="79">
        <f>'Catering MMC'!G98+'Catering BBC'!G98</f>
        <v>1442.1136176</v>
      </c>
      <c r="H98" s="80">
        <f t="shared" si="32"/>
        <v>1.1999999999999999E-3</v>
      </c>
      <c r="I98" s="79">
        <f>'Catering MMC'!I98+'Catering BBC'!I98</f>
        <v>1470.9558899520002</v>
      </c>
      <c r="J98" s="80">
        <f t="shared" si="33"/>
        <v>1.2000000000000001E-3</v>
      </c>
      <c r="K98" s="79">
        <f>'Catering MMC'!K98+'Catering BBC'!K98</f>
        <v>1500.3750077510399</v>
      </c>
      <c r="L98" s="80">
        <f t="shared" si="34"/>
        <v>1.1999999999999997E-3</v>
      </c>
      <c r="M98" s="79">
        <f>'Catering MMC'!M98+'Catering BBC'!M98</f>
        <v>1530.3825079060607</v>
      </c>
      <c r="N98" s="80">
        <f t="shared" si="35"/>
        <v>1.1999999999999999E-3</v>
      </c>
      <c r="O98" s="79">
        <f>'Catering MMC'!O98+'Catering BBC'!O98</f>
        <v>1560.990158064182</v>
      </c>
      <c r="P98" s="80">
        <f t="shared" si="36"/>
        <v>1.1999999999999999E-3</v>
      </c>
      <c r="Q98" s="79">
        <f>'Catering MMC'!Q98+'Catering BBC'!Q98</f>
        <v>1592.2099612254656</v>
      </c>
      <c r="R98" s="80">
        <f t="shared" si="37"/>
        <v>1.1999999999999999E-3</v>
      </c>
      <c r="S98" s="79">
        <f>'Catering MMC'!S98+'Catering BBC'!S98</f>
        <v>1624.0541604499749</v>
      </c>
      <c r="T98" s="80">
        <f t="shared" si="38"/>
        <v>1.1999999999999999E-3</v>
      </c>
      <c r="U98" s="79">
        <f>'Catering MMC'!U98+'Catering BBC'!U98</f>
        <v>1656.5352436589744</v>
      </c>
      <c r="V98" s="80">
        <f t="shared" si="29"/>
        <v>1.2000000000000001E-3</v>
      </c>
    </row>
    <row r="99" spans="1:22" ht="12.75" customHeight="1">
      <c r="A99" s="223" t="s">
        <v>431</v>
      </c>
      <c r="B99" s="222"/>
      <c r="C99" s="79">
        <f>'Catering MMC'!C99+'Catering BBC'!C99</f>
        <v>0</v>
      </c>
      <c r="D99" s="80">
        <f t="shared" si="30"/>
        <v>0</v>
      </c>
      <c r="E99" s="79">
        <f>'Catering MMC'!E99+'Catering BBC'!E99</f>
        <v>0</v>
      </c>
      <c r="F99" s="80">
        <f t="shared" si="31"/>
        <v>0</v>
      </c>
      <c r="G99" s="79">
        <f>'Catering MMC'!G99+'Catering BBC'!G99</f>
        <v>0</v>
      </c>
      <c r="H99" s="80">
        <f t="shared" si="32"/>
        <v>0</v>
      </c>
      <c r="I99" s="79">
        <f>'Catering MMC'!I99+'Catering BBC'!I99</f>
        <v>0</v>
      </c>
      <c r="J99" s="80">
        <f t="shared" si="33"/>
        <v>0</v>
      </c>
      <c r="K99" s="79">
        <f>'Catering MMC'!K99+'Catering BBC'!K99</f>
        <v>0</v>
      </c>
      <c r="L99" s="80">
        <f t="shared" si="34"/>
        <v>0</v>
      </c>
      <c r="M99" s="79">
        <f>'Catering MMC'!M99+'Catering BBC'!M99</f>
        <v>0</v>
      </c>
      <c r="N99" s="80">
        <f t="shared" si="35"/>
        <v>0</v>
      </c>
      <c r="O99" s="79">
        <f>'Catering MMC'!O99+'Catering BBC'!O99</f>
        <v>0</v>
      </c>
      <c r="P99" s="80">
        <f t="shared" si="36"/>
        <v>0</v>
      </c>
      <c r="Q99" s="79">
        <f>'Catering MMC'!Q99+'Catering BBC'!Q99</f>
        <v>0</v>
      </c>
      <c r="R99" s="80">
        <f t="shared" si="37"/>
        <v>0</v>
      </c>
      <c r="S99" s="79">
        <f>'Catering MMC'!S99+'Catering BBC'!S99</f>
        <v>0</v>
      </c>
      <c r="T99" s="80">
        <f t="shared" si="38"/>
        <v>0</v>
      </c>
      <c r="U99" s="79">
        <f>'Catering MMC'!U99+'Catering BBC'!U99</f>
        <v>0</v>
      </c>
      <c r="V99" s="80">
        <f t="shared" si="29"/>
        <v>0</v>
      </c>
    </row>
    <row r="100" spans="1:22" ht="12.75" customHeight="1">
      <c r="A100" s="223" t="s">
        <v>431</v>
      </c>
      <c r="B100" s="222"/>
      <c r="C100" s="79">
        <f>'Catering MMC'!C100+'Catering BBC'!C100</f>
        <v>0</v>
      </c>
      <c r="D100" s="80">
        <f t="shared" si="30"/>
        <v>0</v>
      </c>
      <c r="E100" s="79">
        <f>'Catering MMC'!E100+'Catering BBC'!E100</f>
        <v>0</v>
      </c>
      <c r="F100" s="80">
        <f t="shared" si="31"/>
        <v>0</v>
      </c>
      <c r="G100" s="79">
        <f>'Catering MMC'!G100+'Catering BBC'!G100</f>
        <v>0</v>
      </c>
      <c r="H100" s="80">
        <f t="shared" si="32"/>
        <v>0</v>
      </c>
      <c r="I100" s="79">
        <f>'Catering MMC'!I100+'Catering BBC'!I100</f>
        <v>0</v>
      </c>
      <c r="J100" s="80">
        <f t="shared" si="33"/>
        <v>0</v>
      </c>
      <c r="K100" s="79">
        <f>'Catering MMC'!K100+'Catering BBC'!K100</f>
        <v>0</v>
      </c>
      <c r="L100" s="80">
        <f t="shared" si="34"/>
        <v>0</v>
      </c>
      <c r="M100" s="79">
        <f>'Catering MMC'!M100+'Catering BBC'!M100</f>
        <v>0</v>
      </c>
      <c r="N100" s="80">
        <f t="shared" si="35"/>
        <v>0</v>
      </c>
      <c r="O100" s="79">
        <f>'Catering MMC'!O100+'Catering BBC'!O100</f>
        <v>0</v>
      </c>
      <c r="P100" s="80">
        <f t="shared" si="36"/>
        <v>0</v>
      </c>
      <c r="Q100" s="79">
        <f>'Catering MMC'!Q100+'Catering BBC'!Q100</f>
        <v>0</v>
      </c>
      <c r="R100" s="80">
        <f t="shared" si="37"/>
        <v>0</v>
      </c>
      <c r="S100" s="79">
        <f>'Catering MMC'!S100+'Catering BBC'!S100</f>
        <v>0</v>
      </c>
      <c r="T100" s="80">
        <f t="shared" si="38"/>
        <v>0</v>
      </c>
      <c r="U100" s="79">
        <f>'Catering MMC'!U100+'Catering BBC'!U100</f>
        <v>0</v>
      </c>
      <c r="V100" s="80">
        <f t="shared" si="29"/>
        <v>0</v>
      </c>
    </row>
    <row r="101" spans="1:22" ht="12.75" customHeight="1">
      <c r="A101" s="221" t="s">
        <v>432</v>
      </c>
      <c r="B101" s="222"/>
      <c r="C101" s="79">
        <f>'Catering MMC'!C101+'Catering BBC'!C101</f>
        <v>0</v>
      </c>
      <c r="D101" s="80">
        <f t="shared" si="30"/>
        <v>0</v>
      </c>
      <c r="E101" s="79">
        <f>'Catering MMC'!E101+'Catering BBC'!E101</f>
        <v>0</v>
      </c>
      <c r="F101" s="80">
        <f t="shared" si="31"/>
        <v>0</v>
      </c>
      <c r="G101" s="79">
        <f>'Catering MMC'!G101+'Catering BBC'!G101</f>
        <v>0</v>
      </c>
      <c r="H101" s="80">
        <f t="shared" si="32"/>
        <v>0</v>
      </c>
      <c r="I101" s="79">
        <f>'Catering MMC'!I101+'Catering BBC'!I101</f>
        <v>0</v>
      </c>
      <c r="J101" s="80">
        <f t="shared" si="33"/>
        <v>0</v>
      </c>
      <c r="K101" s="79">
        <f>'Catering MMC'!K101+'Catering BBC'!K101</f>
        <v>0</v>
      </c>
      <c r="L101" s="80">
        <f t="shared" si="34"/>
        <v>0</v>
      </c>
      <c r="M101" s="79">
        <f>'Catering MMC'!M101+'Catering BBC'!M101</f>
        <v>0</v>
      </c>
      <c r="N101" s="80">
        <f t="shared" si="35"/>
        <v>0</v>
      </c>
      <c r="O101" s="79">
        <f>'Catering MMC'!O101+'Catering BBC'!O101</f>
        <v>0</v>
      </c>
      <c r="P101" s="80">
        <f t="shared" si="36"/>
        <v>0</v>
      </c>
      <c r="Q101" s="79">
        <f>'Catering MMC'!Q101+'Catering BBC'!Q101</f>
        <v>0</v>
      </c>
      <c r="R101" s="80">
        <f t="shared" si="37"/>
        <v>0</v>
      </c>
      <c r="S101" s="79">
        <f>'Catering MMC'!S101+'Catering BBC'!S101</f>
        <v>0</v>
      </c>
      <c r="T101" s="80">
        <f t="shared" si="38"/>
        <v>0</v>
      </c>
      <c r="U101" s="79">
        <f>'Catering MMC'!U101+'Catering BBC'!U101</f>
        <v>0</v>
      </c>
      <c r="V101" s="80">
        <f t="shared" si="29"/>
        <v>0</v>
      </c>
    </row>
    <row r="102" spans="1:22" ht="12.75" customHeight="1">
      <c r="A102" s="223" t="s">
        <v>433</v>
      </c>
      <c r="B102" s="222"/>
      <c r="C102" s="79">
        <f>'Catering MMC'!C102+'Catering BBC'!C102</f>
        <v>11413.7</v>
      </c>
      <c r="D102" s="80">
        <f t="shared" si="30"/>
        <v>0.01</v>
      </c>
      <c r="E102" s="79">
        <f>'Catering MMC'!E102+'Catering BBC'!E102</f>
        <v>11781.974</v>
      </c>
      <c r="F102" s="80">
        <f t="shared" si="31"/>
        <v>0.01</v>
      </c>
      <c r="G102" s="79">
        <f>'Catering MMC'!G102+'Catering BBC'!G102</f>
        <v>12017.613480000002</v>
      </c>
      <c r="H102" s="80">
        <f t="shared" si="32"/>
        <v>1.0000000000000002E-2</v>
      </c>
      <c r="I102" s="79">
        <f>'Catering MMC'!I102+'Catering BBC'!I102</f>
        <v>12257.965749600004</v>
      </c>
      <c r="J102" s="80">
        <f t="shared" si="33"/>
        <v>1.0000000000000002E-2</v>
      </c>
      <c r="K102" s="79">
        <f>'Catering MMC'!K102+'Catering BBC'!K102</f>
        <v>12503.125064592003</v>
      </c>
      <c r="L102" s="80">
        <f t="shared" si="34"/>
        <v>0.01</v>
      </c>
      <c r="M102" s="79">
        <f>'Catering MMC'!M102+'Catering BBC'!M102</f>
        <v>12753.18756588384</v>
      </c>
      <c r="N102" s="80">
        <f t="shared" si="35"/>
        <v>0.01</v>
      </c>
      <c r="O102" s="79">
        <f>'Catering MMC'!O102+'Catering BBC'!O102</f>
        <v>13008.251317201521</v>
      </c>
      <c r="P102" s="80">
        <f t="shared" si="36"/>
        <v>1.0000000000000002E-2</v>
      </c>
      <c r="Q102" s="79">
        <f>'Catering MMC'!Q102+'Catering BBC'!Q102</f>
        <v>13268.416343545548</v>
      </c>
      <c r="R102" s="80">
        <f t="shared" si="37"/>
        <v>0.01</v>
      </c>
      <c r="S102" s="79">
        <f>'Catering MMC'!S102+'Catering BBC'!S102</f>
        <v>13533.78467041646</v>
      </c>
      <c r="T102" s="80">
        <f t="shared" si="38"/>
        <v>0.01</v>
      </c>
      <c r="U102" s="79">
        <f>'Catering MMC'!U102+'Catering BBC'!U102</f>
        <v>13804.460363824786</v>
      </c>
      <c r="V102" s="80">
        <f t="shared" si="29"/>
        <v>0.01</v>
      </c>
    </row>
    <row r="103" spans="1:22" ht="12.75" customHeight="1">
      <c r="A103" s="223" t="s">
        <v>433</v>
      </c>
      <c r="B103" s="222"/>
      <c r="C103" s="79">
        <f>'Catering MMC'!C103+'Catering BBC'!C103</f>
        <v>0</v>
      </c>
      <c r="D103" s="80">
        <f t="shared" si="30"/>
        <v>0</v>
      </c>
      <c r="E103" s="79">
        <f>'Catering MMC'!E103+'Catering BBC'!E103</f>
        <v>0</v>
      </c>
      <c r="F103" s="80">
        <f t="shared" si="31"/>
        <v>0</v>
      </c>
      <c r="G103" s="79">
        <f>'Catering MMC'!G103+'Catering BBC'!G103</f>
        <v>0</v>
      </c>
      <c r="H103" s="80">
        <f t="shared" si="32"/>
        <v>0</v>
      </c>
      <c r="I103" s="79">
        <f>'Catering MMC'!I103+'Catering BBC'!I103</f>
        <v>0</v>
      </c>
      <c r="J103" s="80">
        <f t="shared" si="33"/>
        <v>0</v>
      </c>
      <c r="K103" s="79">
        <f>'Catering MMC'!K103+'Catering BBC'!K103</f>
        <v>0</v>
      </c>
      <c r="L103" s="80">
        <f t="shared" si="34"/>
        <v>0</v>
      </c>
      <c r="M103" s="79">
        <f>'Catering MMC'!M103+'Catering BBC'!M103</f>
        <v>0</v>
      </c>
      <c r="N103" s="80">
        <f t="shared" si="35"/>
        <v>0</v>
      </c>
      <c r="O103" s="79">
        <f>'Catering MMC'!O103+'Catering BBC'!O103</f>
        <v>0</v>
      </c>
      <c r="P103" s="80">
        <f t="shared" si="36"/>
        <v>0</v>
      </c>
      <c r="Q103" s="79">
        <f>'Catering MMC'!Q103+'Catering BBC'!Q103</f>
        <v>0</v>
      </c>
      <c r="R103" s="80">
        <f t="shared" si="37"/>
        <v>0</v>
      </c>
      <c r="S103" s="79">
        <f>'Catering MMC'!S103+'Catering BBC'!S103</f>
        <v>0</v>
      </c>
      <c r="T103" s="80">
        <f t="shared" si="38"/>
        <v>0</v>
      </c>
      <c r="U103" s="79">
        <f>'Catering MMC'!U103+'Catering BBC'!U103</f>
        <v>0</v>
      </c>
      <c r="V103" s="80">
        <f t="shared" si="29"/>
        <v>0</v>
      </c>
    </row>
    <row r="104" spans="1:22" ht="12.75" customHeight="1">
      <c r="A104" s="223" t="s">
        <v>433</v>
      </c>
      <c r="B104" s="224"/>
      <c r="C104" s="81">
        <f>'Catering MMC'!C104+'Catering BBC'!C104</f>
        <v>0</v>
      </c>
      <c r="D104" s="80">
        <f t="shared" si="30"/>
        <v>0</v>
      </c>
      <c r="E104" s="81">
        <f>'Catering MMC'!E104+'Catering BBC'!E104</f>
        <v>0</v>
      </c>
      <c r="F104" s="80">
        <f t="shared" si="31"/>
        <v>0</v>
      </c>
      <c r="G104" s="81">
        <f>'Catering MMC'!G104+'Catering BBC'!G104</f>
        <v>0</v>
      </c>
      <c r="H104" s="80">
        <f t="shared" si="32"/>
        <v>0</v>
      </c>
      <c r="I104" s="81">
        <f>'Catering MMC'!I104+'Catering BBC'!I104</f>
        <v>0</v>
      </c>
      <c r="J104" s="80">
        <f t="shared" si="33"/>
        <v>0</v>
      </c>
      <c r="K104" s="81">
        <f>'Catering MMC'!K104+'Catering BBC'!K104</f>
        <v>0</v>
      </c>
      <c r="L104" s="80">
        <f t="shared" si="34"/>
        <v>0</v>
      </c>
      <c r="M104" s="81">
        <f>'Catering MMC'!M104+'Catering BBC'!M104</f>
        <v>0</v>
      </c>
      <c r="N104" s="80">
        <f t="shared" si="35"/>
        <v>0</v>
      </c>
      <c r="O104" s="81">
        <f>'Catering MMC'!O104+'Catering BBC'!O104</f>
        <v>0</v>
      </c>
      <c r="P104" s="80">
        <f t="shared" si="36"/>
        <v>0</v>
      </c>
      <c r="Q104" s="81">
        <f>'Catering MMC'!Q104+'Catering BBC'!Q104</f>
        <v>0</v>
      </c>
      <c r="R104" s="80">
        <f t="shared" si="37"/>
        <v>0</v>
      </c>
      <c r="S104" s="81">
        <f>'Catering MMC'!S104+'Catering BBC'!S104</f>
        <v>0</v>
      </c>
      <c r="T104" s="80">
        <f t="shared" si="38"/>
        <v>0</v>
      </c>
      <c r="U104" s="81">
        <f>'Catering MMC'!U104+'Catering BBC'!U104</f>
        <v>0</v>
      </c>
      <c r="V104" s="80">
        <f t="shared" si="29"/>
        <v>0</v>
      </c>
    </row>
    <row r="105" spans="1:22" ht="12.75" customHeight="1">
      <c r="A105" s="1" t="s">
        <v>434</v>
      </c>
      <c r="B105" s="53"/>
      <c r="C105" s="82">
        <f>SUM(C52:C104)</f>
        <v>129435.26256275747</v>
      </c>
      <c r="D105" s="83">
        <f t="shared" si="30"/>
        <v>0.11340342094391606</v>
      </c>
      <c r="E105" s="82">
        <f>SUM(E52:E104)</f>
        <v>126270.21507166773</v>
      </c>
      <c r="F105" s="83">
        <f t="shared" si="31"/>
        <v>0.10717237626875406</v>
      </c>
      <c r="G105" s="82">
        <f>SUM(G52:G104)</f>
        <v>130126.98272907731</v>
      </c>
      <c r="H105" s="83">
        <f t="shared" si="32"/>
        <v>0.10828021965063009</v>
      </c>
      <c r="I105" s="82">
        <f>SUM(I52:I104)</f>
        <v>132589.12714163717</v>
      </c>
      <c r="J105" s="83">
        <f t="shared" si="33"/>
        <v>0.10816568576720309</v>
      </c>
      <c r="K105" s="82">
        <f>SUM(K52:K104)</f>
        <v>135068.91983326641</v>
      </c>
      <c r="L105" s="83">
        <f t="shared" si="34"/>
        <v>0.1080281282763238</v>
      </c>
      <c r="M105" s="82">
        <f>SUM(M52:M104)</f>
        <v>137701.99048755411</v>
      </c>
      <c r="N105" s="83">
        <f t="shared" si="35"/>
        <v>0.10797456696702389</v>
      </c>
      <c r="O105" s="82">
        <f>SUM(O52:O104)</f>
        <v>140387.92950602589</v>
      </c>
      <c r="P105" s="83">
        <f t="shared" si="36"/>
        <v>0.10792221497164903</v>
      </c>
      <c r="Q105" s="82">
        <f>SUM(Q52:Q104)</f>
        <v>143127.40190397156</v>
      </c>
      <c r="R105" s="83">
        <f t="shared" si="37"/>
        <v>0.10787074975499711</v>
      </c>
      <c r="S105" s="82">
        <f>SUM(S52:S104)</f>
        <v>145921.09497388071</v>
      </c>
      <c r="T105" s="83">
        <f t="shared" si="38"/>
        <v>0.107819873396427</v>
      </c>
      <c r="U105" s="82">
        <f>SUM(U52:U104)</f>
        <v>149226.07112995116</v>
      </c>
      <c r="V105" s="83">
        <f t="shared" si="29"/>
        <v>0.10809989466955539</v>
      </c>
    </row>
    <row r="106" spans="1:22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2" ht="12.75" customHeight="1">
      <c r="A107" s="1" t="s">
        <v>435</v>
      </c>
      <c r="B107" s="53"/>
      <c r="C107" s="82">
        <f>C28-C33-C46-C105</f>
        <v>25537.08143724245</v>
      </c>
      <c r="D107" s="83">
        <f>IFERROR(C107/C$28,0)</f>
        <v>2.2374060503817735E-2</v>
      </c>
      <c r="E107" s="82">
        <f>E28-E33-E46-E105</f>
        <v>42276.725248332208</v>
      </c>
      <c r="F107" s="83">
        <f>IFERROR(E107/E$28,0)</f>
        <v>3.5882548415343822E-2</v>
      </c>
      <c r="G107" s="82">
        <f>G28-G33-G46-G105</f>
        <v>43026.045837322512</v>
      </c>
      <c r="H107" s="83">
        <f>IFERROR(G107/G$28,0)</f>
        <v>3.5802487664399828E-2</v>
      </c>
      <c r="I107" s="82">
        <f>I28-I33-I46-I105</f>
        <v>45262.111436090752</v>
      </c>
      <c r="J107" s="83">
        <f>IFERROR(I107/I$28,0)</f>
        <v>3.6924651578152543E-2</v>
      </c>
      <c r="K107" s="82">
        <f>K28-K33-K46-K105</f>
        <v>47574.49295601598</v>
      </c>
      <c r="L107" s="83">
        <f>IFERROR(K107/K$28,0)</f>
        <v>3.8050081647782362E-2</v>
      </c>
      <c r="M107" s="82">
        <f>M28-M33-M46-M105</f>
        <v>49829.439997513895</v>
      </c>
      <c r="N107" s="83">
        <f>IFERROR(M107/M$28,0)</f>
        <v>3.9072145485269147E-2</v>
      </c>
      <c r="O107" s="82">
        <f>O28-O33-O46-O105</f>
        <v>52129.279028743709</v>
      </c>
      <c r="P107" s="83">
        <f>IFERROR(O107/O$28,0)</f>
        <v>4.0074009763180339E-2</v>
      </c>
      <c r="Q107" s="82">
        <f>Q28-Q33-Q46-Q105</f>
        <v>54475.300241493154</v>
      </c>
      <c r="R107" s="83">
        <f>IFERROR(Q107/Q$28,0)</f>
        <v>4.1056369374475342E-2</v>
      </c>
      <c r="S107" s="82">
        <f>S28-S33-S46-S105</f>
        <v>56868.810654493253</v>
      </c>
      <c r="T107" s="83">
        <f>IFERROR(S107/S$28,0)</f>
        <v>4.2019887296421199E-2</v>
      </c>
      <c r="U107" s="82">
        <f>U28-U33-U46-U105</f>
        <v>58854.782050990267</v>
      </c>
      <c r="V107" s="83">
        <f>IFERROR(U107/U$28,0)</f>
        <v>4.263461265405339E-2</v>
      </c>
    </row>
    <row r="108" spans="1:22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2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2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2" ht="12.75" customHeight="1">
      <c r="A111" s="2" t="s">
        <v>390</v>
      </c>
      <c r="B111" s="35"/>
      <c r="C111" s="84">
        <f>'Catering MMC'!C111+'Catering BBC'!C111</f>
        <v>0</v>
      </c>
      <c r="D111" s="80">
        <f t="shared" ref="D111:D116" si="39">IFERROR(C111/C$28,0)</f>
        <v>0</v>
      </c>
      <c r="E111" s="84">
        <f>'Catering MMC'!E111+'Catering BBC'!E111</f>
        <v>0</v>
      </c>
      <c r="F111" s="80">
        <f t="shared" ref="F111:F116" si="40">IFERROR(E111/E$28,0)</f>
        <v>0</v>
      </c>
      <c r="G111" s="84">
        <f>'Catering MMC'!G111+'Catering BBC'!G111</f>
        <v>0</v>
      </c>
      <c r="H111" s="80">
        <f t="shared" ref="H111:H116" si="41">IFERROR(G111/G$28,0)</f>
        <v>0</v>
      </c>
      <c r="I111" s="84">
        <f>'Catering MMC'!I111+'Catering BBC'!I111</f>
        <v>0</v>
      </c>
      <c r="J111" s="80">
        <f t="shared" ref="J111:J116" si="42">IFERROR(I111/I$28,0)</f>
        <v>0</v>
      </c>
      <c r="K111" s="84">
        <f>'Catering MMC'!K111+'Catering BBC'!K111</f>
        <v>0</v>
      </c>
      <c r="L111" s="80">
        <f t="shared" ref="L111:L116" si="43">IFERROR(K111/K$28,0)</f>
        <v>0</v>
      </c>
      <c r="M111" s="84">
        <f>'Catering MMC'!M111+'Catering BBC'!M111</f>
        <v>0</v>
      </c>
      <c r="N111" s="80">
        <f t="shared" ref="N111:N116" si="44">IFERROR(M111/M$28,0)</f>
        <v>0</v>
      </c>
      <c r="O111" s="84">
        <f>'Catering MMC'!O111+'Catering BBC'!O111</f>
        <v>0</v>
      </c>
      <c r="P111" s="80">
        <f t="shared" ref="P111:P116" si="45">IFERROR(O111/O$28,0)</f>
        <v>0</v>
      </c>
      <c r="Q111" s="84">
        <f>'Catering MMC'!Q111+'Catering BBC'!Q111</f>
        <v>0</v>
      </c>
      <c r="R111" s="80">
        <f t="shared" ref="R111:R116" si="46">IFERROR(Q111/Q$28,0)</f>
        <v>0</v>
      </c>
      <c r="S111" s="84">
        <f>'Catering MMC'!S111+'Catering BBC'!S111</f>
        <v>0</v>
      </c>
      <c r="T111" s="80">
        <f t="shared" ref="T111:T116" si="47">IFERROR(S111/S$28,0)</f>
        <v>0</v>
      </c>
      <c r="U111" s="84">
        <f>'Catering MMC'!U111+'Catering BBC'!U111</f>
        <v>0</v>
      </c>
      <c r="V111" s="80">
        <f t="shared" ref="V111:V116" si="48">IFERROR(U111/U$28,0)</f>
        <v>0</v>
      </c>
    </row>
    <row r="112" spans="1:22" ht="12.75" customHeight="1">
      <c r="A112" s="2" t="s">
        <v>437</v>
      </c>
      <c r="B112" s="35"/>
      <c r="C112" s="79">
        <f>'Catering MMC'!C112+'Catering BBC'!C112</f>
        <v>0</v>
      </c>
      <c r="D112" s="80">
        <f t="shared" si="39"/>
        <v>0</v>
      </c>
      <c r="E112" s="79">
        <f>'Catering MMC'!E112+'Catering BBC'!E112</f>
        <v>0</v>
      </c>
      <c r="F112" s="80">
        <f t="shared" si="40"/>
        <v>0</v>
      </c>
      <c r="G112" s="79">
        <f>'Catering MMC'!G112+'Catering BBC'!G112</f>
        <v>0</v>
      </c>
      <c r="H112" s="80">
        <f t="shared" si="41"/>
        <v>0</v>
      </c>
      <c r="I112" s="79">
        <f>'Catering MMC'!I112+'Catering BBC'!I112</f>
        <v>0</v>
      </c>
      <c r="J112" s="80">
        <f t="shared" si="42"/>
        <v>0</v>
      </c>
      <c r="K112" s="79">
        <f>'Catering MMC'!K112+'Catering BBC'!K112</f>
        <v>0</v>
      </c>
      <c r="L112" s="80">
        <f t="shared" si="43"/>
        <v>0</v>
      </c>
      <c r="M112" s="79">
        <f>'Catering MMC'!M112+'Catering BBC'!M112</f>
        <v>0</v>
      </c>
      <c r="N112" s="80">
        <f t="shared" si="44"/>
        <v>0</v>
      </c>
      <c r="O112" s="79">
        <f>'Catering MMC'!O112+'Catering BBC'!O112</f>
        <v>0</v>
      </c>
      <c r="P112" s="80">
        <f t="shared" si="45"/>
        <v>0</v>
      </c>
      <c r="Q112" s="79">
        <f>'Catering MMC'!Q112+'Catering BBC'!Q112</f>
        <v>0</v>
      </c>
      <c r="R112" s="80">
        <f t="shared" si="46"/>
        <v>0</v>
      </c>
      <c r="S112" s="79">
        <f>'Catering MMC'!S112+'Catering BBC'!S112</f>
        <v>0</v>
      </c>
      <c r="T112" s="80">
        <f t="shared" si="47"/>
        <v>0</v>
      </c>
      <c r="U112" s="79">
        <f>'Catering MMC'!U112+'Catering BBC'!U112</f>
        <v>0</v>
      </c>
      <c r="V112" s="80">
        <f t="shared" si="48"/>
        <v>0</v>
      </c>
    </row>
    <row r="113" spans="1:22" ht="12.75" customHeight="1">
      <c r="A113" s="117" t="s">
        <v>433</v>
      </c>
      <c r="B113" s="41"/>
      <c r="C113" s="79">
        <f>'Catering MMC'!C113+'Catering BBC'!C113</f>
        <v>0</v>
      </c>
      <c r="D113" s="80">
        <f t="shared" si="39"/>
        <v>0</v>
      </c>
      <c r="E113" s="79">
        <f>'Catering MMC'!E113+'Catering BBC'!E113</f>
        <v>0</v>
      </c>
      <c r="F113" s="80">
        <f t="shared" si="40"/>
        <v>0</v>
      </c>
      <c r="G113" s="79">
        <f>'Catering MMC'!G113+'Catering BBC'!G113</f>
        <v>0</v>
      </c>
      <c r="H113" s="80">
        <f t="shared" si="41"/>
        <v>0</v>
      </c>
      <c r="I113" s="79">
        <f>'Catering MMC'!I113+'Catering BBC'!I113</f>
        <v>0</v>
      </c>
      <c r="J113" s="80">
        <f t="shared" si="42"/>
        <v>0</v>
      </c>
      <c r="K113" s="79">
        <f>'Catering MMC'!K113+'Catering BBC'!K113</f>
        <v>0</v>
      </c>
      <c r="L113" s="80">
        <f t="shared" si="43"/>
        <v>0</v>
      </c>
      <c r="M113" s="79">
        <f>'Catering MMC'!M113+'Catering BBC'!M113</f>
        <v>0</v>
      </c>
      <c r="N113" s="80">
        <f t="shared" si="44"/>
        <v>0</v>
      </c>
      <c r="O113" s="79">
        <f>'Catering MMC'!O113+'Catering BBC'!O113</f>
        <v>0</v>
      </c>
      <c r="P113" s="80">
        <f t="shared" si="45"/>
        <v>0</v>
      </c>
      <c r="Q113" s="79">
        <f>'Catering MMC'!Q113+'Catering BBC'!Q113</f>
        <v>0</v>
      </c>
      <c r="R113" s="80">
        <f t="shared" si="46"/>
        <v>0</v>
      </c>
      <c r="S113" s="79">
        <f>'Catering MMC'!S113+'Catering BBC'!S113</f>
        <v>0</v>
      </c>
      <c r="T113" s="80">
        <f t="shared" si="47"/>
        <v>0</v>
      </c>
      <c r="U113" s="79">
        <f>'Catering MMC'!U113+'Catering BBC'!U113</f>
        <v>0</v>
      </c>
      <c r="V113" s="80">
        <f t="shared" si="48"/>
        <v>0</v>
      </c>
    </row>
    <row r="114" spans="1:22" ht="12.75" customHeight="1">
      <c r="A114" s="117" t="s">
        <v>433</v>
      </c>
      <c r="B114" s="41"/>
      <c r="C114" s="79">
        <f>'Catering MMC'!C114+'Catering BBC'!C114</f>
        <v>0</v>
      </c>
      <c r="D114" s="80">
        <f t="shared" si="39"/>
        <v>0</v>
      </c>
      <c r="E114" s="79">
        <f>'Catering MMC'!E114+'Catering BBC'!E114</f>
        <v>0</v>
      </c>
      <c r="F114" s="80">
        <f t="shared" si="40"/>
        <v>0</v>
      </c>
      <c r="G114" s="79">
        <f>'Catering MMC'!G114+'Catering BBC'!G114</f>
        <v>0</v>
      </c>
      <c r="H114" s="80">
        <f t="shared" si="41"/>
        <v>0</v>
      </c>
      <c r="I114" s="79">
        <f>'Catering MMC'!I114+'Catering BBC'!I114</f>
        <v>0</v>
      </c>
      <c r="J114" s="80">
        <f t="shared" si="42"/>
        <v>0</v>
      </c>
      <c r="K114" s="79">
        <f>'Catering MMC'!K114+'Catering BBC'!K114</f>
        <v>0</v>
      </c>
      <c r="L114" s="80">
        <f t="shared" si="43"/>
        <v>0</v>
      </c>
      <c r="M114" s="79">
        <f>'Catering MMC'!M114+'Catering BBC'!M114</f>
        <v>0</v>
      </c>
      <c r="N114" s="80">
        <f t="shared" si="44"/>
        <v>0</v>
      </c>
      <c r="O114" s="79">
        <f>'Catering MMC'!O114+'Catering BBC'!O114</f>
        <v>0</v>
      </c>
      <c r="P114" s="80">
        <f t="shared" si="45"/>
        <v>0</v>
      </c>
      <c r="Q114" s="79">
        <f>'Catering MMC'!Q114+'Catering BBC'!Q114</f>
        <v>0</v>
      </c>
      <c r="R114" s="80">
        <f t="shared" si="46"/>
        <v>0</v>
      </c>
      <c r="S114" s="79">
        <f>'Catering MMC'!S114+'Catering BBC'!S114</f>
        <v>0</v>
      </c>
      <c r="T114" s="80">
        <f t="shared" si="47"/>
        <v>0</v>
      </c>
      <c r="U114" s="79">
        <f>'Catering MMC'!U114+'Catering BBC'!U114</f>
        <v>0</v>
      </c>
      <c r="V114" s="80">
        <f t="shared" si="48"/>
        <v>0</v>
      </c>
    </row>
    <row r="115" spans="1:22" ht="12.75" customHeight="1">
      <c r="A115" s="117" t="s">
        <v>433</v>
      </c>
      <c r="B115" s="41"/>
      <c r="C115" s="81">
        <f>'Catering MMC'!C115+'Catering BBC'!C115</f>
        <v>0</v>
      </c>
      <c r="D115" s="80">
        <f t="shared" si="39"/>
        <v>0</v>
      </c>
      <c r="E115" s="81">
        <f>'Catering MMC'!E115+'Catering BBC'!E115</f>
        <v>0</v>
      </c>
      <c r="F115" s="80">
        <f t="shared" si="40"/>
        <v>0</v>
      </c>
      <c r="G115" s="81">
        <f>'Catering MMC'!G115+'Catering BBC'!G115</f>
        <v>0</v>
      </c>
      <c r="H115" s="80">
        <f t="shared" si="41"/>
        <v>0</v>
      </c>
      <c r="I115" s="81">
        <f>'Catering MMC'!I115+'Catering BBC'!I115</f>
        <v>0</v>
      </c>
      <c r="J115" s="80">
        <f t="shared" si="42"/>
        <v>0</v>
      </c>
      <c r="K115" s="81">
        <f>'Catering MMC'!K115+'Catering BBC'!K115</f>
        <v>0</v>
      </c>
      <c r="L115" s="80">
        <f t="shared" si="43"/>
        <v>0</v>
      </c>
      <c r="M115" s="81">
        <f>'Catering MMC'!M115+'Catering BBC'!M115</f>
        <v>0</v>
      </c>
      <c r="N115" s="80">
        <f t="shared" si="44"/>
        <v>0</v>
      </c>
      <c r="O115" s="81">
        <f>'Catering MMC'!O115+'Catering BBC'!O115</f>
        <v>0</v>
      </c>
      <c r="P115" s="80">
        <f t="shared" si="45"/>
        <v>0</v>
      </c>
      <c r="Q115" s="81">
        <f>'Catering MMC'!Q115+'Catering BBC'!Q115</f>
        <v>0</v>
      </c>
      <c r="R115" s="80">
        <f t="shared" si="46"/>
        <v>0</v>
      </c>
      <c r="S115" s="81">
        <f>'Catering MMC'!S115+'Catering BBC'!S115</f>
        <v>0</v>
      </c>
      <c r="T115" s="80">
        <f t="shared" si="47"/>
        <v>0</v>
      </c>
      <c r="U115" s="81">
        <f>'Catering MMC'!U115+'Catering BBC'!U115</f>
        <v>0</v>
      </c>
      <c r="V115" s="80">
        <f t="shared" si="48"/>
        <v>0</v>
      </c>
    </row>
    <row r="116" spans="1:22" ht="12.75" customHeight="1">
      <c r="A116" s="40" t="s">
        <v>438</v>
      </c>
      <c r="B116" s="42"/>
      <c r="C116" s="85">
        <f>SUM(C111:C115)</f>
        <v>0</v>
      </c>
      <c r="D116" s="83">
        <f t="shared" si="39"/>
        <v>0</v>
      </c>
      <c r="E116" s="85">
        <f>SUM(E111:E115)</f>
        <v>0</v>
      </c>
      <c r="F116" s="83">
        <f t="shared" si="40"/>
        <v>0</v>
      </c>
      <c r="G116" s="85">
        <f>SUM(G111:G115)</f>
        <v>0</v>
      </c>
      <c r="H116" s="83">
        <f t="shared" si="41"/>
        <v>0</v>
      </c>
      <c r="I116" s="85">
        <f>SUM(I111:I115)</f>
        <v>0</v>
      </c>
      <c r="J116" s="83">
        <f t="shared" si="42"/>
        <v>0</v>
      </c>
      <c r="K116" s="85">
        <f>SUM(K111:K115)</f>
        <v>0</v>
      </c>
      <c r="L116" s="83">
        <f t="shared" si="43"/>
        <v>0</v>
      </c>
      <c r="M116" s="85">
        <f>SUM(M111:M115)</f>
        <v>0</v>
      </c>
      <c r="N116" s="83">
        <f t="shared" si="44"/>
        <v>0</v>
      </c>
      <c r="O116" s="85">
        <f>SUM(O111:O115)</f>
        <v>0</v>
      </c>
      <c r="P116" s="83">
        <f t="shared" si="45"/>
        <v>0</v>
      </c>
      <c r="Q116" s="85">
        <f>SUM(Q111:Q115)</f>
        <v>0</v>
      </c>
      <c r="R116" s="83">
        <f t="shared" si="46"/>
        <v>0</v>
      </c>
      <c r="S116" s="85">
        <f>SUM(S111:S115)</f>
        <v>0</v>
      </c>
      <c r="T116" s="83">
        <f t="shared" si="47"/>
        <v>0</v>
      </c>
      <c r="U116" s="85">
        <f>SUM(U111:U115)</f>
        <v>0</v>
      </c>
      <c r="V116" s="83">
        <f t="shared" si="48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39997558519241921"/>
  </sheetPr>
  <dimension ref="A1:MI121"/>
  <sheetViews>
    <sheetView topLeftCell="A69" zoomScale="70" zoomScaleNormal="70" workbookViewId="0" xr3:uid="{DED2A6B2-B78A-5A07-A845-30818C757969}">
      <selection activeCell="X104" sqref="X104"/>
    </sheetView>
  </sheetViews>
  <sheetFormatPr defaultColWidth="9.140625" defaultRowHeight="12.75" customHeight="1"/>
  <cols>
    <col min="1" max="1" width="9.5703125" style="2" customWidth="1"/>
    <col min="2" max="2" width="39" style="2" customWidth="1"/>
    <col min="3" max="3" width="13.5703125" style="2" bestFit="1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499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504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15" t="str">
        <f>+G2</f>
        <v>General &amp; Administrative</v>
      </c>
      <c r="H3" s="116"/>
      <c r="I3" s="116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89" t="s">
        <v>348</v>
      </c>
      <c r="B7" s="89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</row>
    <row r="8" spans="1:22" ht="12.75" customHeight="1">
      <c r="A8" s="90" t="s">
        <v>349</v>
      </c>
      <c r="B8" s="90"/>
      <c r="C8" s="91"/>
      <c r="D8" s="90"/>
      <c r="E8" s="91"/>
      <c r="F8" s="90"/>
      <c r="G8" s="91"/>
      <c r="H8" s="90"/>
      <c r="I8" s="91"/>
      <c r="J8" s="90"/>
      <c r="K8" s="91"/>
      <c r="L8" s="90"/>
      <c r="M8" s="91"/>
      <c r="N8" s="90"/>
      <c r="O8" s="91"/>
      <c r="P8" s="90"/>
      <c r="Q8" s="91"/>
      <c r="R8" s="90"/>
      <c r="S8" s="91"/>
      <c r="T8" s="90"/>
      <c r="U8" s="91"/>
      <c r="V8" s="90"/>
    </row>
    <row r="9" spans="1:22" ht="12.75" customHeight="1">
      <c r="A9" s="90"/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</row>
    <row r="10" spans="1:22" ht="12.75" customHeight="1">
      <c r="A10" s="90" t="s">
        <v>449</v>
      </c>
      <c r="B10" s="90"/>
      <c r="C10" s="91"/>
      <c r="D10" s="90"/>
      <c r="E10" s="91"/>
      <c r="F10" s="90"/>
      <c r="G10" s="91"/>
      <c r="H10" s="90"/>
      <c r="I10" s="91"/>
      <c r="J10" s="90"/>
      <c r="K10" s="91"/>
      <c r="L10" s="90"/>
      <c r="M10" s="91"/>
      <c r="N10" s="90"/>
      <c r="O10" s="91"/>
      <c r="P10" s="90"/>
      <c r="Q10" s="91"/>
      <c r="R10" s="90"/>
      <c r="S10" s="91"/>
      <c r="T10" s="90"/>
      <c r="U10" s="91"/>
      <c r="V10" s="90"/>
    </row>
    <row r="11" spans="1:22" ht="12.75" customHeight="1">
      <c r="A11" s="90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1:22" ht="12.75" customHeight="1">
      <c r="A12" s="90" t="s">
        <v>450</v>
      </c>
      <c r="B12" s="90"/>
      <c r="C12" s="92"/>
      <c r="D12" s="90"/>
      <c r="E12" s="92"/>
      <c r="F12" s="90"/>
      <c r="G12" s="92"/>
      <c r="H12" s="90"/>
      <c r="I12" s="92"/>
      <c r="J12" s="90"/>
      <c r="K12" s="92"/>
      <c r="L12" s="90"/>
      <c r="M12" s="92"/>
      <c r="N12" s="90"/>
      <c r="O12" s="92"/>
      <c r="P12" s="90"/>
      <c r="Q12" s="92"/>
      <c r="R12" s="90"/>
      <c r="S12" s="92"/>
      <c r="T12" s="90"/>
      <c r="U12" s="92"/>
      <c r="V12" s="90"/>
    </row>
    <row r="13" spans="1:22" ht="12.75" customHeight="1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1:22" ht="12.75" customHeight="1">
      <c r="A14" s="90" t="s">
        <v>451</v>
      </c>
      <c r="B14" s="90"/>
      <c r="C14" s="124">
        <f>C12*C10*C8</f>
        <v>0</v>
      </c>
      <c r="D14" s="90"/>
      <c r="E14" s="124">
        <f>E12*E10*E8</f>
        <v>0</v>
      </c>
      <c r="F14" s="90"/>
      <c r="G14" s="124">
        <f>G12*G10*G8</f>
        <v>0</v>
      </c>
      <c r="H14" s="90"/>
      <c r="I14" s="124">
        <f>I12*I10*I8</f>
        <v>0</v>
      </c>
      <c r="J14" s="90"/>
      <c r="K14" s="124">
        <f>K12*K10*K8</f>
        <v>0</v>
      </c>
      <c r="L14" s="90"/>
      <c r="M14" s="124">
        <f>M12*M10*M8</f>
        <v>0</v>
      </c>
      <c r="N14" s="90"/>
      <c r="O14" s="124">
        <f>O12*O10*O8</f>
        <v>0</v>
      </c>
      <c r="P14" s="90"/>
      <c r="Q14" s="124">
        <f>Q12*Q10*Q8</f>
        <v>0</v>
      </c>
      <c r="R14" s="90"/>
      <c r="S14" s="124">
        <f>S12*S10*S8</f>
        <v>0</v>
      </c>
      <c r="T14" s="90"/>
      <c r="U14" s="124">
        <f>U12*U10*U8</f>
        <v>0</v>
      </c>
      <c r="V14" s="90"/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2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2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</row>
    <row r="19" spans="1:22" ht="12.75" customHeight="1">
      <c r="A19" s="2" t="s">
        <v>356</v>
      </c>
      <c r="B19" s="35"/>
      <c r="C19" s="111"/>
      <c r="D19" s="80">
        <f>IFERROR(C19/C$28,0)</f>
        <v>0</v>
      </c>
      <c r="E19" s="111"/>
      <c r="F19" s="80">
        <f>IFERROR(E19/E$28,0)</f>
        <v>0</v>
      </c>
      <c r="G19" s="111"/>
      <c r="H19" s="80">
        <f>IFERROR(G19/G$28,0)</f>
        <v>0</v>
      </c>
      <c r="I19" s="111"/>
      <c r="J19" s="80">
        <f>IFERROR(I19/I$28,0)</f>
        <v>0</v>
      </c>
      <c r="K19" s="111"/>
      <c r="L19" s="80">
        <f>IFERROR(K19/K$28,0)</f>
        <v>0</v>
      </c>
      <c r="M19" s="111"/>
      <c r="N19" s="80">
        <f>IFERROR(M19/M$28,0)</f>
        <v>0</v>
      </c>
      <c r="O19" s="111"/>
      <c r="P19" s="80">
        <f>IFERROR(O19/O$28,0)</f>
        <v>0</v>
      </c>
      <c r="Q19" s="111"/>
      <c r="R19" s="80">
        <f>IFERROR(Q19/Q$28,0)</f>
        <v>0</v>
      </c>
      <c r="S19" s="111"/>
      <c r="T19" s="80">
        <f>IFERROR(S19/S$28,0)</f>
        <v>0</v>
      </c>
      <c r="U19" s="111"/>
      <c r="V19" s="80">
        <f>IFERROR(U19/U$28,0)</f>
        <v>0</v>
      </c>
    </row>
    <row r="20" spans="1:22" ht="12.75" customHeight="1">
      <c r="A20" s="2" t="s">
        <v>357</v>
      </c>
      <c r="B20" s="35"/>
      <c r="C20" s="111"/>
      <c r="D20" s="80">
        <f>IFERROR(C20/C$28,0)</f>
        <v>0</v>
      </c>
      <c r="E20" s="111"/>
      <c r="F20" s="80">
        <f>IFERROR(E20/E$28,0)</f>
        <v>0</v>
      </c>
      <c r="G20" s="111"/>
      <c r="H20" s="80">
        <f>IFERROR(G20/G$28,0)</f>
        <v>0</v>
      </c>
      <c r="I20" s="111"/>
      <c r="J20" s="80">
        <f>IFERROR(I20/I$28,0)</f>
        <v>0</v>
      </c>
      <c r="K20" s="111"/>
      <c r="L20" s="80">
        <f>IFERROR(K20/K$28,0)</f>
        <v>0</v>
      </c>
      <c r="M20" s="111"/>
      <c r="N20" s="80">
        <f>IFERROR(M20/M$28,0)</f>
        <v>0</v>
      </c>
      <c r="O20" s="111"/>
      <c r="P20" s="80">
        <f>IFERROR(O20/O$28,0)</f>
        <v>0</v>
      </c>
      <c r="Q20" s="111"/>
      <c r="R20" s="80">
        <f>IFERROR(Q20/Q$28,0)</f>
        <v>0</v>
      </c>
      <c r="S20" s="111"/>
      <c r="T20" s="80">
        <f>IFERROR(S20/S$28,0)</f>
        <v>0</v>
      </c>
      <c r="U20" s="111"/>
      <c r="V20" s="80">
        <f>IFERROR(U20/U$28,0)</f>
        <v>0</v>
      </c>
    </row>
    <row r="21" spans="1:22" ht="12.75" customHeight="1">
      <c r="A21" s="122" t="s">
        <v>358</v>
      </c>
      <c r="B21" s="35"/>
      <c r="C21" s="79"/>
      <c r="D21" s="80">
        <f>IFERROR(C21/C$28,0)</f>
        <v>0</v>
      </c>
      <c r="E21" s="79"/>
      <c r="F21" s="80">
        <f>IFERROR(E21/E$28,0)</f>
        <v>0</v>
      </c>
      <c r="G21" s="79"/>
      <c r="H21" s="80">
        <f>IFERROR(G21/G$28,0)</f>
        <v>0</v>
      </c>
      <c r="I21" s="79"/>
      <c r="J21" s="80">
        <f>IFERROR(I21/I$28,0)</f>
        <v>0</v>
      </c>
      <c r="K21" s="79"/>
      <c r="L21" s="80">
        <f>IFERROR(K21/K$28,0)</f>
        <v>0</v>
      </c>
      <c r="M21" s="79"/>
      <c r="N21" s="80">
        <f>IFERROR(M21/M$28,0)</f>
        <v>0</v>
      </c>
      <c r="O21" s="79"/>
      <c r="P21" s="80">
        <f>IFERROR(O21/O$28,0)</f>
        <v>0</v>
      </c>
      <c r="Q21" s="79"/>
      <c r="R21" s="80">
        <f>IFERROR(Q21/Q$28,0)</f>
        <v>0</v>
      </c>
      <c r="S21" s="79"/>
      <c r="T21" s="80">
        <f>IFERROR(S21/S$28,0)</f>
        <v>0</v>
      </c>
      <c r="U21" s="79"/>
      <c r="V21" s="80">
        <f>IFERROR(U21/U$28,0)</f>
        <v>0</v>
      </c>
    </row>
    <row r="22" spans="1:22" ht="12.75" customHeight="1">
      <c r="A22" s="2" t="s">
        <v>359</v>
      </c>
      <c r="B22" s="35"/>
      <c r="C22" s="79"/>
      <c r="D22" s="80"/>
      <c r="E22" s="79"/>
      <c r="F22" s="80"/>
      <c r="G22" s="79"/>
      <c r="H22" s="80"/>
      <c r="I22" s="79"/>
      <c r="J22" s="80"/>
      <c r="K22" s="79"/>
      <c r="L22" s="80"/>
      <c r="M22" s="79"/>
      <c r="N22" s="80"/>
      <c r="O22" s="79"/>
      <c r="P22" s="80"/>
      <c r="Q22" s="79"/>
      <c r="R22" s="80"/>
      <c r="S22" s="79"/>
      <c r="T22" s="80"/>
      <c r="U22" s="79"/>
      <c r="V22" s="80"/>
    </row>
    <row r="23" spans="1:22" ht="12.75" customHeight="1">
      <c r="A23" s="122" t="s">
        <v>360</v>
      </c>
      <c r="B23" s="35"/>
      <c r="C23" s="79"/>
      <c r="D23" s="80">
        <f t="shared" ref="D23:D28" si="0">IFERROR(C23/C$28,0)</f>
        <v>0</v>
      </c>
      <c r="E23" s="79"/>
      <c r="F23" s="80">
        <f t="shared" ref="F23:F28" si="1">IFERROR(E23/E$28,0)</f>
        <v>0</v>
      </c>
      <c r="G23" s="79"/>
      <c r="H23" s="80">
        <f t="shared" ref="H23:H28" si="2">IFERROR(G23/G$28,0)</f>
        <v>0</v>
      </c>
      <c r="I23" s="79"/>
      <c r="J23" s="80">
        <f t="shared" ref="J23:J28" si="3">IFERROR(I23/I$28,0)</f>
        <v>0</v>
      </c>
      <c r="K23" s="79"/>
      <c r="L23" s="80">
        <f t="shared" ref="L23:L28" si="4">IFERROR(K23/K$28,0)</f>
        <v>0</v>
      </c>
      <c r="M23" s="79"/>
      <c r="N23" s="80">
        <f t="shared" ref="N23:N28" si="5">IFERROR(M23/M$28,0)</f>
        <v>0</v>
      </c>
      <c r="O23" s="79"/>
      <c r="P23" s="80">
        <f t="shared" ref="P23:P28" si="6">IFERROR(O23/O$28,0)</f>
        <v>0</v>
      </c>
      <c r="Q23" s="79"/>
      <c r="R23" s="80">
        <f t="shared" ref="R23:R28" si="7">IFERROR(Q23/Q$28,0)</f>
        <v>0</v>
      </c>
      <c r="S23" s="79"/>
      <c r="T23" s="80">
        <f t="shared" ref="T23:T28" si="8">IFERROR(S23/S$28,0)</f>
        <v>0</v>
      </c>
      <c r="U23" s="79"/>
      <c r="V23" s="80">
        <f t="shared" ref="V23:V28" si="9">IFERROR(U23/U$28,0)</f>
        <v>0</v>
      </c>
    </row>
    <row r="24" spans="1:22" ht="12.75" customHeight="1">
      <c r="A24" s="122" t="s">
        <v>361</v>
      </c>
      <c r="B24" s="35"/>
      <c r="C24" s="79"/>
      <c r="D24" s="80">
        <f t="shared" si="0"/>
        <v>0</v>
      </c>
      <c r="E24" s="79"/>
      <c r="F24" s="80">
        <f t="shared" si="1"/>
        <v>0</v>
      </c>
      <c r="G24" s="79"/>
      <c r="H24" s="80">
        <f t="shared" si="2"/>
        <v>0</v>
      </c>
      <c r="I24" s="79"/>
      <c r="J24" s="80">
        <f t="shared" si="3"/>
        <v>0</v>
      </c>
      <c r="K24" s="79"/>
      <c r="L24" s="80">
        <f t="shared" si="4"/>
        <v>0</v>
      </c>
      <c r="M24" s="79"/>
      <c r="N24" s="80">
        <f t="shared" si="5"/>
        <v>0</v>
      </c>
      <c r="O24" s="79"/>
      <c r="P24" s="80">
        <f t="shared" si="6"/>
        <v>0</v>
      </c>
      <c r="Q24" s="79"/>
      <c r="R24" s="80">
        <f t="shared" si="7"/>
        <v>0</v>
      </c>
      <c r="S24" s="79"/>
      <c r="T24" s="80">
        <f t="shared" si="8"/>
        <v>0</v>
      </c>
      <c r="U24" s="79"/>
      <c r="V24" s="80">
        <f t="shared" si="9"/>
        <v>0</v>
      </c>
    </row>
    <row r="25" spans="1:22" ht="12.75" customHeight="1">
      <c r="A25" s="2" t="s">
        <v>362</v>
      </c>
      <c r="B25" s="35"/>
      <c r="C25" s="79"/>
      <c r="D25" s="80">
        <f t="shared" si="0"/>
        <v>0</v>
      </c>
      <c r="E25" s="79"/>
      <c r="F25" s="80">
        <f t="shared" si="1"/>
        <v>0</v>
      </c>
      <c r="G25" s="79"/>
      <c r="H25" s="80">
        <f t="shared" si="2"/>
        <v>0</v>
      </c>
      <c r="I25" s="79"/>
      <c r="J25" s="80">
        <f t="shared" si="3"/>
        <v>0</v>
      </c>
      <c r="K25" s="79"/>
      <c r="L25" s="80">
        <f t="shared" si="4"/>
        <v>0</v>
      </c>
      <c r="M25" s="79"/>
      <c r="N25" s="80">
        <f t="shared" si="5"/>
        <v>0</v>
      </c>
      <c r="O25" s="79"/>
      <c r="P25" s="80">
        <f t="shared" si="6"/>
        <v>0</v>
      </c>
      <c r="Q25" s="79"/>
      <c r="R25" s="80">
        <f t="shared" si="7"/>
        <v>0</v>
      </c>
      <c r="S25" s="79"/>
      <c r="T25" s="80">
        <f t="shared" si="8"/>
        <v>0</v>
      </c>
      <c r="U25" s="79"/>
      <c r="V25" s="80">
        <f t="shared" si="9"/>
        <v>0</v>
      </c>
    </row>
    <row r="26" spans="1:22" ht="12.75" customHeight="1">
      <c r="A26" s="122" t="s">
        <v>363</v>
      </c>
      <c r="B26" s="35"/>
      <c r="C26" s="79"/>
      <c r="D26" s="80">
        <f t="shared" si="0"/>
        <v>0</v>
      </c>
      <c r="E26" s="79"/>
      <c r="F26" s="80">
        <f t="shared" si="1"/>
        <v>0</v>
      </c>
      <c r="G26" s="79"/>
      <c r="H26" s="80">
        <f t="shared" si="2"/>
        <v>0</v>
      </c>
      <c r="I26" s="79"/>
      <c r="J26" s="80">
        <f t="shared" si="3"/>
        <v>0</v>
      </c>
      <c r="K26" s="79"/>
      <c r="L26" s="80">
        <f t="shared" si="4"/>
        <v>0</v>
      </c>
      <c r="M26" s="79"/>
      <c r="N26" s="80">
        <f t="shared" si="5"/>
        <v>0</v>
      </c>
      <c r="O26" s="79"/>
      <c r="P26" s="80">
        <f t="shared" si="6"/>
        <v>0</v>
      </c>
      <c r="Q26" s="79"/>
      <c r="R26" s="80">
        <f t="shared" si="7"/>
        <v>0</v>
      </c>
      <c r="S26" s="79"/>
      <c r="T26" s="80">
        <f t="shared" si="8"/>
        <v>0</v>
      </c>
      <c r="U26" s="79"/>
      <c r="V26" s="80">
        <f t="shared" si="9"/>
        <v>0</v>
      </c>
    </row>
    <row r="27" spans="1:22" ht="12.75" customHeight="1">
      <c r="A27" s="2" t="s">
        <v>364</v>
      </c>
      <c r="B27" s="35"/>
      <c r="C27" s="112"/>
      <c r="D27" s="80">
        <f t="shared" si="0"/>
        <v>0</v>
      </c>
      <c r="E27" s="112"/>
      <c r="F27" s="80">
        <f t="shared" si="1"/>
        <v>0</v>
      </c>
      <c r="G27" s="112"/>
      <c r="H27" s="80">
        <f t="shared" si="2"/>
        <v>0</v>
      </c>
      <c r="I27" s="112"/>
      <c r="J27" s="80">
        <f t="shared" si="3"/>
        <v>0</v>
      </c>
      <c r="K27" s="112"/>
      <c r="L27" s="80">
        <f t="shared" si="4"/>
        <v>0</v>
      </c>
      <c r="M27" s="112"/>
      <c r="N27" s="80">
        <f t="shared" si="5"/>
        <v>0</v>
      </c>
      <c r="O27" s="112"/>
      <c r="P27" s="80">
        <f t="shared" si="6"/>
        <v>0</v>
      </c>
      <c r="Q27" s="112"/>
      <c r="R27" s="80">
        <f t="shared" si="7"/>
        <v>0</v>
      </c>
      <c r="S27" s="112"/>
      <c r="T27" s="80">
        <f t="shared" si="8"/>
        <v>0</v>
      </c>
      <c r="U27" s="112"/>
      <c r="V27" s="80">
        <f t="shared" si="9"/>
        <v>0</v>
      </c>
    </row>
    <row r="28" spans="1:22" ht="12.75" customHeight="1">
      <c r="A28" s="1" t="s">
        <v>365</v>
      </c>
      <c r="B28" s="53"/>
      <c r="C28" s="82">
        <f>SUM(C19:C27)</f>
        <v>0</v>
      </c>
      <c r="D28" s="83">
        <f t="shared" si="0"/>
        <v>0</v>
      </c>
      <c r="E28" s="82">
        <f>SUM(E19:E27)</f>
        <v>0</v>
      </c>
      <c r="F28" s="83">
        <f t="shared" si="1"/>
        <v>0</v>
      </c>
      <c r="G28" s="82">
        <f>SUM(G19:G27)</f>
        <v>0</v>
      </c>
      <c r="H28" s="83">
        <f t="shared" si="2"/>
        <v>0</v>
      </c>
      <c r="I28" s="82">
        <f>SUM(I19:I27)</f>
        <v>0</v>
      </c>
      <c r="J28" s="83">
        <f t="shared" si="3"/>
        <v>0</v>
      </c>
      <c r="K28" s="82">
        <f>SUM(K19:K27)</f>
        <v>0</v>
      </c>
      <c r="L28" s="83">
        <f t="shared" si="4"/>
        <v>0</v>
      </c>
      <c r="M28" s="82">
        <f>SUM(M19:M27)</f>
        <v>0</v>
      </c>
      <c r="N28" s="83">
        <f t="shared" si="5"/>
        <v>0</v>
      </c>
      <c r="O28" s="82">
        <f>SUM(O19:O27)</f>
        <v>0</v>
      </c>
      <c r="P28" s="83">
        <f t="shared" si="6"/>
        <v>0</v>
      </c>
      <c r="Q28" s="82">
        <f>SUM(Q19:Q27)</f>
        <v>0</v>
      </c>
      <c r="R28" s="83">
        <f t="shared" si="7"/>
        <v>0</v>
      </c>
      <c r="S28" s="82">
        <f>SUM(S19:S27)</f>
        <v>0</v>
      </c>
      <c r="T28" s="83">
        <f t="shared" si="8"/>
        <v>0</v>
      </c>
      <c r="U28" s="82">
        <f>SUM(U19:U27)</f>
        <v>0</v>
      </c>
      <c r="V28" s="83">
        <f t="shared" si="9"/>
        <v>0</v>
      </c>
    </row>
    <row r="29" spans="1:22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2" ht="12.75" customHeight="1">
      <c r="A30" s="1" t="s">
        <v>366</v>
      </c>
      <c r="B30" s="53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2" ht="12.75" customHeight="1">
      <c r="A31" s="2" t="s">
        <v>367</v>
      </c>
      <c r="B31" s="35"/>
      <c r="C31" s="179">
        <f>275000*0.4</f>
        <v>110000</v>
      </c>
      <c r="D31" s="80">
        <f>IFERROR(C31/C$28,0)</f>
        <v>0</v>
      </c>
      <c r="E31" s="179">
        <f>+C31*1.03</f>
        <v>113300</v>
      </c>
      <c r="F31" s="80">
        <f>IFERROR(E31/E$28,0)</f>
        <v>0</v>
      </c>
      <c r="G31" s="179">
        <f>+E31*1.03</f>
        <v>116699</v>
      </c>
      <c r="H31" s="80">
        <f>IFERROR(G31/G$28,0)</f>
        <v>0</v>
      </c>
      <c r="I31" s="179">
        <f>+G31*1.03</f>
        <v>120199.97</v>
      </c>
      <c r="J31" s="80">
        <f>IFERROR(I31/I$28,0)</f>
        <v>0</v>
      </c>
      <c r="K31" s="179">
        <f>+I31*1.03</f>
        <v>123805.9691</v>
      </c>
      <c r="L31" s="80">
        <f>IFERROR(K31/K$28,0)</f>
        <v>0</v>
      </c>
      <c r="M31" s="179">
        <f>+K31*1.03</f>
        <v>127520.14817300001</v>
      </c>
      <c r="N31" s="80">
        <f>IFERROR(M31/M$28,0)</f>
        <v>0</v>
      </c>
      <c r="O31" s="179">
        <f>+M31*1.03</f>
        <v>131345.75261819002</v>
      </c>
      <c r="P31" s="80">
        <f>IFERROR(O31/O$28,0)</f>
        <v>0</v>
      </c>
      <c r="Q31" s="179">
        <f>+O31*1.03</f>
        <v>135286.12519673572</v>
      </c>
      <c r="R31" s="80">
        <f>IFERROR(Q31/Q$28,0)</f>
        <v>0</v>
      </c>
      <c r="S31" s="179">
        <f>+Q31*1.03</f>
        <v>139344.7089526378</v>
      </c>
      <c r="T31" s="80">
        <f>IFERROR(S31/S$28,0)</f>
        <v>0</v>
      </c>
      <c r="U31" s="179">
        <f>+S31*1.03</f>
        <v>143525.05022121692</v>
      </c>
      <c r="V31" s="80">
        <f>IFERROR(U31/U$28,0)</f>
        <v>0</v>
      </c>
    </row>
    <row r="32" spans="1:22" ht="12.75" customHeight="1">
      <c r="A32" s="8" t="s">
        <v>368</v>
      </c>
      <c r="B32" s="8"/>
      <c r="C32" s="182">
        <v>100000</v>
      </c>
      <c r="D32" s="80">
        <f>IFERROR(C32/C$28,0)</f>
        <v>0</v>
      </c>
      <c r="E32" s="182">
        <v>100000</v>
      </c>
      <c r="F32" s="80">
        <f>IFERROR(E32/E$28,0)</f>
        <v>0</v>
      </c>
      <c r="G32" s="182">
        <v>100000</v>
      </c>
      <c r="H32" s="80">
        <f>IFERROR(G32/G$28,0)</f>
        <v>0</v>
      </c>
      <c r="I32" s="182">
        <v>100000</v>
      </c>
      <c r="J32" s="80">
        <f>IFERROR(I32/I$28,0)</f>
        <v>0</v>
      </c>
      <c r="K32" s="182">
        <v>100000</v>
      </c>
      <c r="L32" s="80">
        <f>IFERROR(K32/K$28,0)</f>
        <v>0</v>
      </c>
      <c r="M32" s="182">
        <v>100000</v>
      </c>
      <c r="N32" s="80">
        <f>IFERROR(M32/M$28,0)</f>
        <v>0</v>
      </c>
      <c r="O32" s="182">
        <v>100000</v>
      </c>
      <c r="P32" s="80">
        <f>IFERROR(O32/O$28,0)</f>
        <v>0</v>
      </c>
      <c r="Q32" s="182">
        <v>100000</v>
      </c>
      <c r="R32" s="80">
        <f>IFERROR(Q32/Q$28,0)</f>
        <v>0</v>
      </c>
      <c r="S32" s="182">
        <v>100000</v>
      </c>
      <c r="T32" s="80">
        <f>IFERROR(S32/S$28,0)</f>
        <v>0</v>
      </c>
      <c r="U32" s="182">
        <v>100000</v>
      </c>
      <c r="V32" s="80">
        <f>IFERROR(U32/U$28,0)</f>
        <v>0</v>
      </c>
    </row>
    <row r="33" spans="1:22" ht="12.75" customHeight="1">
      <c r="A33" s="1" t="s">
        <v>369</v>
      </c>
      <c r="B33" s="53"/>
      <c r="C33" s="82">
        <f>SUM(C31:C32)</f>
        <v>210000</v>
      </c>
      <c r="D33" s="83">
        <f>IFERROR(C33/C$28,0)</f>
        <v>0</v>
      </c>
      <c r="E33" s="82">
        <f>SUM(E31:E32)</f>
        <v>213300</v>
      </c>
      <c r="F33" s="83">
        <f>IFERROR(E33/E$28,0)</f>
        <v>0</v>
      </c>
      <c r="G33" s="82">
        <f>SUM(G31:G32)</f>
        <v>216699</v>
      </c>
      <c r="H33" s="83">
        <f>IFERROR(G33/G$28,0)</f>
        <v>0</v>
      </c>
      <c r="I33" s="82">
        <f>SUM(I31:I32)</f>
        <v>220199.97</v>
      </c>
      <c r="J33" s="83">
        <f>IFERROR(I33/I$28,0)</f>
        <v>0</v>
      </c>
      <c r="K33" s="82">
        <f>SUM(K31:K32)</f>
        <v>223805.96909999999</v>
      </c>
      <c r="L33" s="83">
        <f>IFERROR(K33/K$28,0)</f>
        <v>0</v>
      </c>
      <c r="M33" s="82">
        <f>SUM(M31:M32)</f>
        <v>227520.14817300002</v>
      </c>
      <c r="N33" s="83">
        <f>IFERROR(M33/M$28,0)</f>
        <v>0</v>
      </c>
      <c r="O33" s="82">
        <f>SUM(O31:O32)</f>
        <v>231345.75261819002</v>
      </c>
      <c r="P33" s="83">
        <f>IFERROR(O33/O$28,0)</f>
        <v>0</v>
      </c>
      <c r="Q33" s="82">
        <f>SUM(Q31:Q32)</f>
        <v>235286.12519673572</v>
      </c>
      <c r="R33" s="83">
        <f>IFERROR(Q33/Q$28,0)</f>
        <v>0</v>
      </c>
      <c r="S33" s="82">
        <f>SUM(S31:S32)</f>
        <v>239344.7089526378</v>
      </c>
      <c r="T33" s="83">
        <f>IFERROR(S33/S$28,0)</f>
        <v>0</v>
      </c>
      <c r="U33" s="82">
        <f>SUM(U31:U32)</f>
        <v>243525.05022121692</v>
      </c>
      <c r="V33" s="83">
        <f>IFERROR(U33/U$28,0)</f>
        <v>0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371</v>
      </c>
      <c r="B36" s="35"/>
      <c r="C36" s="179">
        <f>461447-15000</f>
        <v>446447</v>
      </c>
      <c r="D36" s="80">
        <f t="shared" ref="D36:D46" si="10">IFERROR(C36/C$28,0)</f>
        <v>0</v>
      </c>
      <c r="E36" s="179">
        <f>+C36*1.025+25000</f>
        <v>482608.17499999999</v>
      </c>
      <c r="F36" s="80">
        <f t="shared" ref="F36:F46" si="11">IFERROR(E36/E$28,0)</f>
        <v>0</v>
      </c>
      <c r="G36" s="179">
        <f>+E36*1.025</f>
        <v>494673.37937499996</v>
      </c>
      <c r="H36" s="80">
        <f t="shared" ref="H36:H46" si="12">IFERROR(G36/G$28,0)</f>
        <v>0</v>
      </c>
      <c r="I36" s="179">
        <f>+G36*1.025</f>
        <v>507040.21385937493</v>
      </c>
      <c r="J36" s="80">
        <f t="shared" ref="J36:J46" si="13">IFERROR(I36/I$28,0)</f>
        <v>0</v>
      </c>
      <c r="K36" s="179">
        <f>+I36*1.025</f>
        <v>519716.21920585923</v>
      </c>
      <c r="L36" s="80">
        <f t="shared" ref="L36:L46" si="14">IFERROR(K36/K$28,0)</f>
        <v>0</v>
      </c>
      <c r="M36" s="179">
        <f>+K36*1.025</f>
        <v>532709.12468600564</v>
      </c>
      <c r="N36" s="80">
        <f t="shared" ref="N36:N46" si="15">IFERROR(M36/M$28,0)</f>
        <v>0</v>
      </c>
      <c r="O36" s="179">
        <f>+M36*1.025</f>
        <v>546026.85280315578</v>
      </c>
      <c r="P36" s="80">
        <f t="shared" ref="P36:P46" si="16">IFERROR(O36/O$28,0)</f>
        <v>0</v>
      </c>
      <c r="Q36" s="179">
        <f>+O36*1.025</f>
        <v>559677.52412323467</v>
      </c>
      <c r="R36" s="80">
        <f t="shared" ref="R36:R46" si="17">IFERROR(Q36/Q$28,0)</f>
        <v>0</v>
      </c>
      <c r="S36" s="179">
        <f>+Q36*1.025</f>
        <v>573669.46222631552</v>
      </c>
      <c r="T36" s="80">
        <f t="shared" ref="T36:T46" si="18">IFERROR(S36/S$28,0)</f>
        <v>0</v>
      </c>
      <c r="U36" s="179">
        <f>+S36*1.025</f>
        <v>588011.19878197333</v>
      </c>
      <c r="V36" s="80">
        <f t="shared" ref="V36:V46" si="19">IFERROR(U36/U$28,0)</f>
        <v>0</v>
      </c>
    </row>
    <row r="37" spans="1:22" ht="12.75" customHeight="1">
      <c r="A37" s="2" t="s">
        <v>372</v>
      </c>
      <c r="B37" s="35"/>
      <c r="C37" s="179">
        <f>256882-70000</f>
        <v>186882</v>
      </c>
      <c r="D37" s="80">
        <f t="shared" si="10"/>
        <v>0</v>
      </c>
      <c r="E37" s="179">
        <f>+C37*1.025+40000</f>
        <v>231554.05</v>
      </c>
      <c r="F37" s="80">
        <f t="shared" si="11"/>
        <v>0</v>
      </c>
      <c r="G37" s="179">
        <f>+E37*1.025</f>
        <v>237342.90124999997</v>
      </c>
      <c r="H37" s="80">
        <f t="shared" si="12"/>
        <v>0</v>
      </c>
      <c r="I37" s="179">
        <f>+G37*1.025</f>
        <v>243276.47378124995</v>
      </c>
      <c r="J37" s="80">
        <f t="shared" si="13"/>
        <v>0</v>
      </c>
      <c r="K37" s="179">
        <f>+I37*1.025</f>
        <v>249358.38562578117</v>
      </c>
      <c r="L37" s="80">
        <f t="shared" si="14"/>
        <v>0</v>
      </c>
      <c r="M37" s="179">
        <f>+K37*1.025</f>
        <v>255592.34526642569</v>
      </c>
      <c r="N37" s="80">
        <f t="shared" si="15"/>
        <v>0</v>
      </c>
      <c r="O37" s="179">
        <f>+M37*1.025</f>
        <v>261982.15389808631</v>
      </c>
      <c r="P37" s="80">
        <f t="shared" si="16"/>
        <v>0</v>
      </c>
      <c r="Q37" s="179">
        <f>+O37*1.025</f>
        <v>268531.70774553844</v>
      </c>
      <c r="R37" s="80">
        <f t="shared" si="17"/>
        <v>0</v>
      </c>
      <c r="S37" s="179">
        <f>+Q37*1.025</f>
        <v>275245.00043917686</v>
      </c>
      <c r="T37" s="80">
        <f t="shared" si="18"/>
        <v>0</v>
      </c>
      <c r="U37" s="179">
        <f>+S37*1.025</f>
        <v>282126.12545015628</v>
      </c>
      <c r="V37" s="80">
        <f t="shared" si="19"/>
        <v>0</v>
      </c>
    </row>
    <row r="38" spans="1:22" ht="12.75" customHeight="1">
      <c r="A38" s="2" t="s">
        <v>373</v>
      </c>
      <c r="B38" s="35"/>
      <c r="C38" s="179">
        <v>0</v>
      </c>
      <c r="D38" s="80">
        <f t="shared" si="10"/>
        <v>0</v>
      </c>
      <c r="E38" s="179"/>
      <c r="F38" s="80">
        <f t="shared" si="11"/>
        <v>0</v>
      </c>
      <c r="G38" s="179"/>
      <c r="H38" s="80">
        <f t="shared" si="12"/>
        <v>0</v>
      </c>
      <c r="I38" s="179"/>
      <c r="J38" s="80">
        <f t="shared" si="13"/>
        <v>0</v>
      </c>
      <c r="K38" s="179"/>
      <c r="L38" s="80">
        <f t="shared" si="14"/>
        <v>0</v>
      </c>
      <c r="M38" s="179"/>
      <c r="N38" s="80">
        <f t="shared" si="15"/>
        <v>0</v>
      </c>
      <c r="O38" s="179"/>
      <c r="P38" s="80">
        <f t="shared" si="16"/>
        <v>0</v>
      </c>
      <c r="Q38" s="179"/>
      <c r="R38" s="80">
        <f t="shared" si="17"/>
        <v>0</v>
      </c>
      <c r="S38" s="179"/>
      <c r="T38" s="80">
        <f t="shared" si="18"/>
        <v>0</v>
      </c>
      <c r="U38" s="179"/>
      <c r="V38" s="80">
        <f t="shared" si="19"/>
        <v>0</v>
      </c>
    </row>
    <row r="39" spans="1:22" ht="12.75" customHeight="1">
      <c r="A39" s="2" t="s">
        <v>374</v>
      </c>
      <c r="B39" s="35"/>
      <c r="C39" s="179">
        <v>0</v>
      </c>
      <c r="D39" s="80">
        <f t="shared" si="10"/>
        <v>0</v>
      </c>
      <c r="E39" s="179"/>
      <c r="F39" s="80">
        <f t="shared" si="11"/>
        <v>0</v>
      </c>
      <c r="G39" s="179"/>
      <c r="H39" s="80">
        <f t="shared" si="12"/>
        <v>0</v>
      </c>
      <c r="I39" s="179"/>
      <c r="J39" s="80">
        <f t="shared" si="13"/>
        <v>0</v>
      </c>
      <c r="K39" s="179"/>
      <c r="L39" s="80">
        <f t="shared" si="14"/>
        <v>0</v>
      </c>
      <c r="M39" s="179"/>
      <c r="N39" s="80">
        <f t="shared" si="15"/>
        <v>0</v>
      </c>
      <c r="O39" s="179"/>
      <c r="P39" s="80">
        <f t="shared" si="16"/>
        <v>0</v>
      </c>
      <c r="Q39" s="179"/>
      <c r="R39" s="80">
        <f t="shared" si="17"/>
        <v>0</v>
      </c>
      <c r="S39" s="179"/>
      <c r="T39" s="80">
        <f t="shared" si="18"/>
        <v>0</v>
      </c>
      <c r="U39" s="179"/>
      <c r="V39" s="80">
        <f t="shared" si="19"/>
        <v>0</v>
      </c>
    </row>
    <row r="40" spans="1:22" ht="12.75" customHeight="1">
      <c r="A40" s="2" t="s">
        <v>375</v>
      </c>
      <c r="B40" s="35"/>
      <c r="C40" s="179">
        <f>+C36*0.124</f>
        <v>55359.428</v>
      </c>
      <c r="D40" s="80">
        <f t="shared" si="10"/>
        <v>0</v>
      </c>
      <c r="E40" s="179">
        <f>+E36*0.124</f>
        <v>59843.413699999997</v>
      </c>
      <c r="F40" s="80">
        <f t="shared" si="11"/>
        <v>0</v>
      </c>
      <c r="G40" s="179">
        <f>+G36*0.124</f>
        <v>61339.499042499992</v>
      </c>
      <c r="H40" s="80">
        <f t="shared" si="12"/>
        <v>0</v>
      </c>
      <c r="I40" s="179">
        <f>+I36*0.124</f>
        <v>62872.986518562488</v>
      </c>
      <c r="J40" s="80">
        <f t="shared" si="13"/>
        <v>0</v>
      </c>
      <c r="K40" s="179">
        <f>+K36*0.124</f>
        <v>64444.811181526544</v>
      </c>
      <c r="L40" s="80">
        <f t="shared" si="14"/>
        <v>0</v>
      </c>
      <c r="M40" s="179">
        <f>+M36*0.124</f>
        <v>66055.931461064698</v>
      </c>
      <c r="N40" s="80">
        <f t="shared" si="15"/>
        <v>0</v>
      </c>
      <c r="O40" s="179">
        <f>+O36*0.124</f>
        <v>67707.329747591313</v>
      </c>
      <c r="P40" s="80">
        <f t="shared" si="16"/>
        <v>0</v>
      </c>
      <c r="Q40" s="179">
        <f>+Q36*0.124</f>
        <v>69400.012991281095</v>
      </c>
      <c r="R40" s="80">
        <f t="shared" si="17"/>
        <v>0</v>
      </c>
      <c r="S40" s="179">
        <f>+S36*0.124</f>
        <v>71135.013316063123</v>
      </c>
      <c r="T40" s="80">
        <f t="shared" si="18"/>
        <v>0</v>
      </c>
      <c r="U40" s="179">
        <f>+U36*0.124</f>
        <v>72913.388648964697</v>
      </c>
      <c r="V40" s="80">
        <f t="shared" si="19"/>
        <v>0</v>
      </c>
    </row>
    <row r="41" spans="1:22" ht="12.75" customHeight="1">
      <c r="A41" s="2" t="s">
        <v>376</v>
      </c>
      <c r="B41" s="35"/>
      <c r="C41" s="179">
        <f>+C37*0.124</f>
        <v>23173.367999999999</v>
      </c>
      <c r="D41" s="80">
        <f t="shared" si="10"/>
        <v>0</v>
      </c>
      <c r="E41" s="179">
        <f>+E37*0.124</f>
        <v>28712.7022</v>
      </c>
      <c r="F41" s="80">
        <f t="shared" si="11"/>
        <v>0</v>
      </c>
      <c r="G41" s="179">
        <f>+G37*0.124</f>
        <v>29430.519754999994</v>
      </c>
      <c r="H41" s="80">
        <f t="shared" si="12"/>
        <v>0</v>
      </c>
      <c r="I41" s="179">
        <f>+I37*0.124</f>
        <v>30166.282748874994</v>
      </c>
      <c r="J41" s="80">
        <f t="shared" si="13"/>
        <v>0</v>
      </c>
      <c r="K41" s="179">
        <f>+K37*0.124</f>
        <v>30920.439817596864</v>
      </c>
      <c r="L41" s="80">
        <f t="shared" si="14"/>
        <v>0</v>
      </c>
      <c r="M41" s="179">
        <f>+M37*0.124</f>
        <v>31693.450813036787</v>
      </c>
      <c r="N41" s="80">
        <f t="shared" si="15"/>
        <v>0</v>
      </c>
      <c r="O41" s="179">
        <f>+O37*0.124</f>
        <v>32485.787083362702</v>
      </c>
      <c r="P41" s="80">
        <f t="shared" si="16"/>
        <v>0</v>
      </c>
      <c r="Q41" s="179">
        <f>+Q37*0.124</f>
        <v>33297.931760446765</v>
      </c>
      <c r="R41" s="80">
        <f t="shared" si="17"/>
        <v>0</v>
      </c>
      <c r="S41" s="179">
        <f>+S37*0.124</f>
        <v>34130.380054457928</v>
      </c>
      <c r="T41" s="80">
        <f t="shared" si="18"/>
        <v>0</v>
      </c>
      <c r="U41" s="179">
        <f>+U37*0.124</f>
        <v>34983.639555819376</v>
      </c>
      <c r="V41" s="80">
        <f t="shared" si="19"/>
        <v>0</v>
      </c>
    </row>
    <row r="42" spans="1:22" ht="12.75" customHeight="1">
      <c r="A42" s="2" t="s">
        <v>377</v>
      </c>
      <c r="B42" s="35"/>
      <c r="C42" s="179"/>
      <c r="D42" s="80">
        <f t="shared" si="10"/>
        <v>0</v>
      </c>
      <c r="E42" s="179"/>
      <c r="F42" s="80">
        <f t="shared" si="11"/>
        <v>0</v>
      </c>
      <c r="G42" s="179"/>
      <c r="H42" s="80">
        <f t="shared" si="12"/>
        <v>0</v>
      </c>
      <c r="I42" s="179"/>
      <c r="J42" s="80">
        <f t="shared" si="13"/>
        <v>0</v>
      </c>
      <c r="K42" s="179"/>
      <c r="L42" s="80">
        <f t="shared" si="14"/>
        <v>0</v>
      </c>
      <c r="M42" s="179"/>
      <c r="N42" s="80">
        <f t="shared" si="15"/>
        <v>0</v>
      </c>
      <c r="O42" s="179"/>
      <c r="P42" s="80">
        <f t="shared" si="16"/>
        <v>0</v>
      </c>
      <c r="Q42" s="179"/>
      <c r="R42" s="80">
        <f t="shared" si="17"/>
        <v>0</v>
      </c>
      <c r="S42" s="179"/>
      <c r="T42" s="80">
        <f t="shared" si="18"/>
        <v>0</v>
      </c>
      <c r="U42" s="179"/>
      <c r="V42" s="80">
        <f t="shared" si="19"/>
        <v>0</v>
      </c>
    </row>
    <row r="43" spans="1:22" ht="12.75" customHeight="1">
      <c r="A43" s="2" t="s">
        <v>378</v>
      </c>
      <c r="B43" s="35"/>
      <c r="C43" s="179"/>
      <c r="D43" s="80">
        <f t="shared" si="10"/>
        <v>0</v>
      </c>
      <c r="E43" s="179"/>
      <c r="F43" s="80">
        <f t="shared" si="11"/>
        <v>0</v>
      </c>
      <c r="G43" s="179"/>
      <c r="H43" s="80">
        <f t="shared" si="12"/>
        <v>0</v>
      </c>
      <c r="I43" s="179"/>
      <c r="J43" s="80">
        <f t="shared" si="13"/>
        <v>0</v>
      </c>
      <c r="K43" s="179"/>
      <c r="L43" s="80">
        <f t="shared" si="14"/>
        <v>0</v>
      </c>
      <c r="M43" s="179"/>
      <c r="N43" s="80">
        <f t="shared" si="15"/>
        <v>0</v>
      </c>
      <c r="O43" s="179"/>
      <c r="P43" s="80">
        <f t="shared" si="16"/>
        <v>0</v>
      </c>
      <c r="Q43" s="179"/>
      <c r="R43" s="80">
        <f t="shared" si="17"/>
        <v>0</v>
      </c>
      <c r="S43" s="179"/>
      <c r="T43" s="80">
        <f t="shared" si="18"/>
        <v>0</v>
      </c>
      <c r="U43" s="179"/>
      <c r="V43" s="80">
        <f t="shared" si="19"/>
        <v>0</v>
      </c>
    </row>
    <row r="44" spans="1:22" ht="12.75" customHeight="1">
      <c r="A44" s="2" t="s">
        <v>379</v>
      </c>
      <c r="B44" s="35"/>
      <c r="C44" s="179"/>
      <c r="D44" s="80">
        <f t="shared" si="10"/>
        <v>0</v>
      </c>
      <c r="E44" s="179"/>
      <c r="F44" s="80">
        <f t="shared" si="11"/>
        <v>0</v>
      </c>
      <c r="G44" s="179"/>
      <c r="H44" s="80">
        <f t="shared" si="12"/>
        <v>0</v>
      </c>
      <c r="I44" s="179"/>
      <c r="J44" s="80">
        <f t="shared" si="13"/>
        <v>0</v>
      </c>
      <c r="K44" s="179"/>
      <c r="L44" s="80">
        <f t="shared" si="14"/>
        <v>0</v>
      </c>
      <c r="M44" s="179"/>
      <c r="N44" s="80">
        <f t="shared" si="15"/>
        <v>0</v>
      </c>
      <c r="O44" s="179"/>
      <c r="P44" s="80">
        <f t="shared" si="16"/>
        <v>0</v>
      </c>
      <c r="Q44" s="179"/>
      <c r="R44" s="80">
        <f t="shared" si="17"/>
        <v>0</v>
      </c>
      <c r="S44" s="179"/>
      <c r="T44" s="80">
        <f t="shared" si="18"/>
        <v>0</v>
      </c>
      <c r="U44" s="179"/>
      <c r="V44" s="80">
        <f t="shared" si="19"/>
        <v>0</v>
      </c>
    </row>
    <row r="45" spans="1:22" ht="12.75" customHeight="1">
      <c r="A45" s="2" t="s">
        <v>380</v>
      </c>
      <c r="B45" s="35"/>
      <c r="C45" s="182">
        <f>+SUM(C36+C37)*0.094</f>
        <v>59532.925999999999</v>
      </c>
      <c r="D45" s="80">
        <f t="shared" si="10"/>
        <v>0</v>
      </c>
      <c r="E45" s="182">
        <f>+SUM(E36+E37)*0.094</f>
        <v>67131.249150000003</v>
      </c>
      <c r="F45" s="80">
        <f t="shared" si="11"/>
        <v>0</v>
      </c>
      <c r="G45" s="182">
        <f>+SUM(G36+G37)*0.094</f>
        <v>68809.530378749987</v>
      </c>
      <c r="H45" s="80">
        <f t="shared" si="12"/>
        <v>0</v>
      </c>
      <c r="I45" s="182">
        <f>+SUM(I36+I37)*0.094</f>
        <v>70529.768638218738</v>
      </c>
      <c r="J45" s="80">
        <f t="shared" si="13"/>
        <v>0</v>
      </c>
      <c r="K45" s="182">
        <f>+SUM(K36+K37)*0.094</f>
        <v>72293.012854174201</v>
      </c>
      <c r="L45" s="80">
        <f t="shared" si="14"/>
        <v>0</v>
      </c>
      <c r="M45" s="182">
        <f>+SUM(M36+M37)*0.094</f>
        <v>74100.338175528537</v>
      </c>
      <c r="N45" s="80">
        <f t="shared" si="15"/>
        <v>0</v>
      </c>
      <c r="O45" s="182">
        <f>+SUM(O36+O37)*0.094</f>
        <v>75952.846629916748</v>
      </c>
      <c r="P45" s="80">
        <f t="shared" si="16"/>
        <v>0</v>
      </c>
      <c r="Q45" s="182">
        <f>+SUM(Q36+Q37)*0.094</f>
        <v>77851.667795664674</v>
      </c>
      <c r="R45" s="80">
        <f t="shared" si="17"/>
        <v>0</v>
      </c>
      <c r="S45" s="182">
        <f>+SUM(S36+S37)*0.094</f>
        <v>79797.959490556284</v>
      </c>
      <c r="T45" s="80">
        <f t="shared" si="18"/>
        <v>0</v>
      </c>
      <c r="U45" s="182">
        <f>+SUM(U36+U37)*0.094</f>
        <v>81792.90847782018</v>
      </c>
      <c r="V45" s="80">
        <f t="shared" si="19"/>
        <v>0</v>
      </c>
    </row>
    <row r="46" spans="1:22" ht="12.75" customHeight="1">
      <c r="A46" s="1" t="s">
        <v>381</v>
      </c>
      <c r="B46" s="53"/>
      <c r="C46" s="82">
        <f>SUM(C36:C45)</f>
        <v>771394.72199999995</v>
      </c>
      <c r="D46" s="83">
        <f t="shared" si="10"/>
        <v>0</v>
      </c>
      <c r="E46" s="82">
        <f>SUM(E36:E45)</f>
        <v>869849.59005</v>
      </c>
      <c r="F46" s="83">
        <f t="shared" si="11"/>
        <v>0</v>
      </c>
      <c r="G46" s="82">
        <f>SUM(G36:G45)</f>
        <v>891595.8298012499</v>
      </c>
      <c r="H46" s="83">
        <f t="shared" si="12"/>
        <v>0</v>
      </c>
      <c r="I46" s="82">
        <f>SUM(I36:I45)</f>
        <v>913885.72554628109</v>
      </c>
      <c r="J46" s="83">
        <f t="shared" si="13"/>
        <v>0</v>
      </c>
      <c r="K46" s="82">
        <f>SUM(K36:K45)</f>
        <v>936732.86868493794</v>
      </c>
      <c r="L46" s="83">
        <f t="shared" si="14"/>
        <v>0</v>
      </c>
      <c r="M46" s="82">
        <f>SUM(M36:M45)</f>
        <v>960151.19040206133</v>
      </c>
      <c r="N46" s="83">
        <f t="shared" si="15"/>
        <v>0</v>
      </c>
      <c r="O46" s="82">
        <f>SUM(O36:O45)</f>
        <v>984154.97016211273</v>
      </c>
      <c r="P46" s="83">
        <f t="shared" si="16"/>
        <v>0</v>
      </c>
      <c r="Q46" s="82">
        <f>SUM(Q36:Q45)</f>
        <v>1008758.8444161656</v>
      </c>
      <c r="R46" s="83">
        <f t="shared" si="17"/>
        <v>0</v>
      </c>
      <c r="S46" s="82">
        <f>SUM(S36:S45)</f>
        <v>1033977.8155265697</v>
      </c>
      <c r="T46" s="83">
        <f t="shared" si="18"/>
        <v>0</v>
      </c>
      <c r="U46" s="82">
        <f>SUM(U36:U45)</f>
        <v>1059827.2609147339</v>
      </c>
      <c r="V46" s="83">
        <f t="shared" si="19"/>
        <v>0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347" ht="12.75" customHeight="1">
      <c r="A49" s="1"/>
      <c r="B49" s="118"/>
    </row>
    <row r="50" spans="1:347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347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347" s="219" customFormat="1" ht="12.75" customHeight="1">
      <c r="A52" s="2" t="s">
        <v>383</v>
      </c>
      <c r="B52" s="35"/>
      <c r="C52" s="179">
        <v>298689.61284133</v>
      </c>
      <c r="D52" s="80">
        <f t="shared" ref="D52" si="20">IFERROR(C52/C$28,0)</f>
        <v>0</v>
      </c>
      <c r="E52" s="179">
        <v>1646836.6886236048</v>
      </c>
      <c r="F52" s="80">
        <f t="shared" ref="F52" si="21">IFERROR(E52/E$28,0)</f>
        <v>0</v>
      </c>
      <c r="G52" s="179">
        <v>2348964.348198073</v>
      </c>
      <c r="H52" s="80">
        <f t="shared" ref="H52" si="22">IFERROR(G52/G$28,0)</f>
        <v>0</v>
      </c>
      <c r="I52" s="179">
        <v>2356107.2053409303</v>
      </c>
      <c r="J52" s="80">
        <f t="shared" ref="J52" si="23">IFERROR(I52/I$28,0)</f>
        <v>0</v>
      </c>
      <c r="K52" s="179">
        <v>2447609.6683951169</v>
      </c>
      <c r="L52" s="80">
        <f t="shared" ref="L52" si="24">IFERROR(K52/K$28,0)</f>
        <v>0</v>
      </c>
      <c r="M52" s="179">
        <v>2589851.0477054617</v>
      </c>
      <c r="N52" s="80">
        <f t="shared" ref="N52" si="25">IFERROR(M52/M$28,0)</f>
        <v>0</v>
      </c>
      <c r="O52" s="179">
        <v>2589851.0477054617</v>
      </c>
      <c r="P52" s="80">
        <f t="shared" ref="P52" si="26">IFERROR(O52/O$28,0)</f>
        <v>0</v>
      </c>
      <c r="Q52" s="179">
        <v>2589851.0477054617</v>
      </c>
      <c r="R52" s="80">
        <f t="shared" ref="R52" si="27">IFERROR(Q52/Q$28,0)</f>
        <v>0</v>
      </c>
      <c r="S52" s="179">
        <v>2589851.0477054617</v>
      </c>
      <c r="T52" s="80">
        <f t="shared" ref="T52" si="28">IFERROR(S52/S$28,0)</f>
        <v>0</v>
      </c>
      <c r="U52" s="179">
        <v>1942388.2857790967</v>
      </c>
      <c r="V52" s="80">
        <f t="shared" ref="V52" si="29">IFERROR(U52/U$28,0)</f>
        <v>0</v>
      </c>
      <c r="W52" s="2"/>
      <c r="X52" s="20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</row>
    <row r="53" spans="1:347" s="219" customFormat="1" ht="12.75" customHeight="1">
      <c r="A53" s="2" t="s">
        <v>384</v>
      </c>
      <c r="B53" s="35"/>
      <c r="C53" s="179">
        <v>0</v>
      </c>
      <c r="D53" s="80">
        <f t="shared" ref="D53:D83" si="30">IFERROR(C53/C$28,0)</f>
        <v>0</v>
      </c>
      <c r="E53" s="179">
        <v>0</v>
      </c>
      <c r="F53" s="80">
        <f t="shared" ref="F53:F105" si="31">IFERROR(E53/E$28,0)</f>
        <v>0</v>
      </c>
      <c r="G53" s="179">
        <v>0</v>
      </c>
      <c r="H53" s="80">
        <f t="shared" ref="H53:H105" si="32">IFERROR(G53/G$28,0)</f>
        <v>0</v>
      </c>
      <c r="I53" s="179">
        <v>0</v>
      </c>
      <c r="J53" s="80">
        <f t="shared" ref="J53:J105" si="33">IFERROR(I53/I$28,0)</f>
        <v>0</v>
      </c>
      <c r="K53" s="179">
        <v>0</v>
      </c>
      <c r="L53" s="80">
        <f t="shared" ref="L53:L105" si="34">IFERROR(K53/K$28,0)</f>
        <v>0</v>
      </c>
      <c r="M53" s="179">
        <v>0</v>
      </c>
      <c r="N53" s="80">
        <f t="shared" ref="N53:N105" si="35">IFERROR(M53/M$28,0)</f>
        <v>0</v>
      </c>
      <c r="O53" s="179">
        <v>0</v>
      </c>
      <c r="P53" s="80">
        <f t="shared" ref="P53:P105" si="36">IFERROR(O53/O$28,0)</f>
        <v>0</v>
      </c>
      <c r="Q53" s="179">
        <v>0</v>
      </c>
      <c r="R53" s="80">
        <f t="shared" ref="R53:R105" si="37">IFERROR(Q53/Q$28,0)</f>
        <v>0</v>
      </c>
      <c r="S53" s="179">
        <v>0</v>
      </c>
      <c r="T53" s="80">
        <f t="shared" ref="T53:T105" si="38">IFERROR(S53/S$28,0)</f>
        <v>0</v>
      </c>
      <c r="U53" s="179">
        <v>0</v>
      </c>
      <c r="V53" s="80">
        <f t="shared" ref="V53:V105" si="39">IFERROR(U53/U$28,0)</f>
        <v>0</v>
      </c>
      <c r="W53" s="2"/>
      <c r="X53" s="20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</row>
    <row r="54" spans="1:347" ht="12.75" customHeight="1">
      <c r="A54" s="2" t="s">
        <v>385</v>
      </c>
      <c r="B54" s="35"/>
      <c r="C54" s="179">
        <v>0</v>
      </c>
      <c r="D54" s="80">
        <f t="shared" si="30"/>
        <v>0</v>
      </c>
      <c r="E54" s="179">
        <v>0</v>
      </c>
      <c r="F54" s="80">
        <f t="shared" si="31"/>
        <v>0</v>
      </c>
      <c r="G54" s="179">
        <v>0</v>
      </c>
      <c r="H54" s="80">
        <f t="shared" si="32"/>
        <v>0</v>
      </c>
      <c r="I54" s="179">
        <v>0</v>
      </c>
      <c r="J54" s="80">
        <f t="shared" si="33"/>
        <v>0</v>
      </c>
      <c r="K54" s="179">
        <v>0</v>
      </c>
      <c r="L54" s="80">
        <f t="shared" si="34"/>
        <v>0</v>
      </c>
      <c r="M54" s="179">
        <v>0</v>
      </c>
      <c r="N54" s="80">
        <f t="shared" si="35"/>
        <v>0</v>
      </c>
      <c r="O54" s="179">
        <v>0</v>
      </c>
      <c r="P54" s="80">
        <f t="shared" si="36"/>
        <v>0</v>
      </c>
      <c r="Q54" s="179">
        <v>0</v>
      </c>
      <c r="R54" s="80">
        <f t="shared" si="37"/>
        <v>0</v>
      </c>
      <c r="S54" s="179">
        <v>0</v>
      </c>
      <c r="T54" s="80">
        <f t="shared" si="38"/>
        <v>0</v>
      </c>
      <c r="U54" s="179">
        <v>0</v>
      </c>
      <c r="V54" s="80">
        <f t="shared" si="39"/>
        <v>0</v>
      </c>
      <c r="X54" s="202"/>
    </row>
    <row r="55" spans="1:347" ht="12.75" customHeight="1">
      <c r="A55" s="2" t="s">
        <v>386</v>
      </c>
      <c r="B55" s="35"/>
      <c r="C55" s="179">
        <v>0</v>
      </c>
      <c r="D55" s="80">
        <f t="shared" si="30"/>
        <v>0</v>
      </c>
      <c r="E55" s="179">
        <v>0</v>
      </c>
      <c r="F55" s="80">
        <f t="shared" si="31"/>
        <v>0</v>
      </c>
      <c r="G55" s="179">
        <v>0</v>
      </c>
      <c r="H55" s="80">
        <f t="shared" si="32"/>
        <v>0</v>
      </c>
      <c r="I55" s="179">
        <v>0</v>
      </c>
      <c r="J55" s="80">
        <f t="shared" si="33"/>
        <v>0</v>
      </c>
      <c r="K55" s="179">
        <v>0</v>
      </c>
      <c r="L55" s="80">
        <f t="shared" si="34"/>
        <v>0</v>
      </c>
      <c r="M55" s="179">
        <v>0</v>
      </c>
      <c r="N55" s="80">
        <f t="shared" si="35"/>
        <v>0</v>
      </c>
      <c r="O55" s="179">
        <v>0</v>
      </c>
      <c r="P55" s="80">
        <f t="shared" si="36"/>
        <v>0</v>
      </c>
      <c r="Q55" s="179">
        <v>0</v>
      </c>
      <c r="R55" s="80">
        <f t="shared" si="37"/>
        <v>0</v>
      </c>
      <c r="S55" s="179">
        <v>0</v>
      </c>
      <c r="T55" s="80">
        <f t="shared" si="38"/>
        <v>0</v>
      </c>
      <c r="U55" s="179">
        <v>0</v>
      </c>
      <c r="V55" s="80">
        <f t="shared" si="39"/>
        <v>0</v>
      </c>
      <c r="X55" s="202"/>
    </row>
    <row r="56" spans="1:347" ht="12.75" customHeight="1">
      <c r="A56" s="2" t="s">
        <v>387</v>
      </c>
      <c r="B56" s="35"/>
      <c r="C56" s="179">
        <v>0</v>
      </c>
      <c r="D56" s="80">
        <f t="shared" si="30"/>
        <v>0</v>
      </c>
      <c r="E56" s="179">
        <v>0</v>
      </c>
      <c r="F56" s="80">
        <f t="shared" si="31"/>
        <v>0</v>
      </c>
      <c r="G56" s="179">
        <v>0</v>
      </c>
      <c r="H56" s="80">
        <f t="shared" si="32"/>
        <v>0</v>
      </c>
      <c r="I56" s="179">
        <v>0</v>
      </c>
      <c r="J56" s="80">
        <f t="shared" si="33"/>
        <v>0</v>
      </c>
      <c r="K56" s="179">
        <v>0</v>
      </c>
      <c r="L56" s="80">
        <f t="shared" si="34"/>
        <v>0</v>
      </c>
      <c r="M56" s="179">
        <v>0</v>
      </c>
      <c r="N56" s="80">
        <f t="shared" si="35"/>
        <v>0</v>
      </c>
      <c r="O56" s="179">
        <v>0</v>
      </c>
      <c r="P56" s="80">
        <f t="shared" si="36"/>
        <v>0</v>
      </c>
      <c r="Q56" s="179">
        <v>0</v>
      </c>
      <c r="R56" s="80">
        <f t="shared" si="37"/>
        <v>0</v>
      </c>
      <c r="S56" s="179">
        <v>0</v>
      </c>
      <c r="T56" s="80">
        <f t="shared" si="38"/>
        <v>0</v>
      </c>
      <c r="U56" s="179">
        <v>0</v>
      </c>
      <c r="V56" s="80">
        <f t="shared" si="39"/>
        <v>0</v>
      </c>
      <c r="X56" s="202"/>
    </row>
    <row r="57" spans="1:347" s="219" customFormat="1" ht="12.75" customHeight="1">
      <c r="A57" s="2" t="s">
        <v>388</v>
      </c>
      <c r="B57" s="35"/>
      <c r="C57" s="179">
        <v>13078</v>
      </c>
      <c r="D57" s="80">
        <f t="shared" si="30"/>
        <v>0</v>
      </c>
      <c r="E57" s="179">
        <v>13404.949999999999</v>
      </c>
      <c r="F57" s="80">
        <f t="shared" si="31"/>
        <v>0</v>
      </c>
      <c r="G57" s="179">
        <v>13740.073749999998</v>
      </c>
      <c r="H57" s="80">
        <f t="shared" si="32"/>
        <v>0</v>
      </c>
      <c r="I57" s="179">
        <v>14083.575593749996</v>
      </c>
      <c r="J57" s="80">
        <f t="shared" si="33"/>
        <v>0</v>
      </c>
      <c r="K57" s="179">
        <v>14435.664983593744</v>
      </c>
      <c r="L57" s="80">
        <f t="shared" si="34"/>
        <v>0</v>
      </c>
      <c r="M57" s="179">
        <v>14796.556608183586</v>
      </c>
      <c r="N57" s="80">
        <f t="shared" si="35"/>
        <v>0</v>
      </c>
      <c r="O57" s="179">
        <v>15166.470523388174</v>
      </c>
      <c r="P57" s="80">
        <f t="shared" si="36"/>
        <v>0</v>
      </c>
      <c r="Q57" s="179">
        <v>15545.632286472877</v>
      </c>
      <c r="R57" s="80">
        <f t="shared" si="37"/>
        <v>0</v>
      </c>
      <c r="S57" s="179">
        <v>15934.273093634698</v>
      </c>
      <c r="T57" s="80">
        <f t="shared" si="38"/>
        <v>0</v>
      </c>
      <c r="U57" s="179">
        <v>16332.629920975563</v>
      </c>
      <c r="V57" s="80">
        <f t="shared" si="39"/>
        <v>0</v>
      </c>
      <c r="W57" s="2"/>
      <c r="X57" s="20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</row>
    <row r="58" spans="1:347" s="219" customFormat="1" ht="12.75" customHeight="1">
      <c r="A58" s="2" t="s">
        <v>389</v>
      </c>
      <c r="B58" s="35"/>
      <c r="C58" s="179">
        <v>12252</v>
      </c>
      <c r="D58" s="80">
        <f t="shared" si="30"/>
        <v>0</v>
      </c>
      <c r="E58" s="179">
        <v>13989</v>
      </c>
      <c r="F58" s="80">
        <f t="shared" si="31"/>
        <v>0</v>
      </c>
      <c r="G58" s="179">
        <v>14338.724999999999</v>
      </c>
      <c r="H58" s="80">
        <f t="shared" si="32"/>
        <v>0</v>
      </c>
      <c r="I58" s="179">
        <v>14697.193124999998</v>
      </c>
      <c r="J58" s="80">
        <f t="shared" si="33"/>
        <v>0</v>
      </c>
      <c r="K58" s="179">
        <v>15064.622953124997</v>
      </c>
      <c r="L58" s="80">
        <f t="shared" si="34"/>
        <v>0</v>
      </c>
      <c r="M58" s="179">
        <v>15441.238526953121</v>
      </c>
      <c r="N58" s="80">
        <f t="shared" si="35"/>
        <v>0</v>
      </c>
      <c r="O58" s="179">
        <v>15827.269490126948</v>
      </c>
      <c r="P58" s="80">
        <f t="shared" si="36"/>
        <v>0</v>
      </c>
      <c r="Q58" s="179">
        <v>16222.951227380121</v>
      </c>
      <c r="R58" s="80">
        <f t="shared" si="37"/>
        <v>0</v>
      </c>
      <c r="S58" s="179">
        <v>16628.525008064622</v>
      </c>
      <c r="T58" s="80">
        <f t="shared" si="38"/>
        <v>0</v>
      </c>
      <c r="U58" s="179">
        <v>17044.238133266237</v>
      </c>
      <c r="V58" s="80">
        <f t="shared" si="39"/>
        <v>0</v>
      </c>
      <c r="W58" s="2"/>
      <c r="X58" s="20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</row>
    <row r="59" spans="1:347" ht="12.75" customHeight="1">
      <c r="A59" s="2" t="s">
        <v>390</v>
      </c>
      <c r="B59" s="35"/>
      <c r="C59" s="179">
        <v>2000000</v>
      </c>
      <c r="D59" s="80">
        <f t="shared" si="30"/>
        <v>0</v>
      </c>
      <c r="E59" s="179">
        <v>2000000</v>
      </c>
      <c r="F59" s="80">
        <f t="shared" si="31"/>
        <v>0</v>
      </c>
      <c r="G59" s="179">
        <v>2000000</v>
      </c>
      <c r="H59" s="80">
        <f t="shared" si="32"/>
        <v>0</v>
      </c>
      <c r="I59" s="179">
        <v>2000000</v>
      </c>
      <c r="J59" s="80">
        <f t="shared" si="33"/>
        <v>0</v>
      </c>
      <c r="K59" s="179">
        <v>2000000</v>
      </c>
      <c r="L59" s="80">
        <f t="shared" si="34"/>
        <v>0</v>
      </c>
      <c r="M59" s="179">
        <v>2000000</v>
      </c>
      <c r="N59" s="80">
        <f t="shared" si="35"/>
        <v>0</v>
      </c>
      <c r="O59" s="179">
        <v>2000000</v>
      </c>
      <c r="P59" s="80">
        <f t="shared" si="36"/>
        <v>0</v>
      </c>
      <c r="Q59" s="179">
        <v>2000000</v>
      </c>
      <c r="R59" s="80">
        <f t="shared" si="37"/>
        <v>0</v>
      </c>
      <c r="S59" s="179">
        <v>2000000</v>
      </c>
      <c r="T59" s="80">
        <f t="shared" si="38"/>
        <v>0</v>
      </c>
      <c r="U59" s="179">
        <v>2000000</v>
      </c>
      <c r="V59" s="80">
        <f t="shared" si="39"/>
        <v>0</v>
      </c>
      <c r="X59" s="202"/>
    </row>
    <row r="60" spans="1:347" s="219" customFormat="1" ht="12.75" customHeight="1">
      <c r="A60" s="2" t="s">
        <v>391</v>
      </c>
      <c r="B60" s="35"/>
      <c r="C60" s="179">
        <v>0</v>
      </c>
      <c r="D60" s="80">
        <f t="shared" si="30"/>
        <v>0</v>
      </c>
      <c r="E60" s="179">
        <v>0</v>
      </c>
      <c r="F60" s="80">
        <f t="shared" si="31"/>
        <v>0</v>
      </c>
      <c r="G60" s="179">
        <v>0</v>
      </c>
      <c r="H60" s="80">
        <f t="shared" si="32"/>
        <v>0</v>
      </c>
      <c r="I60" s="179">
        <v>0</v>
      </c>
      <c r="J60" s="80">
        <f t="shared" si="33"/>
        <v>0</v>
      </c>
      <c r="K60" s="179">
        <v>0</v>
      </c>
      <c r="L60" s="80">
        <f t="shared" si="34"/>
        <v>0</v>
      </c>
      <c r="M60" s="179">
        <v>0</v>
      </c>
      <c r="N60" s="80">
        <f t="shared" si="35"/>
        <v>0</v>
      </c>
      <c r="O60" s="179">
        <v>0</v>
      </c>
      <c r="P60" s="80">
        <f t="shared" si="36"/>
        <v>0</v>
      </c>
      <c r="Q60" s="179">
        <v>0</v>
      </c>
      <c r="R60" s="80">
        <f t="shared" si="37"/>
        <v>0</v>
      </c>
      <c r="S60" s="179">
        <v>0</v>
      </c>
      <c r="T60" s="80">
        <f t="shared" si="38"/>
        <v>0</v>
      </c>
      <c r="U60" s="179">
        <v>0</v>
      </c>
      <c r="V60" s="80">
        <f t="shared" si="39"/>
        <v>0</v>
      </c>
      <c r="W60" s="2"/>
      <c r="X60" s="20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</row>
    <row r="61" spans="1:347" s="219" customFormat="1" ht="12.75" customHeight="1">
      <c r="A61" s="2" t="s">
        <v>392</v>
      </c>
      <c r="B61" s="35"/>
      <c r="C61" s="179">
        <v>134132.52499999999</v>
      </c>
      <c r="D61" s="80">
        <f t="shared" si="30"/>
        <v>0</v>
      </c>
      <c r="E61" s="179">
        <v>160959.03</v>
      </c>
      <c r="F61" s="80">
        <f t="shared" si="31"/>
        <v>0</v>
      </c>
      <c r="G61" s="179">
        <v>177054.93300000002</v>
      </c>
      <c r="H61" s="80">
        <f t="shared" si="32"/>
        <v>0</v>
      </c>
      <c r="I61" s="179">
        <v>181481.30632500001</v>
      </c>
      <c r="J61" s="80">
        <f t="shared" si="33"/>
        <v>0</v>
      </c>
      <c r="K61" s="179">
        <v>186018.338983125</v>
      </c>
      <c r="L61" s="80">
        <f t="shared" si="34"/>
        <v>0</v>
      </c>
      <c r="M61" s="179">
        <v>190668.7974577031</v>
      </c>
      <c r="N61" s="80">
        <f t="shared" si="35"/>
        <v>0</v>
      </c>
      <c r="O61" s="179">
        <v>195435.51739414566</v>
      </c>
      <c r="P61" s="80">
        <f t="shared" si="36"/>
        <v>0</v>
      </c>
      <c r="Q61" s="179">
        <v>200321.40532899927</v>
      </c>
      <c r="R61" s="80">
        <f t="shared" si="37"/>
        <v>0</v>
      </c>
      <c r="S61" s="179">
        <v>205329.44046222424</v>
      </c>
      <c r="T61" s="80">
        <f t="shared" si="38"/>
        <v>0</v>
      </c>
      <c r="U61" s="179">
        <v>210462.67647377984</v>
      </c>
      <c r="V61" s="80">
        <f t="shared" si="39"/>
        <v>0</v>
      </c>
      <c r="W61" s="2"/>
      <c r="X61" s="20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</row>
    <row r="62" spans="1:347" s="219" customFormat="1" ht="12.75" customHeight="1">
      <c r="A62" s="2" t="s">
        <v>393</v>
      </c>
      <c r="B62" s="35"/>
      <c r="C62" s="179">
        <v>727608.2728988931</v>
      </c>
      <c r="D62" s="80">
        <f t="shared" si="30"/>
        <v>0</v>
      </c>
      <c r="E62" s="179">
        <v>830459.56820365239</v>
      </c>
      <c r="F62" s="80">
        <f t="shared" si="31"/>
        <v>0</v>
      </c>
      <c r="G62" s="179">
        <v>1388343.9343738651</v>
      </c>
      <c r="H62" s="80">
        <f t="shared" si="32"/>
        <v>0</v>
      </c>
      <c r="I62" s="179">
        <v>897841.42727386509</v>
      </c>
      <c r="J62" s="80">
        <f t="shared" si="33"/>
        <v>0</v>
      </c>
      <c r="K62" s="179">
        <v>913514.01737465803</v>
      </c>
      <c r="L62" s="80">
        <f t="shared" si="34"/>
        <v>0</v>
      </c>
      <c r="M62" s="179">
        <v>1483016.3541439925</v>
      </c>
      <c r="N62" s="80">
        <f t="shared" si="35"/>
        <v>0</v>
      </c>
      <c r="O62" s="179">
        <v>942848.15756813064</v>
      </c>
      <c r="P62" s="80">
        <f t="shared" si="36"/>
        <v>0</v>
      </c>
      <c r="Q62" s="179">
        <v>952974.91509499319</v>
      </c>
      <c r="R62" s="80">
        <f t="shared" si="37"/>
        <v>0</v>
      </c>
      <c r="S62" s="179">
        <v>1563405.4753476614</v>
      </c>
      <c r="T62" s="80">
        <f t="shared" si="38"/>
        <v>0</v>
      </c>
      <c r="U62" s="179">
        <v>928826.55907306424</v>
      </c>
      <c r="V62" s="80">
        <f t="shared" si="39"/>
        <v>0</v>
      </c>
      <c r="W62" s="2"/>
      <c r="X62" s="20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</row>
    <row r="63" spans="1:347" ht="12.75" customHeight="1">
      <c r="A63" s="2" t="s">
        <v>394</v>
      </c>
      <c r="B63" s="35"/>
      <c r="C63" s="179">
        <v>0</v>
      </c>
      <c r="D63" s="80">
        <f t="shared" si="30"/>
        <v>0</v>
      </c>
      <c r="E63" s="179">
        <v>0</v>
      </c>
      <c r="F63" s="80">
        <f t="shared" si="31"/>
        <v>0</v>
      </c>
      <c r="G63" s="179">
        <v>0</v>
      </c>
      <c r="H63" s="80">
        <f t="shared" si="32"/>
        <v>0</v>
      </c>
      <c r="I63" s="179">
        <v>0</v>
      </c>
      <c r="J63" s="80">
        <f t="shared" si="33"/>
        <v>0</v>
      </c>
      <c r="K63" s="179">
        <v>0</v>
      </c>
      <c r="L63" s="80">
        <f t="shared" si="34"/>
        <v>0</v>
      </c>
      <c r="M63" s="179">
        <v>0</v>
      </c>
      <c r="N63" s="80">
        <f t="shared" si="35"/>
        <v>0</v>
      </c>
      <c r="O63" s="179">
        <v>0</v>
      </c>
      <c r="P63" s="80">
        <f t="shared" si="36"/>
        <v>0</v>
      </c>
      <c r="Q63" s="179">
        <v>0</v>
      </c>
      <c r="R63" s="80">
        <f t="shared" si="37"/>
        <v>0</v>
      </c>
      <c r="S63" s="179">
        <v>0</v>
      </c>
      <c r="T63" s="80">
        <f t="shared" si="38"/>
        <v>0</v>
      </c>
      <c r="U63" s="179">
        <v>0</v>
      </c>
      <c r="V63" s="80">
        <f t="shared" si="39"/>
        <v>0</v>
      </c>
      <c r="X63" s="202"/>
    </row>
    <row r="64" spans="1:347" ht="12.75" customHeight="1">
      <c r="A64" s="2" t="s">
        <v>395</v>
      </c>
      <c r="B64" s="35"/>
      <c r="C64" s="179">
        <v>0</v>
      </c>
      <c r="D64" s="80">
        <f t="shared" si="30"/>
        <v>0</v>
      </c>
      <c r="E64" s="179">
        <v>0</v>
      </c>
      <c r="F64" s="80">
        <f t="shared" si="31"/>
        <v>0</v>
      </c>
      <c r="G64" s="179">
        <v>0</v>
      </c>
      <c r="H64" s="80">
        <f t="shared" si="32"/>
        <v>0</v>
      </c>
      <c r="I64" s="179">
        <v>0</v>
      </c>
      <c r="J64" s="80">
        <f t="shared" si="33"/>
        <v>0</v>
      </c>
      <c r="K64" s="179">
        <v>0</v>
      </c>
      <c r="L64" s="80">
        <f t="shared" si="34"/>
        <v>0</v>
      </c>
      <c r="M64" s="179">
        <v>0</v>
      </c>
      <c r="N64" s="80">
        <f t="shared" si="35"/>
        <v>0</v>
      </c>
      <c r="O64" s="179">
        <v>0</v>
      </c>
      <c r="P64" s="80">
        <f t="shared" si="36"/>
        <v>0</v>
      </c>
      <c r="Q64" s="179">
        <v>0</v>
      </c>
      <c r="R64" s="80">
        <f t="shared" si="37"/>
        <v>0</v>
      </c>
      <c r="S64" s="179">
        <v>0</v>
      </c>
      <c r="T64" s="80">
        <f t="shared" si="38"/>
        <v>0</v>
      </c>
      <c r="U64" s="179">
        <v>0</v>
      </c>
      <c r="V64" s="80">
        <f t="shared" si="39"/>
        <v>0</v>
      </c>
      <c r="X64" s="202"/>
    </row>
    <row r="65" spans="1:347" ht="12.75" customHeight="1">
      <c r="A65" s="2" t="s">
        <v>396</v>
      </c>
      <c r="B65" s="35"/>
      <c r="C65" s="179">
        <v>0</v>
      </c>
      <c r="D65" s="80">
        <f t="shared" si="30"/>
        <v>0</v>
      </c>
      <c r="E65" s="179">
        <v>0</v>
      </c>
      <c r="F65" s="80">
        <f t="shared" si="31"/>
        <v>0</v>
      </c>
      <c r="G65" s="179">
        <v>0</v>
      </c>
      <c r="H65" s="80">
        <f t="shared" si="32"/>
        <v>0</v>
      </c>
      <c r="I65" s="179">
        <v>0</v>
      </c>
      <c r="J65" s="80">
        <f t="shared" si="33"/>
        <v>0</v>
      </c>
      <c r="K65" s="179">
        <v>0</v>
      </c>
      <c r="L65" s="80">
        <f t="shared" si="34"/>
        <v>0</v>
      </c>
      <c r="M65" s="179">
        <v>0</v>
      </c>
      <c r="N65" s="80">
        <f t="shared" si="35"/>
        <v>0</v>
      </c>
      <c r="O65" s="179">
        <v>0</v>
      </c>
      <c r="P65" s="80">
        <f t="shared" si="36"/>
        <v>0</v>
      </c>
      <c r="Q65" s="179">
        <v>0</v>
      </c>
      <c r="R65" s="80">
        <f t="shared" si="37"/>
        <v>0</v>
      </c>
      <c r="S65" s="179">
        <v>0</v>
      </c>
      <c r="T65" s="80">
        <f t="shared" si="38"/>
        <v>0</v>
      </c>
      <c r="U65" s="179">
        <v>0</v>
      </c>
      <c r="V65" s="80">
        <f t="shared" si="39"/>
        <v>0</v>
      </c>
      <c r="X65" s="202"/>
    </row>
    <row r="66" spans="1:347" ht="12.75" customHeight="1">
      <c r="A66" s="2" t="s">
        <v>397</v>
      </c>
      <c r="B66" s="35"/>
      <c r="C66" s="179">
        <v>0</v>
      </c>
      <c r="D66" s="80">
        <f t="shared" si="30"/>
        <v>0</v>
      </c>
      <c r="E66" s="179">
        <v>0</v>
      </c>
      <c r="F66" s="80">
        <f t="shared" si="31"/>
        <v>0</v>
      </c>
      <c r="G66" s="179">
        <v>0</v>
      </c>
      <c r="H66" s="80">
        <f t="shared" si="32"/>
        <v>0</v>
      </c>
      <c r="I66" s="179">
        <v>0</v>
      </c>
      <c r="J66" s="80">
        <f t="shared" si="33"/>
        <v>0</v>
      </c>
      <c r="K66" s="179">
        <v>0</v>
      </c>
      <c r="L66" s="80">
        <f t="shared" si="34"/>
        <v>0</v>
      </c>
      <c r="M66" s="179">
        <v>0</v>
      </c>
      <c r="N66" s="80">
        <f t="shared" si="35"/>
        <v>0</v>
      </c>
      <c r="O66" s="179">
        <v>0</v>
      </c>
      <c r="P66" s="80">
        <f t="shared" si="36"/>
        <v>0</v>
      </c>
      <c r="Q66" s="179">
        <v>0</v>
      </c>
      <c r="R66" s="80">
        <f t="shared" si="37"/>
        <v>0</v>
      </c>
      <c r="S66" s="179">
        <v>0</v>
      </c>
      <c r="T66" s="80">
        <f t="shared" si="38"/>
        <v>0</v>
      </c>
      <c r="U66" s="179">
        <v>0</v>
      </c>
      <c r="V66" s="80">
        <f t="shared" si="39"/>
        <v>0</v>
      </c>
      <c r="X66" s="202"/>
    </row>
    <row r="67" spans="1:347" ht="12.75" customHeight="1">
      <c r="A67" s="2" t="s">
        <v>398</v>
      </c>
      <c r="B67" s="35"/>
      <c r="C67" s="179">
        <v>0</v>
      </c>
      <c r="D67" s="80">
        <f t="shared" si="30"/>
        <v>0</v>
      </c>
      <c r="E67" s="179">
        <v>0</v>
      </c>
      <c r="F67" s="80">
        <f t="shared" si="31"/>
        <v>0</v>
      </c>
      <c r="G67" s="179">
        <v>0</v>
      </c>
      <c r="H67" s="80">
        <f t="shared" si="32"/>
        <v>0</v>
      </c>
      <c r="I67" s="179">
        <v>0</v>
      </c>
      <c r="J67" s="80">
        <f t="shared" si="33"/>
        <v>0</v>
      </c>
      <c r="K67" s="179">
        <v>0</v>
      </c>
      <c r="L67" s="80">
        <f t="shared" si="34"/>
        <v>0</v>
      </c>
      <c r="M67" s="179">
        <v>0</v>
      </c>
      <c r="N67" s="80">
        <f t="shared" si="35"/>
        <v>0</v>
      </c>
      <c r="O67" s="179">
        <v>0</v>
      </c>
      <c r="P67" s="80">
        <f t="shared" si="36"/>
        <v>0</v>
      </c>
      <c r="Q67" s="179">
        <v>0</v>
      </c>
      <c r="R67" s="80">
        <f t="shared" si="37"/>
        <v>0</v>
      </c>
      <c r="S67" s="179">
        <v>0</v>
      </c>
      <c r="T67" s="80">
        <f t="shared" si="38"/>
        <v>0</v>
      </c>
      <c r="U67" s="179">
        <v>0</v>
      </c>
      <c r="V67" s="80">
        <f t="shared" si="39"/>
        <v>0</v>
      </c>
      <c r="X67" s="202"/>
    </row>
    <row r="68" spans="1:347" ht="12.75" customHeight="1">
      <c r="A68" s="2" t="s">
        <v>399</v>
      </c>
      <c r="B68" s="35"/>
      <c r="C68" s="179">
        <v>0</v>
      </c>
      <c r="D68" s="80">
        <f t="shared" si="30"/>
        <v>0</v>
      </c>
      <c r="E68" s="179">
        <v>0</v>
      </c>
      <c r="F68" s="80">
        <f t="shared" si="31"/>
        <v>0</v>
      </c>
      <c r="G68" s="179">
        <v>0</v>
      </c>
      <c r="H68" s="80">
        <f t="shared" si="32"/>
        <v>0</v>
      </c>
      <c r="I68" s="179">
        <v>0</v>
      </c>
      <c r="J68" s="80">
        <f t="shared" si="33"/>
        <v>0</v>
      </c>
      <c r="K68" s="179">
        <v>0</v>
      </c>
      <c r="L68" s="80">
        <f t="shared" si="34"/>
        <v>0</v>
      </c>
      <c r="M68" s="179">
        <v>0</v>
      </c>
      <c r="N68" s="80">
        <f t="shared" si="35"/>
        <v>0</v>
      </c>
      <c r="O68" s="179">
        <v>0</v>
      </c>
      <c r="P68" s="80">
        <f t="shared" si="36"/>
        <v>0</v>
      </c>
      <c r="Q68" s="179">
        <v>0</v>
      </c>
      <c r="R68" s="80">
        <f t="shared" si="37"/>
        <v>0</v>
      </c>
      <c r="S68" s="179">
        <v>0</v>
      </c>
      <c r="T68" s="80">
        <f t="shared" si="38"/>
        <v>0</v>
      </c>
      <c r="U68" s="179">
        <v>0</v>
      </c>
      <c r="V68" s="80">
        <f t="shared" si="39"/>
        <v>0</v>
      </c>
      <c r="X68" s="202"/>
    </row>
    <row r="69" spans="1:347" s="219" customFormat="1" ht="12.75" customHeight="1">
      <c r="A69" s="2" t="s">
        <v>400</v>
      </c>
      <c r="B69" s="35"/>
      <c r="C69" s="179">
        <v>12588</v>
      </c>
      <c r="D69" s="80">
        <f t="shared" si="30"/>
        <v>0</v>
      </c>
      <c r="E69" s="179">
        <v>13846.800000000001</v>
      </c>
      <c r="F69" s="80">
        <f t="shared" si="31"/>
        <v>0</v>
      </c>
      <c r="G69" s="179">
        <v>14539.140000000001</v>
      </c>
      <c r="H69" s="80">
        <f t="shared" si="32"/>
        <v>0</v>
      </c>
      <c r="I69" s="179">
        <v>14902.6185</v>
      </c>
      <c r="J69" s="80">
        <f t="shared" si="33"/>
        <v>0</v>
      </c>
      <c r="K69" s="179">
        <v>15275.183962499999</v>
      </c>
      <c r="L69" s="80">
        <f t="shared" si="34"/>
        <v>0</v>
      </c>
      <c r="M69" s="179">
        <v>15657.063561562498</v>
      </c>
      <c r="N69" s="80">
        <f t="shared" si="35"/>
        <v>0</v>
      </c>
      <c r="O69" s="179">
        <v>16048.490150601559</v>
      </c>
      <c r="P69" s="80">
        <f t="shared" si="36"/>
        <v>0</v>
      </c>
      <c r="Q69" s="179">
        <v>16449.702404366599</v>
      </c>
      <c r="R69" s="80">
        <f t="shared" si="37"/>
        <v>0</v>
      </c>
      <c r="S69" s="179">
        <v>16860.944964475762</v>
      </c>
      <c r="T69" s="80">
        <f t="shared" si="38"/>
        <v>0</v>
      </c>
      <c r="U69" s="179">
        <v>17282.468588587653</v>
      </c>
      <c r="V69" s="80">
        <f t="shared" si="39"/>
        <v>0</v>
      </c>
      <c r="W69" s="2"/>
      <c r="X69" s="20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</row>
    <row r="70" spans="1:347" ht="12.75" customHeight="1">
      <c r="A70" s="2" t="s">
        <v>401</v>
      </c>
      <c r="B70" s="35"/>
      <c r="C70" s="179">
        <v>0</v>
      </c>
      <c r="D70" s="80">
        <f t="shared" si="30"/>
        <v>0</v>
      </c>
      <c r="E70" s="179">
        <v>0</v>
      </c>
      <c r="F70" s="80">
        <f t="shared" si="31"/>
        <v>0</v>
      </c>
      <c r="G70" s="179">
        <v>0</v>
      </c>
      <c r="H70" s="80">
        <f t="shared" si="32"/>
        <v>0</v>
      </c>
      <c r="I70" s="179">
        <v>0</v>
      </c>
      <c r="J70" s="80">
        <f t="shared" si="33"/>
        <v>0</v>
      </c>
      <c r="K70" s="179">
        <v>0</v>
      </c>
      <c r="L70" s="80">
        <f t="shared" si="34"/>
        <v>0</v>
      </c>
      <c r="M70" s="179">
        <v>0</v>
      </c>
      <c r="N70" s="80">
        <f t="shared" si="35"/>
        <v>0</v>
      </c>
      <c r="O70" s="179">
        <v>0</v>
      </c>
      <c r="P70" s="80">
        <f t="shared" si="36"/>
        <v>0</v>
      </c>
      <c r="Q70" s="179">
        <v>0</v>
      </c>
      <c r="R70" s="80">
        <f t="shared" si="37"/>
        <v>0</v>
      </c>
      <c r="S70" s="179">
        <v>0</v>
      </c>
      <c r="T70" s="80">
        <f t="shared" si="38"/>
        <v>0</v>
      </c>
      <c r="U70" s="179">
        <v>0</v>
      </c>
      <c r="V70" s="80">
        <f t="shared" si="39"/>
        <v>0</v>
      </c>
      <c r="X70" s="202"/>
    </row>
    <row r="71" spans="1:347" s="219" customFormat="1" ht="12.75" customHeight="1">
      <c r="A71" s="2" t="s">
        <v>402</v>
      </c>
      <c r="B71" s="35"/>
      <c r="C71" s="179">
        <v>78522</v>
      </c>
      <c r="D71" s="80">
        <f t="shared" si="30"/>
        <v>0</v>
      </c>
      <c r="E71" s="179">
        <v>86374.200000000012</v>
      </c>
      <c r="F71" s="80">
        <f t="shared" si="31"/>
        <v>0</v>
      </c>
      <c r="G71" s="179">
        <v>90692.910000000018</v>
      </c>
      <c r="H71" s="80">
        <f t="shared" si="32"/>
        <v>0</v>
      </c>
      <c r="I71" s="179">
        <v>92960.23275000001</v>
      </c>
      <c r="J71" s="80">
        <f t="shared" si="33"/>
        <v>0</v>
      </c>
      <c r="K71" s="179">
        <v>95284.238568750006</v>
      </c>
      <c r="L71" s="80">
        <f t="shared" si="34"/>
        <v>0</v>
      </c>
      <c r="M71" s="179">
        <v>97666.344532968753</v>
      </c>
      <c r="N71" s="80">
        <f t="shared" si="35"/>
        <v>0</v>
      </c>
      <c r="O71" s="179">
        <v>100108.00314629296</v>
      </c>
      <c r="P71" s="80">
        <f t="shared" si="36"/>
        <v>0</v>
      </c>
      <c r="Q71" s="179">
        <v>102610.70322495028</v>
      </c>
      <c r="R71" s="80">
        <f t="shared" si="37"/>
        <v>0</v>
      </c>
      <c r="S71" s="179">
        <v>105175.97080557403</v>
      </c>
      <c r="T71" s="80">
        <f t="shared" si="38"/>
        <v>0</v>
      </c>
      <c r="U71" s="179">
        <v>107805.37007571338</v>
      </c>
      <c r="V71" s="80">
        <f t="shared" si="39"/>
        <v>0</v>
      </c>
      <c r="W71" s="2"/>
      <c r="X71" s="20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</row>
    <row r="72" spans="1:347" s="219" customFormat="1" ht="12.75" customHeight="1">
      <c r="A72" s="2" t="s">
        <v>403</v>
      </c>
      <c r="B72" s="35"/>
      <c r="C72" s="179">
        <v>5200</v>
      </c>
      <c r="D72" s="80">
        <f t="shared" si="30"/>
        <v>0</v>
      </c>
      <c r="E72" s="179">
        <v>5720.0000000000009</v>
      </c>
      <c r="F72" s="80">
        <f t="shared" si="31"/>
        <v>0</v>
      </c>
      <c r="G72" s="179">
        <v>6006.0000000000009</v>
      </c>
      <c r="H72" s="80">
        <f t="shared" si="32"/>
        <v>0</v>
      </c>
      <c r="I72" s="179">
        <v>6156.1500000000005</v>
      </c>
      <c r="J72" s="80">
        <f t="shared" si="33"/>
        <v>0</v>
      </c>
      <c r="K72" s="179">
        <v>6310.05375</v>
      </c>
      <c r="L72" s="80">
        <f t="shared" si="34"/>
        <v>0</v>
      </c>
      <c r="M72" s="179">
        <v>6467.8050937499993</v>
      </c>
      <c r="N72" s="80">
        <f t="shared" si="35"/>
        <v>0</v>
      </c>
      <c r="O72" s="179">
        <v>6629.5002210937491</v>
      </c>
      <c r="P72" s="80">
        <f t="shared" si="36"/>
        <v>0</v>
      </c>
      <c r="Q72" s="179">
        <v>6795.2377266210924</v>
      </c>
      <c r="R72" s="80">
        <f t="shared" si="37"/>
        <v>0</v>
      </c>
      <c r="S72" s="179">
        <v>6965.1186697866187</v>
      </c>
      <c r="T72" s="80">
        <f t="shared" si="38"/>
        <v>0</v>
      </c>
      <c r="U72" s="179">
        <v>7139.2466365312839</v>
      </c>
      <c r="V72" s="80">
        <f t="shared" si="39"/>
        <v>0</v>
      </c>
      <c r="W72" s="2"/>
      <c r="X72" s="20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</row>
    <row r="73" spans="1:347" s="219" customFormat="1" ht="12.75" customHeight="1">
      <c r="A73" s="2" t="s">
        <v>404</v>
      </c>
      <c r="B73" s="35"/>
      <c r="C73" s="179">
        <v>105000</v>
      </c>
      <c r="D73" s="80">
        <f t="shared" si="30"/>
        <v>0</v>
      </c>
      <c r="E73" s="179">
        <v>108150</v>
      </c>
      <c r="F73" s="80">
        <f t="shared" si="31"/>
        <v>0</v>
      </c>
      <c r="G73" s="179">
        <v>111394.5</v>
      </c>
      <c r="H73" s="80">
        <f t="shared" si="32"/>
        <v>0</v>
      </c>
      <c r="I73" s="179">
        <v>114736.33500000001</v>
      </c>
      <c r="J73" s="80">
        <f t="shared" si="33"/>
        <v>0</v>
      </c>
      <c r="K73" s="179">
        <v>118178.42505000001</v>
      </c>
      <c r="L73" s="80">
        <f t="shared" si="34"/>
        <v>0</v>
      </c>
      <c r="M73" s="179">
        <v>121723.77780150001</v>
      </c>
      <c r="N73" s="80">
        <f t="shared" si="35"/>
        <v>0</v>
      </c>
      <c r="O73" s="179">
        <v>125375.49113554502</v>
      </c>
      <c r="P73" s="80">
        <f t="shared" si="36"/>
        <v>0</v>
      </c>
      <c r="Q73" s="179">
        <v>129136.75586961137</v>
      </c>
      <c r="R73" s="80">
        <f t="shared" si="37"/>
        <v>0</v>
      </c>
      <c r="S73" s="179">
        <v>133010.85854569971</v>
      </c>
      <c r="T73" s="80">
        <f t="shared" si="38"/>
        <v>0</v>
      </c>
      <c r="U73" s="179">
        <v>137001.1843020707</v>
      </c>
      <c r="V73" s="80">
        <f t="shared" si="39"/>
        <v>0</v>
      </c>
      <c r="W73" s="2"/>
      <c r="X73" s="20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</row>
    <row r="74" spans="1:347" ht="12.75" customHeight="1">
      <c r="A74" s="2" t="s">
        <v>405</v>
      </c>
      <c r="B74" s="35"/>
      <c r="C74" s="179">
        <v>0</v>
      </c>
      <c r="D74" s="80">
        <f t="shared" si="30"/>
        <v>0</v>
      </c>
      <c r="E74" s="179">
        <v>0</v>
      </c>
      <c r="F74" s="80">
        <f t="shared" si="31"/>
        <v>0</v>
      </c>
      <c r="G74" s="179">
        <v>0</v>
      </c>
      <c r="H74" s="80">
        <f t="shared" si="32"/>
        <v>0</v>
      </c>
      <c r="I74" s="179">
        <v>0</v>
      </c>
      <c r="J74" s="80">
        <f t="shared" si="33"/>
        <v>0</v>
      </c>
      <c r="K74" s="179">
        <v>0</v>
      </c>
      <c r="L74" s="80">
        <f t="shared" si="34"/>
        <v>0</v>
      </c>
      <c r="M74" s="179">
        <v>0</v>
      </c>
      <c r="N74" s="80">
        <f t="shared" si="35"/>
        <v>0</v>
      </c>
      <c r="O74" s="179">
        <v>0</v>
      </c>
      <c r="P74" s="80">
        <f t="shared" si="36"/>
        <v>0</v>
      </c>
      <c r="Q74" s="179">
        <v>0</v>
      </c>
      <c r="R74" s="80">
        <f t="shared" si="37"/>
        <v>0</v>
      </c>
      <c r="S74" s="179">
        <v>0</v>
      </c>
      <c r="T74" s="80">
        <f t="shared" si="38"/>
        <v>0</v>
      </c>
      <c r="U74" s="179">
        <v>0</v>
      </c>
      <c r="V74" s="80">
        <f t="shared" si="39"/>
        <v>0</v>
      </c>
      <c r="X74" s="202"/>
    </row>
    <row r="75" spans="1:347" ht="12.75" customHeight="1">
      <c r="A75" s="2" t="s">
        <v>406</v>
      </c>
      <c r="B75" s="35"/>
      <c r="C75" s="179">
        <v>0</v>
      </c>
      <c r="D75" s="80">
        <f t="shared" si="30"/>
        <v>0</v>
      </c>
      <c r="E75" s="179">
        <v>0</v>
      </c>
      <c r="F75" s="80">
        <f t="shared" si="31"/>
        <v>0</v>
      </c>
      <c r="G75" s="179">
        <v>0</v>
      </c>
      <c r="H75" s="80">
        <f t="shared" si="32"/>
        <v>0</v>
      </c>
      <c r="I75" s="179">
        <v>0</v>
      </c>
      <c r="J75" s="80">
        <f t="shared" si="33"/>
        <v>0</v>
      </c>
      <c r="K75" s="179">
        <v>0</v>
      </c>
      <c r="L75" s="80">
        <f t="shared" si="34"/>
        <v>0</v>
      </c>
      <c r="M75" s="179">
        <v>0</v>
      </c>
      <c r="N75" s="80">
        <f t="shared" si="35"/>
        <v>0</v>
      </c>
      <c r="O75" s="179">
        <v>0</v>
      </c>
      <c r="P75" s="80">
        <f t="shared" si="36"/>
        <v>0</v>
      </c>
      <c r="Q75" s="179">
        <v>0</v>
      </c>
      <c r="R75" s="80">
        <f t="shared" si="37"/>
        <v>0</v>
      </c>
      <c r="S75" s="179">
        <v>0</v>
      </c>
      <c r="T75" s="80">
        <f t="shared" si="38"/>
        <v>0</v>
      </c>
      <c r="U75" s="179">
        <v>0</v>
      </c>
      <c r="V75" s="80">
        <f t="shared" si="39"/>
        <v>0</v>
      </c>
      <c r="X75" s="202"/>
    </row>
    <row r="76" spans="1:347" ht="12.75" customHeight="1">
      <c r="A76" s="2" t="s">
        <v>407</v>
      </c>
      <c r="B76" s="35"/>
      <c r="C76" s="179">
        <v>0</v>
      </c>
      <c r="D76" s="80">
        <f t="shared" si="30"/>
        <v>0</v>
      </c>
      <c r="E76" s="179">
        <v>0</v>
      </c>
      <c r="F76" s="80">
        <f t="shared" si="31"/>
        <v>0</v>
      </c>
      <c r="G76" s="179">
        <v>0</v>
      </c>
      <c r="H76" s="80">
        <f t="shared" si="32"/>
        <v>0</v>
      </c>
      <c r="I76" s="179">
        <v>0</v>
      </c>
      <c r="J76" s="80">
        <f t="shared" si="33"/>
        <v>0</v>
      </c>
      <c r="K76" s="179">
        <v>0</v>
      </c>
      <c r="L76" s="80">
        <f t="shared" si="34"/>
        <v>0</v>
      </c>
      <c r="M76" s="179">
        <v>0</v>
      </c>
      <c r="N76" s="80">
        <f t="shared" si="35"/>
        <v>0</v>
      </c>
      <c r="O76" s="179">
        <v>0</v>
      </c>
      <c r="P76" s="80">
        <f t="shared" si="36"/>
        <v>0</v>
      </c>
      <c r="Q76" s="179">
        <v>0</v>
      </c>
      <c r="R76" s="80">
        <f t="shared" si="37"/>
        <v>0</v>
      </c>
      <c r="S76" s="179">
        <v>0</v>
      </c>
      <c r="T76" s="80">
        <f t="shared" si="38"/>
        <v>0</v>
      </c>
      <c r="U76" s="179">
        <v>0</v>
      </c>
      <c r="V76" s="80">
        <f t="shared" si="39"/>
        <v>0</v>
      </c>
      <c r="X76" s="202"/>
    </row>
    <row r="77" spans="1:347" ht="12.75" customHeight="1">
      <c r="A77" s="2" t="s">
        <v>408</v>
      </c>
      <c r="B77" s="35"/>
      <c r="C77" s="179">
        <v>0</v>
      </c>
      <c r="D77" s="80">
        <f t="shared" si="30"/>
        <v>0</v>
      </c>
      <c r="E77" s="179">
        <v>0</v>
      </c>
      <c r="F77" s="80">
        <f t="shared" si="31"/>
        <v>0</v>
      </c>
      <c r="G77" s="179">
        <v>0</v>
      </c>
      <c r="H77" s="80">
        <f t="shared" si="32"/>
        <v>0</v>
      </c>
      <c r="I77" s="179">
        <v>0</v>
      </c>
      <c r="J77" s="80">
        <f t="shared" si="33"/>
        <v>0</v>
      </c>
      <c r="K77" s="179">
        <v>0</v>
      </c>
      <c r="L77" s="80">
        <f t="shared" si="34"/>
        <v>0</v>
      </c>
      <c r="M77" s="179">
        <v>0</v>
      </c>
      <c r="N77" s="80">
        <f t="shared" si="35"/>
        <v>0</v>
      </c>
      <c r="O77" s="179">
        <v>0</v>
      </c>
      <c r="P77" s="80">
        <f t="shared" si="36"/>
        <v>0</v>
      </c>
      <c r="Q77" s="179">
        <v>0</v>
      </c>
      <c r="R77" s="80">
        <f t="shared" si="37"/>
        <v>0</v>
      </c>
      <c r="S77" s="179">
        <v>0</v>
      </c>
      <c r="T77" s="80">
        <f t="shared" si="38"/>
        <v>0</v>
      </c>
      <c r="U77" s="179">
        <v>0</v>
      </c>
      <c r="V77" s="80">
        <f t="shared" si="39"/>
        <v>0</v>
      </c>
      <c r="X77" s="202"/>
    </row>
    <row r="78" spans="1:347" ht="12.75" customHeight="1">
      <c r="A78" s="2" t="s">
        <v>409</v>
      </c>
      <c r="B78" s="35"/>
      <c r="C78" s="179">
        <v>0</v>
      </c>
      <c r="D78" s="80">
        <f t="shared" si="30"/>
        <v>0</v>
      </c>
      <c r="E78" s="179">
        <v>0</v>
      </c>
      <c r="F78" s="80">
        <f t="shared" si="31"/>
        <v>0</v>
      </c>
      <c r="G78" s="179">
        <v>0</v>
      </c>
      <c r="H78" s="80">
        <f t="shared" si="32"/>
        <v>0</v>
      </c>
      <c r="I78" s="179">
        <v>0</v>
      </c>
      <c r="J78" s="80">
        <f t="shared" si="33"/>
        <v>0</v>
      </c>
      <c r="K78" s="179">
        <v>0</v>
      </c>
      <c r="L78" s="80">
        <f t="shared" si="34"/>
        <v>0</v>
      </c>
      <c r="M78" s="179">
        <v>0</v>
      </c>
      <c r="N78" s="80">
        <f t="shared" si="35"/>
        <v>0</v>
      </c>
      <c r="O78" s="179">
        <v>0</v>
      </c>
      <c r="P78" s="80">
        <f t="shared" si="36"/>
        <v>0</v>
      </c>
      <c r="Q78" s="179">
        <v>0</v>
      </c>
      <c r="R78" s="80">
        <f t="shared" si="37"/>
        <v>0</v>
      </c>
      <c r="S78" s="179">
        <v>0</v>
      </c>
      <c r="T78" s="80">
        <f t="shared" si="38"/>
        <v>0</v>
      </c>
      <c r="U78" s="179">
        <v>0</v>
      </c>
      <c r="V78" s="80">
        <f t="shared" si="39"/>
        <v>0</v>
      </c>
      <c r="X78" s="202"/>
    </row>
    <row r="79" spans="1:347" s="219" customFormat="1" ht="12.75" customHeight="1">
      <c r="A79" s="2" t="s">
        <v>410</v>
      </c>
      <c r="B79" s="35"/>
      <c r="C79" s="179">
        <v>1200</v>
      </c>
      <c r="D79" s="80">
        <f t="shared" si="30"/>
        <v>0</v>
      </c>
      <c r="E79" s="179">
        <v>1230</v>
      </c>
      <c r="F79" s="80">
        <f t="shared" si="31"/>
        <v>0</v>
      </c>
      <c r="G79" s="179">
        <v>1260.75</v>
      </c>
      <c r="H79" s="80">
        <f t="shared" si="32"/>
        <v>0</v>
      </c>
      <c r="I79" s="179">
        <v>1292.26875</v>
      </c>
      <c r="J79" s="80">
        <f t="shared" si="33"/>
        <v>0</v>
      </c>
      <c r="K79" s="179">
        <v>1324.5754687499998</v>
      </c>
      <c r="L79" s="80">
        <f t="shared" si="34"/>
        <v>0</v>
      </c>
      <c r="M79" s="179">
        <v>1357.6898554687498</v>
      </c>
      <c r="N79" s="80">
        <f t="shared" si="35"/>
        <v>0</v>
      </c>
      <c r="O79" s="179">
        <v>1391.6321018554684</v>
      </c>
      <c r="P79" s="80">
        <f t="shared" si="36"/>
        <v>0</v>
      </c>
      <c r="Q79" s="179">
        <v>1426.422904401855</v>
      </c>
      <c r="R79" s="80">
        <f t="shared" si="37"/>
        <v>0</v>
      </c>
      <c r="S79" s="179">
        <v>1462.0834770119013</v>
      </c>
      <c r="T79" s="80">
        <f t="shared" si="38"/>
        <v>0</v>
      </c>
      <c r="U79" s="179">
        <v>1498.6355639371986</v>
      </c>
      <c r="V79" s="80">
        <f t="shared" si="39"/>
        <v>0</v>
      </c>
      <c r="W79" s="2"/>
      <c r="X79" s="20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</row>
    <row r="80" spans="1:347" s="219" customFormat="1" ht="12.75" customHeight="1">
      <c r="A80" s="2" t="s">
        <v>411</v>
      </c>
      <c r="B80" s="35"/>
      <c r="C80" s="179">
        <v>10000</v>
      </c>
      <c r="D80" s="80">
        <f t="shared" si="30"/>
        <v>0</v>
      </c>
      <c r="E80" s="179">
        <v>10000</v>
      </c>
      <c r="F80" s="80">
        <f t="shared" si="31"/>
        <v>0</v>
      </c>
      <c r="G80" s="179">
        <v>10000</v>
      </c>
      <c r="H80" s="80">
        <f t="shared" si="32"/>
        <v>0</v>
      </c>
      <c r="I80" s="179">
        <v>10000</v>
      </c>
      <c r="J80" s="80">
        <f t="shared" si="33"/>
        <v>0</v>
      </c>
      <c r="K80" s="179">
        <v>10000</v>
      </c>
      <c r="L80" s="80">
        <f t="shared" si="34"/>
        <v>0</v>
      </c>
      <c r="M80" s="179">
        <v>10000</v>
      </c>
      <c r="N80" s="80">
        <f t="shared" si="35"/>
        <v>0</v>
      </c>
      <c r="O80" s="179">
        <v>10000</v>
      </c>
      <c r="P80" s="80">
        <f t="shared" si="36"/>
        <v>0</v>
      </c>
      <c r="Q80" s="179">
        <v>10000</v>
      </c>
      <c r="R80" s="80">
        <f t="shared" si="37"/>
        <v>0</v>
      </c>
      <c r="S80" s="179">
        <v>10000</v>
      </c>
      <c r="T80" s="80">
        <f t="shared" si="38"/>
        <v>0</v>
      </c>
      <c r="U80" s="179">
        <v>10000</v>
      </c>
      <c r="V80" s="80">
        <f t="shared" si="39"/>
        <v>0</v>
      </c>
      <c r="W80" s="2"/>
      <c r="X80" s="20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</row>
    <row r="81" spans="1:347" s="219" customFormat="1" ht="12.75" customHeight="1">
      <c r="A81" s="2" t="s">
        <v>412</v>
      </c>
      <c r="B81" s="35"/>
      <c r="C81" s="179">
        <v>33500</v>
      </c>
      <c r="D81" s="80">
        <f t="shared" si="30"/>
        <v>0</v>
      </c>
      <c r="E81" s="179">
        <v>36850</v>
      </c>
      <c r="F81" s="80">
        <f t="shared" si="31"/>
        <v>0</v>
      </c>
      <c r="G81" s="179">
        <v>38692.5</v>
      </c>
      <c r="H81" s="80">
        <f t="shared" si="32"/>
        <v>0</v>
      </c>
      <c r="I81" s="179">
        <v>39659.8125</v>
      </c>
      <c r="J81" s="80">
        <f t="shared" si="33"/>
        <v>0</v>
      </c>
      <c r="K81" s="179">
        <v>40651.307812499996</v>
      </c>
      <c r="L81" s="80">
        <f t="shared" si="34"/>
        <v>0</v>
      </c>
      <c r="M81" s="179">
        <v>41667.590507812492</v>
      </c>
      <c r="N81" s="80">
        <f t="shared" si="35"/>
        <v>0</v>
      </c>
      <c r="O81" s="179">
        <v>42709.280270507799</v>
      </c>
      <c r="P81" s="80">
        <f t="shared" si="36"/>
        <v>0</v>
      </c>
      <c r="Q81" s="179">
        <v>43777.012277270493</v>
      </c>
      <c r="R81" s="80">
        <f t="shared" si="37"/>
        <v>0</v>
      </c>
      <c r="S81" s="179">
        <v>44871.437584202249</v>
      </c>
      <c r="T81" s="80">
        <f t="shared" si="38"/>
        <v>0</v>
      </c>
      <c r="U81" s="179">
        <v>45993.223523807304</v>
      </c>
      <c r="V81" s="80">
        <f t="shared" si="39"/>
        <v>0</v>
      </c>
      <c r="W81" s="2"/>
      <c r="X81" s="20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</row>
    <row r="82" spans="1:347" s="219" customFormat="1" ht="12.75" customHeight="1">
      <c r="A82" s="2" t="s">
        <v>413</v>
      </c>
      <c r="B82" s="35"/>
      <c r="C82" s="179">
        <v>0</v>
      </c>
      <c r="D82" s="80">
        <f t="shared" si="30"/>
        <v>0</v>
      </c>
      <c r="E82" s="179">
        <v>0</v>
      </c>
      <c r="F82" s="80">
        <f t="shared" si="31"/>
        <v>0</v>
      </c>
      <c r="G82" s="179">
        <v>0</v>
      </c>
      <c r="H82" s="80">
        <f t="shared" si="32"/>
        <v>0</v>
      </c>
      <c r="I82" s="179">
        <v>0</v>
      </c>
      <c r="J82" s="80">
        <f t="shared" si="33"/>
        <v>0</v>
      </c>
      <c r="K82" s="179">
        <v>0</v>
      </c>
      <c r="L82" s="80">
        <f t="shared" si="34"/>
        <v>0</v>
      </c>
      <c r="M82" s="179">
        <v>0</v>
      </c>
      <c r="N82" s="80">
        <f t="shared" si="35"/>
        <v>0</v>
      </c>
      <c r="O82" s="179">
        <v>0</v>
      </c>
      <c r="P82" s="80">
        <f t="shared" si="36"/>
        <v>0</v>
      </c>
      <c r="Q82" s="179">
        <v>0</v>
      </c>
      <c r="R82" s="80">
        <f t="shared" si="37"/>
        <v>0</v>
      </c>
      <c r="S82" s="179">
        <v>0</v>
      </c>
      <c r="T82" s="80">
        <f t="shared" si="38"/>
        <v>0</v>
      </c>
      <c r="U82" s="179">
        <v>0</v>
      </c>
      <c r="V82" s="80">
        <f t="shared" si="39"/>
        <v>0</v>
      </c>
      <c r="W82" s="2"/>
      <c r="X82" s="20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</row>
    <row r="83" spans="1:347" s="219" customFormat="1" ht="12.75" customHeight="1">
      <c r="A83" s="2" t="s">
        <v>414</v>
      </c>
      <c r="B83" s="35"/>
      <c r="C83" s="179">
        <v>2500</v>
      </c>
      <c r="D83" s="80">
        <f t="shared" si="30"/>
        <v>0</v>
      </c>
      <c r="E83" s="179">
        <v>2500</v>
      </c>
      <c r="F83" s="80">
        <f t="shared" si="31"/>
        <v>0</v>
      </c>
      <c r="G83" s="179">
        <v>2500</v>
      </c>
      <c r="H83" s="80">
        <f t="shared" si="32"/>
        <v>0</v>
      </c>
      <c r="I83" s="179">
        <v>2500</v>
      </c>
      <c r="J83" s="80">
        <f t="shared" si="33"/>
        <v>0</v>
      </c>
      <c r="K83" s="179">
        <v>2500</v>
      </c>
      <c r="L83" s="80">
        <f t="shared" si="34"/>
        <v>0</v>
      </c>
      <c r="M83" s="179">
        <v>2500</v>
      </c>
      <c r="N83" s="80">
        <f t="shared" si="35"/>
        <v>0</v>
      </c>
      <c r="O83" s="179">
        <v>2500</v>
      </c>
      <c r="P83" s="80">
        <f t="shared" si="36"/>
        <v>0</v>
      </c>
      <c r="Q83" s="179">
        <v>2500</v>
      </c>
      <c r="R83" s="80">
        <f t="shared" si="37"/>
        <v>0</v>
      </c>
      <c r="S83" s="179">
        <v>2500</v>
      </c>
      <c r="T83" s="80">
        <f t="shared" si="38"/>
        <v>0</v>
      </c>
      <c r="U83" s="179">
        <v>2500</v>
      </c>
      <c r="V83" s="80">
        <f t="shared" si="39"/>
        <v>0</v>
      </c>
      <c r="W83" s="2"/>
      <c r="X83" s="20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</row>
    <row r="84" spans="1:347" s="219" customFormat="1" ht="12.75" customHeight="1">
      <c r="A84" s="2" t="s">
        <v>415</v>
      </c>
      <c r="B84" s="35"/>
      <c r="C84" s="179">
        <v>10000</v>
      </c>
      <c r="D84" s="80">
        <f t="shared" ref="D84:T105" si="40">IFERROR(C84/C$28,0)</f>
        <v>0</v>
      </c>
      <c r="E84" s="179">
        <v>10000</v>
      </c>
      <c r="F84" s="80">
        <f t="shared" si="31"/>
        <v>0</v>
      </c>
      <c r="G84" s="179">
        <v>10000</v>
      </c>
      <c r="H84" s="80">
        <f t="shared" si="32"/>
        <v>0</v>
      </c>
      <c r="I84" s="179">
        <v>10000</v>
      </c>
      <c r="J84" s="80">
        <f t="shared" si="33"/>
        <v>0</v>
      </c>
      <c r="K84" s="179">
        <v>10000</v>
      </c>
      <c r="L84" s="80">
        <f t="shared" si="34"/>
        <v>0</v>
      </c>
      <c r="M84" s="179">
        <v>10000</v>
      </c>
      <c r="N84" s="80">
        <f t="shared" si="35"/>
        <v>0</v>
      </c>
      <c r="O84" s="179">
        <v>10000</v>
      </c>
      <c r="P84" s="80">
        <f t="shared" si="36"/>
        <v>0</v>
      </c>
      <c r="Q84" s="179">
        <v>10000</v>
      </c>
      <c r="R84" s="80">
        <f t="shared" si="37"/>
        <v>0</v>
      </c>
      <c r="S84" s="179">
        <v>10000</v>
      </c>
      <c r="T84" s="80">
        <f t="shared" si="38"/>
        <v>0</v>
      </c>
      <c r="U84" s="179">
        <v>10000</v>
      </c>
      <c r="V84" s="80">
        <f t="shared" si="39"/>
        <v>0</v>
      </c>
      <c r="W84" s="2"/>
      <c r="X84" s="20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</row>
    <row r="85" spans="1:347" s="219" customFormat="1" ht="12.75" customHeight="1">
      <c r="A85" s="2" t="s">
        <v>416</v>
      </c>
      <c r="B85" s="35"/>
      <c r="C85" s="179">
        <v>5500</v>
      </c>
      <c r="D85" s="80">
        <f t="shared" si="40"/>
        <v>0</v>
      </c>
      <c r="E85" s="179">
        <v>5582.4999999999991</v>
      </c>
      <c r="F85" s="80">
        <f t="shared" si="40"/>
        <v>0</v>
      </c>
      <c r="G85" s="179">
        <v>5666.2374999999984</v>
      </c>
      <c r="H85" s="80">
        <f t="shared" si="40"/>
        <v>0</v>
      </c>
      <c r="I85" s="179">
        <v>5751.2310624999982</v>
      </c>
      <c r="J85" s="80">
        <f t="shared" si="40"/>
        <v>0</v>
      </c>
      <c r="K85" s="179">
        <v>5837.4995284374972</v>
      </c>
      <c r="L85" s="80">
        <f t="shared" si="40"/>
        <v>0</v>
      </c>
      <c r="M85" s="179">
        <v>5925.0620213640595</v>
      </c>
      <c r="N85" s="80">
        <f t="shared" si="40"/>
        <v>0</v>
      </c>
      <c r="O85" s="179">
        <v>6013.9379516845202</v>
      </c>
      <c r="P85" s="80">
        <f t="shared" si="40"/>
        <v>0</v>
      </c>
      <c r="Q85" s="179">
        <v>6104.1470209597874</v>
      </c>
      <c r="R85" s="80">
        <f t="shared" si="40"/>
        <v>0</v>
      </c>
      <c r="S85" s="179">
        <v>6195.7092262741835</v>
      </c>
      <c r="T85" s="80">
        <f t="shared" si="40"/>
        <v>0</v>
      </c>
      <c r="U85" s="179">
        <v>6288.6448646682957</v>
      </c>
      <c r="V85" s="80">
        <f t="shared" si="39"/>
        <v>0</v>
      </c>
      <c r="W85" s="2"/>
      <c r="X85" s="20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</row>
    <row r="86" spans="1:347" ht="12.75" customHeight="1">
      <c r="A86" s="2" t="s">
        <v>417</v>
      </c>
      <c r="B86" s="35"/>
      <c r="C86" s="179">
        <v>0</v>
      </c>
      <c r="D86" s="80">
        <f t="shared" si="40"/>
        <v>0</v>
      </c>
      <c r="E86" s="179">
        <v>0</v>
      </c>
      <c r="F86" s="80">
        <f t="shared" si="31"/>
        <v>0</v>
      </c>
      <c r="G86" s="179">
        <v>0</v>
      </c>
      <c r="H86" s="80">
        <f t="shared" si="32"/>
        <v>0</v>
      </c>
      <c r="I86" s="179">
        <v>0</v>
      </c>
      <c r="J86" s="80">
        <f t="shared" si="33"/>
        <v>0</v>
      </c>
      <c r="K86" s="179">
        <v>0</v>
      </c>
      <c r="L86" s="80">
        <f t="shared" si="34"/>
        <v>0</v>
      </c>
      <c r="M86" s="179">
        <v>0</v>
      </c>
      <c r="N86" s="80">
        <f t="shared" si="35"/>
        <v>0</v>
      </c>
      <c r="O86" s="179">
        <v>0</v>
      </c>
      <c r="P86" s="80">
        <f t="shared" si="36"/>
        <v>0</v>
      </c>
      <c r="Q86" s="179">
        <v>0</v>
      </c>
      <c r="R86" s="80">
        <f t="shared" si="37"/>
        <v>0</v>
      </c>
      <c r="S86" s="179">
        <v>0</v>
      </c>
      <c r="T86" s="80">
        <f t="shared" si="38"/>
        <v>0</v>
      </c>
      <c r="U86" s="179">
        <v>0</v>
      </c>
      <c r="V86" s="80">
        <f t="shared" si="39"/>
        <v>0</v>
      </c>
      <c r="X86" s="202"/>
    </row>
    <row r="87" spans="1:347" s="219" customFormat="1" ht="12.75" customHeight="1">
      <c r="A87" s="2" t="s">
        <v>418</v>
      </c>
      <c r="B87" s="35"/>
      <c r="C87" s="179">
        <v>77899</v>
      </c>
      <c r="D87" s="80">
        <f t="shared" si="40"/>
        <v>0</v>
      </c>
      <c r="E87" s="179">
        <v>85688.900000000009</v>
      </c>
      <c r="F87" s="80">
        <f t="shared" si="31"/>
        <v>0</v>
      </c>
      <c r="G87" s="179">
        <v>94257.790000000023</v>
      </c>
      <c r="H87" s="80">
        <f t="shared" si="32"/>
        <v>0</v>
      </c>
      <c r="I87" s="179">
        <v>96614.234750000018</v>
      </c>
      <c r="J87" s="80">
        <f t="shared" si="33"/>
        <v>0</v>
      </c>
      <c r="K87" s="179">
        <v>99029.590618750008</v>
      </c>
      <c r="L87" s="80">
        <f t="shared" si="34"/>
        <v>0</v>
      </c>
      <c r="M87" s="179">
        <v>101505.33038421875</v>
      </c>
      <c r="N87" s="80">
        <f t="shared" si="35"/>
        <v>0</v>
      </c>
      <c r="O87" s="179">
        <v>104042.9636438242</v>
      </c>
      <c r="P87" s="80">
        <f t="shared" si="36"/>
        <v>0</v>
      </c>
      <c r="Q87" s="179">
        <v>106644.0377349198</v>
      </c>
      <c r="R87" s="80">
        <f t="shared" si="37"/>
        <v>0</v>
      </c>
      <c r="S87" s="179">
        <v>109310.13867829279</v>
      </c>
      <c r="T87" s="80">
        <f t="shared" si="38"/>
        <v>0</v>
      </c>
      <c r="U87" s="179">
        <v>112042.89214525009</v>
      </c>
      <c r="V87" s="80">
        <f t="shared" si="39"/>
        <v>0</v>
      </c>
      <c r="W87" s="2"/>
      <c r="X87" s="20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</row>
    <row r="88" spans="1:347" ht="12.75" customHeight="1">
      <c r="A88" s="2" t="s">
        <v>419</v>
      </c>
      <c r="B88" s="35"/>
      <c r="C88" s="179">
        <v>0</v>
      </c>
      <c r="D88" s="80">
        <f t="shared" si="40"/>
        <v>0</v>
      </c>
      <c r="E88" s="179">
        <v>0</v>
      </c>
      <c r="F88" s="80">
        <f t="shared" si="31"/>
        <v>0</v>
      </c>
      <c r="G88" s="179">
        <v>0</v>
      </c>
      <c r="H88" s="80">
        <f t="shared" si="32"/>
        <v>0</v>
      </c>
      <c r="I88" s="179">
        <v>0</v>
      </c>
      <c r="J88" s="80">
        <f t="shared" si="33"/>
        <v>0</v>
      </c>
      <c r="K88" s="179">
        <v>0</v>
      </c>
      <c r="L88" s="80">
        <f t="shared" si="34"/>
        <v>0</v>
      </c>
      <c r="M88" s="179">
        <v>0</v>
      </c>
      <c r="N88" s="80">
        <f t="shared" si="35"/>
        <v>0</v>
      </c>
      <c r="O88" s="179">
        <v>0</v>
      </c>
      <c r="P88" s="80">
        <f t="shared" si="36"/>
        <v>0</v>
      </c>
      <c r="Q88" s="179">
        <v>0</v>
      </c>
      <c r="R88" s="80">
        <f t="shared" si="37"/>
        <v>0</v>
      </c>
      <c r="S88" s="179">
        <v>0</v>
      </c>
      <c r="T88" s="80">
        <f t="shared" si="38"/>
        <v>0</v>
      </c>
      <c r="U88" s="179">
        <v>0</v>
      </c>
      <c r="V88" s="80">
        <f t="shared" si="39"/>
        <v>0</v>
      </c>
      <c r="X88" s="202"/>
    </row>
    <row r="89" spans="1:347" s="219" customFormat="1" ht="12.75" customHeight="1">
      <c r="A89" s="2" t="s">
        <v>420</v>
      </c>
      <c r="B89" s="35"/>
      <c r="C89" s="179">
        <v>33024</v>
      </c>
      <c r="D89" s="80">
        <f t="shared" si="40"/>
        <v>0</v>
      </c>
      <c r="E89" s="179">
        <v>34675.200000000004</v>
      </c>
      <c r="F89" s="80">
        <f t="shared" si="31"/>
        <v>0</v>
      </c>
      <c r="G89" s="179">
        <v>35542.080000000002</v>
      </c>
      <c r="H89" s="80">
        <f t="shared" si="32"/>
        <v>0</v>
      </c>
      <c r="I89" s="179">
        <v>36430.631999999998</v>
      </c>
      <c r="J89" s="80">
        <f t="shared" si="33"/>
        <v>0</v>
      </c>
      <c r="K89" s="179">
        <v>37341.397799999992</v>
      </c>
      <c r="L89" s="80">
        <f t="shared" si="34"/>
        <v>0</v>
      </c>
      <c r="M89" s="179">
        <v>38274.932744999991</v>
      </c>
      <c r="N89" s="80">
        <f t="shared" si="35"/>
        <v>0</v>
      </c>
      <c r="O89" s="179">
        <v>39231.806063624987</v>
      </c>
      <c r="P89" s="80">
        <f t="shared" si="36"/>
        <v>0</v>
      </c>
      <c r="Q89" s="179">
        <v>40212.601215215611</v>
      </c>
      <c r="R89" s="80">
        <f t="shared" si="37"/>
        <v>0</v>
      </c>
      <c r="S89" s="179">
        <v>41217.916245595996</v>
      </c>
      <c r="T89" s="80">
        <f t="shared" si="38"/>
        <v>0</v>
      </c>
      <c r="U89" s="179">
        <v>42248.364151735892</v>
      </c>
      <c r="V89" s="80">
        <f t="shared" si="39"/>
        <v>0</v>
      </c>
      <c r="W89" s="2"/>
      <c r="X89" s="20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</row>
    <row r="90" spans="1:347" ht="12.75" customHeight="1">
      <c r="A90" s="2" t="s">
        <v>421</v>
      </c>
      <c r="B90" s="35"/>
      <c r="C90" s="179">
        <v>0</v>
      </c>
      <c r="D90" s="80">
        <f t="shared" si="40"/>
        <v>0</v>
      </c>
      <c r="E90" s="179">
        <v>0</v>
      </c>
      <c r="F90" s="80">
        <f t="shared" si="31"/>
        <v>0</v>
      </c>
      <c r="G90" s="179">
        <v>0</v>
      </c>
      <c r="H90" s="80">
        <f t="shared" si="32"/>
        <v>0</v>
      </c>
      <c r="I90" s="179">
        <v>0</v>
      </c>
      <c r="J90" s="80">
        <f t="shared" si="33"/>
        <v>0</v>
      </c>
      <c r="K90" s="179">
        <v>0</v>
      </c>
      <c r="L90" s="80">
        <f t="shared" si="34"/>
        <v>0</v>
      </c>
      <c r="M90" s="179">
        <v>0</v>
      </c>
      <c r="N90" s="80">
        <f t="shared" si="35"/>
        <v>0</v>
      </c>
      <c r="O90" s="179">
        <v>0</v>
      </c>
      <c r="P90" s="80">
        <f t="shared" si="36"/>
        <v>0</v>
      </c>
      <c r="Q90" s="179">
        <v>0</v>
      </c>
      <c r="R90" s="80">
        <f t="shared" si="37"/>
        <v>0</v>
      </c>
      <c r="S90" s="179">
        <v>0</v>
      </c>
      <c r="T90" s="80">
        <f t="shared" si="38"/>
        <v>0</v>
      </c>
      <c r="U90" s="179">
        <v>0</v>
      </c>
      <c r="V90" s="80">
        <f t="shared" si="39"/>
        <v>0</v>
      </c>
      <c r="X90" s="202"/>
    </row>
    <row r="91" spans="1:347" s="219" customFormat="1" ht="12.75" customHeight="1">
      <c r="A91" s="2" t="s">
        <v>422</v>
      </c>
      <c r="B91" s="2"/>
      <c r="C91" s="179">
        <v>34000</v>
      </c>
      <c r="D91" s="80">
        <f t="shared" si="40"/>
        <v>0</v>
      </c>
      <c r="E91" s="179">
        <v>37400</v>
      </c>
      <c r="F91" s="80">
        <f t="shared" si="31"/>
        <v>0</v>
      </c>
      <c r="G91" s="179">
        <v>39270</v>
      </c>
      <c r="H91" s="80">
        <f t="shared" si="32"/>
        <v>0</v>
      </c>
      <c r="I91" s="179">
        <v>40251.75</v>
      </c>
      <c r="J91" s="80">
        <f t="shared" si="33"/>
        <v>0</v>
      </c>
      <c r="K91" s="179">
        <v>41258.043749999997</v>
      </c>
      <c r="L91" s="80">
        <f t="shared" si="34"/>
        <v>0</v>
      </c>
      <c r="M91" s="179">
        <v>42289.494843749992</v>
      </c>
      <c r="N91" s="80">
        <f t="shared" si="35"/>
        <v>0</v>
      </c>
      <c r="O91" s="179">
        <v>43346.732214843738</v>
      </c>
      <c r="P91" s="80">
        <f t="shared" si="36"/>
        <v>0</v>
      </c>
      <c r="Q91" s="179">
        <v>44430.400520214826</v>
      </c>
      <c r="R91" s="80">
        <f t="shared" si="37"/>
        <v>0</v>
      </c>
      <c r="S91" s="179">
        <v>45541.160533220194</v>
      </c>
      <c r="T91" s="80">
        <f t="shared" si="38"/>
        <v>0</v>
      </c>
      <c r="U91" s="179">
        <v>46679.689546550697</v>
      </c>
      <c r="V91" s="80">
        <f t="shared" si="39"/>
        <v>0</v>
      </c>
      <c r="W91" s="2"/>
      <c r="X91" s="20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</row>
    <row r="92" spans="1:347" ht="12.75" customHeight="1">
      <c r="A92" s="2" t="s">
        <v>423</v>
      </c>
      <c r="B92" s="35"/>
      <c r="C92" s="179">
        <v>0</v>
      </c>
      <c r="D92" s="80">
        <f t="shared" si="40"/>
        <v>0</v>
      </c>
      <c r="E92" s="179">
        <v>0</v>
      </c>
      <c r="F92" s="80">
        <f t="shared" si="31"/>
        <v>0</v>
      </c>
      <c r="G92" s="179">
        <v>0</v>
      </c>
      <c r="H92" s="80">
        <f t="shared" si="32"/>
        <v>0</v>
      </c>
      <c r="I92" s="179">
        <v>0</v>
      </c>
      <c r="J92" s="80">
        <f t="shared" si="33"/>
        <v>0</v>
      </c>
      <c r="K92" s="179">
        <v>0</v>
      </c>
      <c r="L92" s="80">
        <f t="shared" si="34"/>
        <v>0</v>
      </c>
      <c r="M92" s="179">
        <v>0</v>
      </c>
      <c r="N92" s="80">
        <f t="shared" si="35"/>
        <v>0</v>
      </c>
      <c r="O92" s="179">
        <v>0</v>
      </c>
      <c r="P92" s="80">
        <f t="shared" si="36"/>
        <v>0</v>
      </c>
      <c r="Q92" s="179">
        <v>0</v>
      </c>
      <c r="R92" s="80">
        <f t="shared" si="37"/>
        <v>0</v>
      </c>
      <c r="S92" s="179">
        <v>0</v>
      </c>
      <c r="T92" s="80">
        <f t="shared" si="38"/>
        <v>0</v>
      </c>
      <c r="U92" s="179">
        <v>0</v>
      </c>
      <c r="V92" s="80">
        <f t="shared" si="39"/>
        <v>0</v>
      </c>
      <c r="X92" s="202"/>
    </row>
    <row r="93" spans="1:347" s="219" customFormat="1" ht="12.75" customHeight="1">
      <c r="A93" s="2" t="s">
        <v>424</v>
      </c>
      <c r="B93" s="35"/>
      <c r="C93" s="179">
        <v>24534</v>
      </c>
      <c r="D93" s="80">
        <f t="shared" si="40"/>
        <v>0</v>
      </c>
      <c r="E93" s="179">
        <v>25024.68</v>
      </c>
      <c r="F93" s="80">
        <f t="shared" si="31"/>
        <v>0</v>
      </c>
      <c r="G93" s="179">
        <v>25525.173600000002</v>
      </c>
      <c r="H93" s="80">
        <f t="shared" si="32"/>
        <v>0</v>
      </c>
      <c r="I93" s="179">
        <v>26035.677072000002</v>
      </c>
      <c r="J93" s="80">
        <f t="shared" si="33"/>
        <v>0</v>
      </c>
      <c r="K93" s="179">
        <v>26556.390613440002</v>
      </c>
      <c r="L93" s="80">
        <f t="shared" si="34"/>
        <v>0</v>
      </c>
      <c r="M93" s="179">
        <v>27087.518425708804</v>
      </c>
      <c r="N93" s="80">
        <f t="shared" si="35"/>
        <v>0</v>
      </c>
      <c r="O93" s="179">
        <v>27629.268794222982</v>
      </c>
      <c r="P93" s="80">
        <f t="shared" si="36"/>
        <v>0</v>
      </c>
      <c r="Q93" s="179">
        <v>28181.854170107443</v>
      </c>
      <c r="R93" s="80">
        <f t="shared" si="37"/>
        <v>0</v>
      </c>
      <c r="S93" s="179">
        <v>28745.491253509594</v>
      </c>
      <c r="T93" s="80">
        <f t="shared" si="38"/>
        <v>0</v>
      </c>
      <c r="U93" s="179">
        <v>29320.401078579787</v>
      </c>
      <c r="V93" s="80">
        <f t="shared" si="39"/>
        <v>0</v>
      </c>
      <c r="W93" s="2"/>
      <c r="X93" s="20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</row>
    <row r="94" spans="1:347" s="219" customFormat="1" ht="12.75" customHeight="1">
      <c r="A94" s="2" t="s">
        <v>425</v>
      </c>
      <c r="B94" s="35"/>
      <c r="C94" s="179">
        <v>12000</v>
      </c>
      <c r="D94" s="80">
        <f t="shared" si="40"/>
        <v>0</v>
      </c>
      <c r="E94" s="179">
        <v>12240</v>
      </c>
      <c r="F94" s="80">
        <f t="shared" si="31"/>
        <v>0</v>
      </c>
      <c r="G94" s="179">
        <v>12484.800000000001</v>
      </c>
      <c r="H94" s="80">
        <f t="shared" si="32"/>
        <v>0</v>
      </c>
      <c r="I94" s="179">
        <v>12734.496000000001</v>
      </c>
      <c r="J94" s="80">
        <f t="shared" si="33"/>
        <v>0</v>
      </c>
      <c r="K94" s="179">
        <v>12989.185920000002</v>
      </c>
      <c r="L94" s="80">
        <f t="shared" si="34"/>
        <v>0</v>
      </c>
      <c r="M94" s="179">
        <v>13248.969638400002</v>
      </c>
      <c r="N94" s="80">
        <f t="shared" si="35"/>
        <v>0</v>
      </c>
      <c r="O94" s="179">
        <v>13513.949031168002</v>
      </c>
      <c r="P94" s="80">
        <f t="shared" si="36"/>
        <v>0</v>
      </c>
      <c r="Q94" s="179">
        <v>13784.228011791361</v>
      </c>
      <c r="R94" s="80">
        <f t="shared" si="37"/>
        <v>0</v>
      </c>
      <c r="S94" s="179">
        <v>14059.91257202719</v>
      </c>
      <c r="T94" s="80">
        <f t="shared" si="38"/>
        <v>0</v>
      </c>
      <c r="U94" s="179">
        <v>14341.110823467734</v>
      </c>
      <c r="V94" s="80">
        <f t="shared" si="39"/>
        <v>0</v>
      </c>
      <c r="W94" s="2"/>
      <c r="X94" s="20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</row>
    <row r="95" spans="1:347" s="219" customFormat="1" ht="12.75" customHeight="1">
      <c r="A95" s="2" t="s">
        <v>426</v>
      </c>
      <c r="B95" s="35"/>
      <c r="C95" s="179">
        <v>447535.40759999992</v>
      </c>
      <c r="D95" s="80">
        <f t="shared" si="40"/>
        <v>0</v>
      </c>
      <c r="E95" s="179">
        <v>475925.54799999995</v>
      </c>
      <c r="F95" s="80">
        <f t="shared" si="31"/>
        <v>0</v>
      </c>
      <c r="G95" s="179">
        <v>518966.03376000002</v>
      </c>
      <c r="H95" s="80">
        <f t="shared" si="32"/>
        <v>0</v>
      </c>
      <c r="I95" s="179">
        <v>534470.2464352001</v>
      </c>
      <c r="J95" s="80">
        <f t="shared" si="33"/>
        <v>0</v>
      </c>
      <c r="K95" s="179">
        <v>549611.81260390405</v>
      </c>
      <c r="L95" s="80">
        <f t="shared" si="34"/>
        <v>0</v>
      </c>
      <c r="M95" s="179">
        <v>559862.679708382</v>
      </c>
      <c r="N95" s="80">
        <f t="shared" si="35"/>
        <v>0</v>
      </c>
      <c r="O95" s="179">
        <v>570285.75846347376</v>
      </c>
      <c r="P95" s="80">
        <f t="shared" si="36"/>
        <v>0</v>
      </c>
      <c r="Q95" s="179">
        <v>580904.01704527647</v>
      </c>
      <c r="R95" s="80">
        <f t="shared" si="37"/>
        <v>0</v>
      </c>
      <c r="S95" s="179">
        <v>591740.48223284062</v>
      </c>
      <c r="T95" s="80">
        <f t="shared" si="38"/>
        <v>0</v>
      </c>
      <c r="U95" s="179">
        <v>618071.69047658634</v>
      </c>
      <c r="V95" s="80">
        <f t="shared" si="39"/>
        <v>0</v>
      </c>
      <c r="W95" s="2"/>
      <c r="X95" s="20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</row>
    <row r="96" spans="1:347" s="219" customFormat="1" ht="12.75" customHeight="1">
      <c r="A96" s="2" t="s">
        <v>427</v>
      </c>
      <c r="B96" s="35"/>
      <c r="C96" s="179">
        <v>15273</v>
      </c>
      <c r="D96" s="80">
        <f t="shared" si="40"/>
        <v>0</v>
      </c>
      <c r="E96" s="179">
        <v>15731.19</v>
      </c>
      <c r="F96" s="80">
        <f t="shared" si="31"/>
        <v>0</v>
      </c>
      <c r="G96" s="179">
        <v>16203.125700000001</v>
      </c>
      <c r="H96" s="80">
        <f t="shared" si="32"/>
        <v>0</v>
      </c>
      <c r="I96" s="179">
        <v>16689.219471</v>
      </c>
      <c r="J96" s="80">
        <f t="shared" si="33"/>
        <v>0</v>
      </c>
      <c r="K96" s="179">
        <v>17189.896055130001</v>
      </c>
      <c r="L96" s="80">
        <f t="shared" si="34"/>
        <v>0</v>
      </c>
      <c r="M96" s="179">
        <v>17705.592936783902</v>
      </c>
      <c r="N96" s="80">
        <f t="shared" si="35"/>
        <v>0</v>
      </c>
      <c r="O96" s="179">
        <v>18236.760724887419</v>
      </c>
      <c r="P96" s="80">
        <f t="shared" si="36"/>
        <v>0</v>
      </c>
      <c r="Q96" s="179">
        <v>18783.863546634042</v>
      </c>
      <c r="R96" s="80">
        <f t="shared" si="37"/>
        <v>0</v>
      </c>
      <c r="S96" s="179">
        <v>19347.379453033063</v>
      </c>
      <c r="T96" s="80">
        <f t="shared" si="38"/>
        <v>0</v>
      </c>
      <c r="U96" s="179">
        <v>19927.800836624057</v>
      </c>
      <c r="V96" s="80">
        <f t="shared" si="39"/>
        <v>0</v>
      </c>
      <c r="W96" s="2"/>
      <c r="X96" s="20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</row>
    <row r="97" spans="1:24" ht="12.75" customHeight="1">
      <c r="A97" s="2" t="s">
        <v>428</v>
      </c>
      <c r="B97" s="35"/>
      <c r="C97" s="179">
        <v>28056.474699999999</v>
      </c>
      <c r="D97" s="80">
        <f t="shared" si="40"/>
        <v>0</v>
      </c>
      <c r="E97" s="179">
        <v>31637.386567499998</v>
      </c>
      <c r="F97" s="80">
        <f t="shared" si="31"/>
        <v>0</v>
      </c>
      <c r="G97" s="179">
        <v>32428.321231687496</v>
      </c>
      <c r="H97" s="80">
        <f t="shared" si="32"/>
        <v>0</v>
      </c>
      <c r="I97" s="179">
        <v>33239.029262479678</v>
      </c>
      <c r="J97" s="80">
        <f t="shared" si="33"/>
        <v>0</v>
      </c>
      <c r="K97" s="179">
        <v>34070.004994041665</v>
      </c>
      <c r="L97" s="80">
        <f t="shared" si="34"/>
        <v>0</v>
      </c>
      <c r="M97" s="179">
        <v>34921.755118892703</v>
      </c>
      <c r="N97" s="80">
        <f t="shared" si="35"/>
        <v>0</v>
      </c>
      <c r="O97" s="179">
        <v>35794.798996865022</v>
      </c>
      <c r="P97" s="80">
        <f t="shared" si="36"/>
        <v>0</v>
      </c>
      <c r="Q97" s="179">
        <v>36689.668971786647</v>
      </c>
      <c r="R97" s="80">
        <f t="shared" si="37"/>
        <v>0</v>
      </c>
      <c r="S97" s="179">
        <v>37606.910696081315</v>
      </c>
      <c r="T97" s="80">
        <f t="shared" si="38"/>
        <v>0</v>
      </c>
      <c r="U97" s="179">
        <v>38547.083463483345</v>
      </c>
      <c r="V97" s="80">
        <f t="shared" si="39"/>
        <v>0</v>
      </c>
      <c r="X97" s="202"/>
    </row>
    <row r="98" spans="1:24" ht="12.75" customHeight="1">
      <c r="A98" s="117" t="s">
        <v>431</v>
      </c>
      <c r="B98" s="35"/>
      <c r="C98" s="179">
        <v>0</v>
      </c>
      <c r="D98" s="80">
        <f t="shared" si="40"/>
        <v>0</v>
      </c>
      <c r="E98" s="179">
        <v>0</v>
      </c>
      <c r="F98" s="80">
        <f t="shared" si="31"/>
        <v>0</v>
      </c>
      <c r="G98" s="179">
        <v>0</v>
      </c>
      <c r="H98" s="80">
        <f t="shared" si="32"/>
        <v>0</v>
      </c>
      <c r="I98" s="179">
        <v>0</v>
      </c>
      <c r="J98" s="80">
        <f t="shared" si="33"/>
        <v>0</v>
      </c>
      <c r="K98" s="179">
        <v>0</v>
      </c>
      <c r="L98" s="80">
        <f t="shared" si="34"/>
        <v>0</v>
      </c>
      <c r="M98" s="179">
        <v>0</v>
      </c>
      <c r="N98" s="80">
        <f t="shared" si="35"/>
        <v>0</v>
      </c>
      <c r="O98" s="179">
        <v>0</v>
      </c>
      <c r="P98" s="80">
        <f t="shared" si="36"/>
        <v>0</v>
      </c>
      <c r="Q98" s="179">
        <v>0</v>
      </c>
      <c r="R98" s="80">
        <f t="shared" si="37"/>
        <v>0</v>
      </c>
      <c r="S98" s="179">
        <v>0</v>
      </c>
      <c r="T98" s="80">
        <f t="shared" si="38"/>
        <v>0</v>
      </c>
      <c r="U98" s="179">
        <v>0</v>
      </c>
      <c r="V98" s="80">
        <f t="shared" si="39"/>
        <v>0</v>
      </c>
      <c r="X98" s="202"/>
    </row>
    <row r="99" spans="1:24" ht="12.75" customHeight="1">
      <c r="A99" s="117" t="s">
        <v>431</v>
      </c>
      <c r="B99" s="35"/>
      <c r="C99" s="179">
        <v>0</v>
      </c>
      <c r="D99" s="80">
        <f t="shared" si="40"/>
        <v>0</v>
      </c>
      <c r="E99" s="179">
        <v>0</v>
      </c>
      <c r="F99" s="80">
        <f t="shared" si="31"/>
        <v>0</v>
      </c>
      <c r="G99" s="179">
        <v>0</v>
      </c>
      <c r="H99" s="80">
        <f t="shared" si="32"/>
        <v>0</v>
      </c>
      <c r="I99" s="179">
        <v>0</v>
      </c>
      <c r="J99" s="80">
        <f t="shared" si="33"/>
        <v>0</v>
      </c>
      <c r="K99" s="179">
        <v>0</v>
      </c>
      <c r="L99" s="80">
        <f t="shared" si="34"/>
        <v>0</v>
      </c>
      <c r="M99" s="179">
        <v>0</v>
      </c>
      <c r="N99" s="80">
        <f t="shared" si="35"/>
        <v>0</v>
      </c>
      <c r="O99" s="179">
        <v>0</v>
      </c>
      <c r="P99" s="80">
        <f t="shared" si="36"/>
        <v>0</v>
      </c>
      <c r="Q99" s="179">
        <v>0</v>
      </c>
      <c r="R99" s="80">
        <f t="shared" si="37"/>
        <v>0</v>
      </c>
      <c r="S99" s="179">
        <v>0</v>
      </c>
      <c r="T99" s="80">
        <f t="shared" si="38"/>
        <v>0</v>
      </c>
      <c r="U99" s="179">
        <v>0</v>
      </c>
      <c r="V99" s="80">
        <f t="shared" si="39"/>
        <v>0</v>
      </c>
      <c r="X99" s="202"/>
    </row>
    <row r="100" spans="1:24" ht="12.75" customHeight="1">
      <c r="A100" s="117" t="s">
        <v>431</v>
      </c>
      <c r="B100" s="35"/>
      <c r="C100" s="179">
        <v>0</v>
      </c>
      <c r="D100" s="80">
        <f t="shared" si="40"/>
        <v>0</v>
      </c>
      <c r="E100" s="179">
        <v>0</v>
      </c>
      <c r="F100" s="80">
        <f t="shared" si="31"/>
        <v>0</v>
      </c>
      <c r="G100" s="179">
        <v>0</v>
      </c>
      <c r="H100" s="80">
        <f t="shared" si="32"/>
        <v>0</v>
      </c>
      <c r="I100" s="179">
        <v>0</v>
      </c>
      <c r="J100" s="80">
        <f t="shared" si="33"/>
        <v>0</v>
      </c>
      <c r="K100" s="179">
        <v>0</v>
      </c>
      <c r="L100" s="80">
        <f t="shared" si="34"/>
        <v>0</v>
      </c>
      <c r="M100" s="179">
        <v>0</v>
      </c>
      <c r="N100" s="80">
        <f t="shared" si="35"/>
        <v>0</v>
      </c>
      <c r="O100" s="179">
        <v>0</v>
      </c>
      <c r="P100" s="80">
        <f t="shared" si="36"/>
        <v>0</v>
      </c>
      <c r="Q100" s="179">
        <v>0</v>
      </c>
      <c r="R100" s="80">
        <f t="shared" si="37"/>
        <v>0</v>
      </c>
      <c r="S100" s="179">
        <v>0</v>
      </c>
      <c r="T100" s="80">
        <f t="shared" si="38"/>
        <v>0</v>
      </c>
      <c r="U100" s="179">
        <v>0</v>
      </c>
      <c r="V100" s="80">
        <f t="shared" si="39"/>
        <v>0</v>
      </c>
      <c r="X100" s="202"/>
    </row>
    <row r="101" spans="1:24" ht="12.75" customHeight="1">
      <c r="A101" s="2" t="s">
        <v>432</v>
      </c>
      <c r="B101" s="35"/>
      <c r="C101" s="179">
        <v>25000</v>
      </c>
      <c r="D101" s="80">
        <f t="shared" si="40"/>
        <v>0</v>
      </c>
      <c r="E101" s="179">
        <v>148000</v>
      </c>
      <c r="F101" s="80">
        <f t="shared" si="31"/>
        <v>0</v>
      </c>
      <c r="G101" s="179">
        <v>103000</v>
      </c>
      <c r="H101" s="80">
        <f t="shared" si="32"/>
        <v>0</v>
      </c>
      <c r="I101" s="179">
        <v>0</v>
      </c>
      <c r="J101" s="80">
        <f t="shared" si="33"/>
        <v>0</v>
      </c>
      <c r="K101" s="179">
        <v>0</v>
      </c>
      <c r="L101" s="80">
        <f t="shared" si="34"/>
        <v>0</v>
      </c>
      <c r="M101" s="179">
        <v>0</v>
      </c>
      <c r="N101" s="80">
        <f t="shared" si="35"/>
        <v>0</v>
      </c>
      <c r="O101" s="179">
        <v>0</v>
      </c>
      <c r="P101" s="80">
        <f t="shared" si="36"/>
        <v>0</v>
      </c>
      <c r="Q101" s="179">
        <v>0</v>
      </c>
      <c r="R101" s="80">
        <f t="shared" si="37"/>
        <v>0</v>
      </c>
      <c r="S101" s="179">
        <v>0</v>
      </c>
      <c r="T101" s="80">
        <f t="shared" si="38"/>
        <v>0</v>
      </c>
      <c r="U101" s="179">
        <v>0</v>
      </c>
      <c r="V101" s="80">
        <f t="shared" si="39"/>
        <v>0</v>
      </c>
      <c r="X101" s="202"/>
    </row>
    <row r="102" spans="1:24" ht="12.75" customHeight="1">
      <c r="A102" s="117" t="s">
        <v>505</v>
      </c>
      <c r="B102" s="35"/>
      <c r="C102" s="179">
        <v>223767.70379999996</v>
      </c>
      <c r="D102" s="80">
        <f t="shared" si="40"/>
        <v>0</v>
      </c>
      <c r="E102" s="179">
        <v>237962.77399999998</v>
      </c>
      <c r="F102" s="80">
        <f t="shared" si="31"/>
        <v>0</v>
      </c>
      <c r="G102" s="179">
        <v>259483.01688000001</v>
      </c>
      <c r="H102" s="80">
        <f t="shared" si="32"/>
        <v>0</v>
      </c>
      <c r="I102" s="179">
        <v>267235.12321760005</v>
      </c>
      <c r="J102" s="80">
        <f t="shared" si="33"/>
        <v>0</v>
      </c>
      <c r="K102" s="179">
        <v>274805.90630195203</v>
      </c>
      <c r="L102" s="80">
        <f t="shared" si="34"/>
        <v>0</v>
      </c>
      <c r="M102" s="179">
        <v>279931.339854191</v>
      </c>
      <c r="N102" s="80">
        <f t="shared" si="35"/>
        <v>0</v>
      </c>
      <c r="O102" s="179">
        <v>285142.87923173688</v>
      </c>
      <c r="P102" s="80">
        <f t="shared" si="36"/>
        <v>0</v>
      </c>
      <c r="Q102" s="179">
        <v>290452.00852263824</v>
      </c>
      <c r="R102" s="80">
        <f t="shared" si="37"/>
        <v>0</v>
      </c>
      <c r="S102" s="179">
        <v>295870.24111642031</v>
      </c>
      <c r="T102" s="80">
        <f t="shared" si="38"/>
        <v>0</v>
      </c>
      <c r="U102" s="179">
        <v>309035.84523829317</v>
      </c>
      <c r="V102" s="80">
        <f t="shared" si="39"/>
        <v>0</v>
      </c>
      <c r="X102" s="202"/>
    </row>
    <row r="103" spans="1:24" ht="12.75" customHeight="1">
      <c r="A103" s="117" t="s">
        <v>433</v>
      </c>
      <c r="B103" s="35"/>
      <c r="C103" s="179">
        <v>0</v>
      </c>
      <c r="D103" s="80">
        <f t="shared" si="40"/>
        <v>0</v>
      </c>
      <c r="E103" s="179">
        <v>0</v>
      </c>
      <c r="F103" s="80">
        <f t="shared" si="31"/>
        <v>0</v>
      </c>
      <c r="G103" s="179">
        <v>0</v>
      </c>
      <c r="H103" s="80">
        <f t="shared" si="32"/>
        <v>0</v>
      </c>
      <c r="I103" s="179">
        <v>0</v>
      </c>
      <c r="J103" s="80">
        <f t="shared" si="33"/>
        <v>0</v>
      </c>
      <c r="K103" s="179">
        <v>0</v>
      </c>
      <c r="L103" s="80">
        <f t="shared" si="34"/>
        <v>0</v>
      </c>
      <c r="M103" s="179">
        <v>0</v>
      </c>
      <c r="N103" s="80">
        <f t="shared" si="35"/>
        <v>0</v>
      </c>
      <c r="O103" s="179">
        <v>0</v>
      </c>
      <c r="P103" s="80">
        <f t="shared" si="36"/>
        <v>0</v>
      </c>
      <c r="Q103" s="179">
        <v>0</v>
      </c>
      <c r="R103" s="80">
        <f t="shared" si="37"/>
        <v>0</v>
      </c>
      <c r="S103" s="179">
        <v>0</v>
      </c>
      <c r="T103" s="80">
        <f t="shared" si="38"/>
        <v>0</v>
      </c>
      <c r="U103" s="179">
        <v>0</v>
      </c>
      <c r="V103" s="80">
        <f t="shared" si="39"/>
        <v>0</v>
      </c>
      <c r="X103" s="202"/>
    </row>
    <row r="104" spans="1:24" ht="12.75" customHeight="1">
      <c r="A104" s="117" t="s">
        <v>433</v>
      </c>
      <c r="B104" s="1"/>
      <c r="C104" s="179">
        <v>0</v>
      </c>
      <c r="D104" s="80">
        <f t="shared" si="40"/>
        <v>0</v>
      </c>
      <c r="E104" s="179">
        <v>0</v>
      </c>
      <c r="F104" s="80">
        <f t="shared" si="31"/>
        <v>0</v>
      </c>
      <c r="G104" s="179">
        <v>0</v>
      </c>
      <c r="H104" s="80">
        <f t="shared" si="32"/>
        <v>0</v>
      </c>
      <c r="I104" s="179">
        <v>0</v>
      </c>
      <c r="J104" s="80">
        <f t="shared" si="33"/>
        <v>0</v>
      </c>
      <c r="K104" s="179">
        <v>0</v>
      </c>
      <c r="L104" s="80">
        <f t="shared" si="34"/>
        <v>0</v>
      </c>
      <c r="M104" s="179">
        <v>0</v>
      </c>
      <c r="N104" s="80">
        <f t="shared" si="35"/>
        <v>0</v>
      </c>
      <c r="O104" s="179">
        <v>0</v>
      </c>
      <c r="P104" s="80">
        <f t="shared" si="36"/>
        <v>0</v>
      </c>
      <c r="Q104" s="179">
        <v>0</v>
      </c>
      <c r="R104" s="80">
        <f t="shared" si="37"/>
        <v>0</v>
      </c>
      <c r="S104" s="179">
        <v>0</v>
      </c>
      <c r="T104" s="80">
        <f t="shared" si="38"/>
        <v>0</v>
      </c>
      <c r="U104" s="179">
        <v>0</v>
      </c>
      <c r="V104" s="80">
        <f t="shared" si="39"/>
        <v>0</v>
      </c>
      <c r="X104" s="202"/>
    </row>
    <row r="105" spans="1:24" ht="12.75" customHeight="1">
      <c r="A105" s="1" t="s">
        <v>434</v>
      </c>
      <c r="B105" s="53"/>
      <c r="C105" s="82">
        <f>SUM(C52:C104)</f>
        <v>4370859.9968402227</v>
      </c>
      <c r="D105" s="83">
        <f t="shared" si="40"/>
        <v>0</v>
      </c>
      <c r="E105" s="82">
        <f>SUM(E52:E104)</f>
        <v>6050188.4153947588</v>
      </c>
      <c r="F105" s="83">
        <f t="shared" si="31"/>
        <v>0</v>
      </c>
      <c r="G105" s="82">
        <f>SUM(G52:G104)</f>
        <v>7370354.3929936253</v>
      </c>
      <c r="H105" s="83">
        <f t="shared" si="32"/>
        <v>0</v>
      </c>
      <c r="I105" s="82">
        <f>SUM(I52:I104)</f>
        <v>6825869.7644293252</v>
      </c>
      <c r="J105" s="83">
        <f t="shared" si="33"/>
        <v>0</v>
      </c>
      <c r="K105" s="82">
        <f>SUM(K52:K104)</f>
        <v>6974855.8254877748</v>
      </c>
      <c r="L105" s="83">
        <f t="shared" si="34"/>
        <v>0</v>
      </c>
      <c r="M105" s="82">
        <f>SUM(M52:M104)</f>
        <v>7721566.9414720498</v>
      </c>
      <c r="N105" s="83">
        <f t="shared" si="35"/>
        <v>0</v>
      </c>
      <c r="O105" s="82">
        <f>SUM(O52:O104)</f>
        <v>7217129.7148234807</v>
      </c>
      <c r="P105" s="83">
        <f t="shared" si="36"/>
        <v>0</v>
      </c>
      <c r="Q105" s="82">
        <f>SUM(Q52:Q104)</f>
        <v>7263798.6128100734</v>
      </c>
      <c r="R105" s="83">
        <f t="shared" si="37"/>
        <v>0</v>
      </c>
      <c r="S105" s="82">
        <f>SUM(S52:S104)</f>
        <v>7911630.5176710915</v>
      </c>
      <c r="T105" s="83">
        <f t="shared" si="38"/>
        <v>0</v>
      </c>
      <c r="U105" s="82">
        <f>SUM(U52:U104)</f>
        <v>6690778.0406960696</v>
      </c>
      <c r="V105" s="83">
        <f t="shared" si="39"/>
        <v>0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435</v>
      </c>
      <c r="B107" s="53"/>
      <c r="C107" s="82">
        <f>C28-C33-C46-C105</f>
        <v>-5352254.7188402228</v>
      </c>
      <c r="D107" s="83">
        <f>IFERROR(C107/C$28,0)</f>
        <v>0</v>
      </c>
      <c r="E107" s="82">
        <f>E28-E33-E46-E105</f>
        <v>-7133338.0054447586</v>
      </c>
      <c r="F107" s="83">
        <f>IFERROR(E107/E$28,0)</f>
        <v>0</v>
      </c>
      <c r="G107" s="82">
        <f>G28-G33-G46-G105</f>
        <v>-8478649.2227948755</v>
      </c>
      <c r="H107" s="83">
        <f>IFERROR(G107/G$28,0)</f>
        <v>0</v>
      </c>
      <c r="I107" s="82">
        <f>I28-I33-I46-I105</f>
        <v>-7959955.4599756058</v>
      </c>
      <c r="J107" s="83">
        <f>IFERROR(I107/I$28,0)</f>
        <v>0</v>
      </c>
      <c r="K107" s="82">
        <f>K28-K33-K46-K105</f>
        <v>-8135394.6632727124</v>
      </c>
      <c r="L107" s="83">
        <f>IFERROR(K107/K$28,0)</f>
        <v>0</v>
      </c>
      <c r="M107" s="82">
        <f>M28-M33-M46-M105</f>
        <v>-8909238.2800471112</v>
      </c>
      <c r="N107" s="83">
        <f>IFERROR(M107/M$28,0)</f>
        <v>0</v>
      </c>
      <c r="O107" s="82">
        <f>O28-O33-O46-O105</f>
        <v>-8432630.4376037829</v>
      </c>
      <c r="P107" s="83">
        <f>IFERROR(O107/O$28,0)</f>
        <v>0</v>
      </c>
      <c r="Q107" s="82">
        <f>Q28-Q33-Q46-Q105</f>
        <v>-8507843.5824229755</v>
      </c>
      <c r="R107" s="83">
        <f>IFERROR(Q107/Q$28,0)</f>
        <v>0</v>
      </c>
      <c r="S107" s="82">
        <f>S28-S33-S46-S105</f>
        <v>-9184953.0421503</v>
      </c>
      <c r="T107" s="83">
        <f>IFERROR(S107/S$28,0)</f>
        <v>0</v>
      </c>
      <c r="U107" s="82">
        <f>U28-U33-U46-U105</f>
        <v>-7994130.3518320201</v>
      </c>
      <c r="V107" s="83">
        <f>IFERROR(U107/U$28,0)</f>
        <v>0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C59</f>
        <v>2000000</v>
      </c>
      <c r="D111" s="80">
        <f t="shared" ref="D111:D116" si="41">IFERROR(C111/C$28,0)</f>
        <v>0</v>
      </c>
      <c r="E111" s="79">
        <f>E59</f>
        <v>2000000</v>
      </c>
      <c r="F111" s="80">
        <f t="shared" ref="F111:F116" si="42">IFERROR(E111/E$28,0)</f>
        <v>0</v>
      </c>
      <c r="G111" s="79">
        <f>G59</f>
        <v>2000000</v>
      </c>
      <c r="H111" s="80">
        <f t="shared" ref="H111:H116" si="43">IFERROR(G111/G$28,0)</f>
        <v>0</v>
      </c>
      <c r="I111" s="79">
        <f>I59</f>
        <v>2000000</v>
      </c>
      <c r="J111" s="80">
        <f t="shared" ref="J111:J116" si="44">IFERROR(I111/I$28,0)</f>
        <v>0</v>
      </c>
      <c r="K111" s="79">
        <f>K59</f>
        <v>2000000</v>
      </c>
      <c r="L111" s="80">
        <f t="shared" ref="L111:L116" si="45">IFERROR(K111/K$28,0)</f>
        <v>0</v>
      </c>
      <c r="M111" s="79">
        <f>M59</f>
        <v>2000000</v>
      </c>
      <c r="N111" s="80">
        <f t="shared" ref="N111:N116" si="46">IFERROR(M111/M$28,0)</f>
        <v>0</v>
      </c>
      <c r="O111" s="79">
        <f>O59</f>
        <v>2000000</v>
      </c>
      <c r="P111" s="80">
        <f t="shared" ref="P111:P116" si="47">IFERROR(O111/O$28,0)</f>
        <v>0</v>
      </c>
      <c r="Q111" s="79">
        <f>Q59</f>
        <v>2000000</v>
      </c>
      <c r="R111" s="80">
        <f t="shared" ref="R111:R116" si="48">IFERROR(Q111/Q$28,0)</f>
        <v>0</v>
      </c>
      <c r="S111" s="79">
        <f>S59</f>
        <v>2000000</v>
      </c>
      <c r="T111" s="80">
        <f t="shared" ref="T111:T116" si="49">IFERROR(S111/S$28,0)</f>
        <v>0</v>
      </c>
      <c r="U111" s="79">
        <f>U59</f>
        <v>2000000</v>
      </c>
      <c r="V111" s="80">
        <f t="shared" ref="V111:V116" si="50">IFERROR(U111/U$28,0)</f>
        <v>0</v>
      </c>
    </row>
    <row r="112" spans="1:24" ht="12.75" customHeight="1">
      <c r="A112" s="2" t="s">
        <v>437</v>
      </c>
      <c r="B112" s="35"/>
      <c r="C112" s="79">
        <f>C62</f>
        <v>727608.2728988931</v>
      </c>
      <c r="D112" s="80">
        <f t="shared" si="41"/>
        <v>0</v>
      </c>
      <c r="E112" s="79">
        <f>E62</f>
        <v>830459.56820365239</v>
      </c>
      <c r="F112" s="80">
        <f t="shared" si="42"/>
        <v>0</v>
      </c>
      <c r="G112" s="79">
        <f>G62</f>
        <v>1388343.9343738651</v>
      </c>
      <c r="H112" s="80">
        <f t="shared" si="43"/>
        <v>0</v>
      </c>
      <c r="I112" s="79">
        <f>I62</f>
        <v>897841.42727386509</v>
      </c>
      <c r="J112" s="80">
        <f t="shared" si="44"/>
        <v>0</v>
      </c>
      <c r="K112" s="79">
        <f>K62</f>
        <v>913514.01737465803</v>
      </c>
      <c r="L112" s="80">
        <f t="shared" si="45"/>
        <v>0</v>
      </c>
      <c r="M112" s="79">
        <f>M62</f>
        <v>1483016.3541439925</v>
      </c>
      <c r="N112" s="80">
        <f t="shared" si="46"/>
        <v>0</v>
      </c>
      <c r="O112" s="79">
        <f>O62</f>
        <v>942848.15756813064</v>
      </c>
      <c r="P112" s="80">
        <f t="shared" si="47"/>
        <v>0</v>
      </c>
      <c r="Q112" s="79">
        <f>Q62</f>
        <v>952974.91509499319</v>
      </c>
      <c r="R112" s="80">
        <f t="shared" si="48"/>
        <v>0</v>
      </c>
      <c r="S112" s="79">
        <f>S62</f>
        <v>1563405.4753476614</v>
      </c>
      <c r="T112" s="80">
        <f t="shared" si="49"/>
        <v>0</v>
      </c>
      <c r="U112" s="79">
        <f>U62</f>
        <v>928826.55907306424</v>
      </c>
      <c r="V112" s="80">
        <f t="shared" si="50"/>
        <v>0</v>
      </c>
    </row>
    <row r="113" spans="1:22" ht="12.75" customHeight="1">
      <c r="A113" s="117" t="s">
        <v>433</v>
      </c>
      <c r="B113" s="41"/>
      <c r="C113" s="111">
        <v>0</v>
      </c>
      <c r="D113" s="80">
        <f t="shared" si="41"/>
        <v>0</v>
      </c>
      <c r="E113" s="111">
        <v>0</v>
      </c>
      <c r="F113" s="80">
        <f t="shared" si="42"/>
        <v>0</v>
      </c>
      <c r="G113" s="111">
        <v>0</v>
      </c>
      <c r="H113" s="80">
        <f t="shared" si="43"/>
        <v>0</v>
      </c>
      <c r="I113" s="111">
        <v>0</v>
      </c>
      <c r="J113" s="80">
        <f t="shared" si="44"/>
        <v>0</v>
      </c>
      <c r="K113" s="111">
        <v>0</v>
      </c>
      <c r="L113" s="80">
        <f t="shared" si="45"/>
        <v>0</v>
      </c>
      <c r="M113" s="111">
        <v>0</v>
      </c>
      <c r="N113" s="80">
        <f t="shared" si="46"/>
        <v>0</v>
      </c>
      <c r="O113" s="111">
        <v>0</v>
      </c>
      <c r="P113" s="80">
        <f t="shared" si="47"/>
        <v>0</v>
      </c>
      <c r="Q113" s="111">
        <v>0</v>
      </c>
      <c r="R113" s="80">
        <f t="shared" si="48"/>
        <v>0</v>
      </c>
      <c r="S113" s="111">
        <v>0</v>
      </c>
      <c r="T113" s="80">
        <f t="shared" si="49"/>
        <v>0</v>
      </c>
      <c r="U113" s="111">
        <v>0</v>
      </c>
      <c r="V113" s="80">
        <f t="shared" si="50"/>
        <v>0</v>
      </c>
    </row>
    <row r="114" spans="1:22" ht="12.75" customHeight="1">
      <c r="A114" s="117" t="s">
        <v>433</v>
      </c>
      <c r="B114" s="41"/>
      <c r="C114" s="111">
        <v>0</v>
      </c>
      <c r="D114" s="80">
        <f t="shared" si="41"/>
        <v>0</v>
      </c>
      <c r="E114" s="111">
        <v>0</v>
      </c>
      <c r="F114" s="80">
        <f t="shared" si="42"/>
        <v>0</v>
      </c>
      <c r="G114" s="111">
        <v>0</v>
      </c>
      <c r="H114" s="80">
        <f t="shared" si="43"/>
        <v>0</v>
      </c>
      <c r="I114" s="111">
        <v>0</v>
      </c>
      <c r="J114" s="80">
        <f t="shared" si="44"/>
        <v>0</v>
      </c>
      <c r="K114" s="111">
        <v>0</v>
      </c>
      <c r="L114" s="80">
        <f t="shared" si="45"/>
        <v>0</v>
      </c>
      <c r="M114" s="111">
        <v>0</v>
      </c>
      <c r="N114" s="80">
        <f t="shared" si="46"/>
        <v>0</v>
      </c>
      <c r="O114" s="111">
        <v>0</v>
      </c>
      <c r="P114" s="80">
        <f t="shared" si="47"/>
        <v>0</v>
      </c>
      <c r="Q114" s="111">
        <v>0</v>
      </c>
      <c r="R114" s="80">
        <f t="shared" si="48"/>
        <v>0</v>
      </c>
      <c r="S114" s="111">
        <v>0</v>
      </c>
      <c r="T114" s="80">
        <f t="shared" si="49"/>
        <v>0</v>
      </c>
      <c r="U114" s="111">
        <v>0</v>
      </c>
      <c r="V114" s="80">
        <f t="shared" si="50"/>
        <v>0</v>
      </c>
    </row>
    <row r="115" spans="1:22" ht="12.75" customHeight="1">
      <c r="A115" s="117" t="s">
        <v>433</v>
      </c>
      <c r="B115" s="41"/>
      <c r="C115" s="112">
        <v>0</v>
      </c>
      <c r="D115" s="80">
        <f t="shared" si="41"/>
        <v>0</v>
      </c>
      <c r="E115" s="112">
        <v>0</v>
      </c>
      <c r="F115" s="80">
        <f t="shared" si="42"/>
        <v>0</v>
      </c>
      <c r="G115" s="112">
        <v>0</v>
      </c>
      <c r="H115" s="80">
        <f t="shared" si="43"/>
        <v>0</v>
      </c>
      <c r="I115" s="112">
        <v>0</v>
      </c>
      <c r="J115" s="80">
        <f t="shared" si="44"/>
        <v>0</v>
      </c>
      <c r="K115" s="112">
        <v>0</v>
      </c>
      <c r="L115" s="80">
        <f t="shared" si="45"/>
        <v>0</v>
      </c>
      <c r="M115" s="112">
        <v>0</v>
      </c>
      <c r="N115" s="80">
        <f t="shared" si="46"/>
        <v>0</v>
      </c>
      <c r="O115" s="112">
        <v>0</v>
      </c>
      <c r="P115" s="80">
        <f t="shared" si="47"/>
        <v>0</v>
      </c>
      <c r="Q115" s="112">
        <v>0</v>
      </c>
      <c r="R115" s="80">
        <f t="shared" si="48"/>
        <v>0</v>
      </c>
      <c r="S115" s="112">
        <v>0</v>
      </c>
      <c r="T115" s="80">
        <f t="shared" si="49"/>
        <v>0</v>
      </c>
      <c r="U115" s="112">
        <v>0</v>
      </c>
      <c r="V115" s="80">
        <f t="shared" si="50"/>
        <v>0</v>
      </c>
    </row>
    <row r="116" spans="1:22" ht="12.75" customHeight="1">
      <c r="A116" s="40" t="s">
        <v>438</v>
      </c>
      <c r="B116" s="42"/>
      <c r="C116" s="85">
        <f>SUM(C111:C115)</f>
        <v>2727608.2728988929</v>
      </c>
      <c r="D116" s="83">
        <f t="shared" si="41"/>
        <v>0</v>
      </c>
      <c r="E116" s="85">
        <f>SUM(E111:E115)</f>
        <v>2830459.5682036523</v>
      </c>
      <c r="F116" s="83">
        <f t="shared" si="42"/>
        <v>0</v>
      </c>
      <c r="G116" s="85">
        <f>SUM(G111:G115)</f>
        <v>3388343.9343738649</v>
      </c>
      <c r="H116" s="83">
        <f t="shared" si="43"/>
        <v>0</v>
      </c>
      <c r="I116" s="85">
        <f>SUM(I111:I115)</f>
        <v>2897841.4272738649</v>
      </c>
      <c r="J116" s="83">
        <f t="shared" si="44"/>
        <v>0</v>
      </c>
      <c r="K116" s="85">
        <f>SUM(K111:K115)</f>
        <v>2913514.017374658</v>
      </c>
      <c r="L116" s="83">
        <f t="shared" si="45"/>
        <v>0</v>
      </c>
      <c r="M116" s="85">
        <f>SUM(M111:M115)</f>
        <v>3483016.3541439925</v>
      </c>
      <c r="N116" s="83">
        <f t="shared" si="46"/>
        <v>0</v>
      </c>
      <c r="O116" s="85">
        <f>SUM(O111:O115)</f>
        <v>2942848.1575681306</v>
      </c>
      <c r="P116" s="83">
        <f t="shared" si="47"/>
        <v>0</v>
      </c>
      <c r="Q116" s="85">
        <f>SUM(Q111:Q115)</f>
        <v>2952974.9150949931</v>
      </c>
      <c r="R116" s="83">
        <f t="shared" si="48"/>
        <v>0</v>
      </c>
      <c r="S116" s="85">
        <f>SUM(S111:S115)</f>
        <v>3563405.4753476614</v>
      </c>
      <c r="T116" s="83">
        <f t="shared" si="49"/>
        <v>0</v>
      </c>
      <c r="U116" s="85">
        <f>SUM(U111:U115)</f>
        <v>2928826.5590730645</v>
      </c>
      <c r="V116" s="83">
        <f t="shared" si="50"/>
        <v>0</v>
      </c>
    </row>
    <row r="118" spans="1:22" ht="12.75" customHeight="1">
      <c r="A118" s="43" t="s">
        <v>439</v>
      </c>
      <c r="B118" s="43"/>
    </row>
    <row r="119" spans="1:22" ht="12.75" customHeight="1">
      <c r="A119" s="47" t="s">
        <v>440</v>
      </c>
      <c r="B119" s="47"/>
    </row>
    <row r="120" spans="1:22" ht="12.75" customHeight="1">
      <c r="A120" s="2" t="s">
        <v>506</v>
      </c>
    </row>
    <row r="121" spans="1:22" ht="12.75" customHeight="1">
      <c r="A121" s="2" t="s">
        <v>507</v>
      </c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G39"/>
  <sheetViews>
    <sheetView zoomScale="85" zoomScaleNormal="85" workbookViewId="0" xr3:uid="{F9CF3CF3-643B-5BE6-8B46-32C596A47465}">
      <selection activeCell="C5" sqref="C5"/>
    </sheetView>
  </sheetViews>
  <sheetFormatPr defaultColWidth="9.140625" defaultRowHeight="12.75"/>
  <cols>
    <col min="1" max="1" width="4.5703125" style="2" customWidth="1"/>
    <col min="2" max="2" width="5.5703125" style="2" customWidth="1"/>
    <col min="3" max="3" width="35.5703125" style="2" customWidth="1"/>
    <col min="4" max="4" width="1.5703125" style="2" customWidth="1"/>
    <col min="5" max="5" width="39.5703125" style="2" customWidth="1"/>
    <col min="6" max="6" width="1.5703125" style="2" customWidth="1"/>
    <col min="7" max="7" width="15.7109375" style="2" customWidth="1"/>
    <col min="8" max="16384" width="9.140625" style="2"/>
  </cols>
  <sheetData>
    <row r="1" spans="1:7">
      <c r="A1" s="1" t="s">
        <v>0</v>
      </c>
      <c r="C1" s="1"/>
    </row>
    <row r="2" spans="1:7">
      <c r="A2" s="1" t="s">
        <v>1</v>
      </c>
      <c r="C2" s="1"/>
    </row>
    <row r="3" spans="1:7">
      <c r="A3" s="1" t="s">
        <v>149</v>
      </c>
      <c r="C3" s="19"/>
    </row>
    <row r="4" spans="1:7">
      <c r="A4" s="1"/>
      <c r="C4" s="19"/>
    </row>
    <row r="5" spans="1:7">
      <c r="A5" s="1" t="s">
        <v>16</v>
      </c>
      <c r="C5" s="109" t="s">
        <v>17</v>
      </c>
    </row>
    <row r="6" spans="1:7">
      <c r="B6" s="1"/>
      <c r="C6" s="1"/>
    </row>
    <row r="7" spans="1:7">
      <c r="A7" s="108" t="s">
        <v>18</v>
      </c>
      <c r="B7" s="1" t="s">
        <v>150</v>
      </c>
      <c r="C7" s="1"/>
    </row>
    <row r="8" spans="1:7">
      <c r="B8" s="4" t="s">
        <v>151</v>
      </c>
      <c r="C8" s="4"/>
    </row>
    <row r="10" spans="1:7">
      <c r="B10" s="245" t="s">
        <v>150</v>
      </c>
      <c r="C10" s="246"/>
      <c r="D10" s="133"/>
      <c r="E10" s="86" t="s">
        <v>152</v>
      </c>
      <c r="F10" s="133"/>
      <c r="G10" s="86" t="s">
        <v>153</v>
      </c>
    </row>
    <row r="11" spans="1:7">
      <c r="B11" s="244" t="s">
        <v>154</v>
      </c>
      <c r="C11" s="244"/>
      <c r="E11" s="109" t="s">
        <v>155</v>
      </c>
      <c r="G11" s="142">
        <v>25000</v>
      </c>
    </row>
    <row r="12" spans="1:7" ht="25.5">
      <c r="B12" s="244" t="s">
        <v>154</v>
      </c>
      <c r="C12" s="244"/>
      <c r="E12" s="215" t="s">
        <v>156</v>
      </c>
      <c r="G12" s="142">
        <v>148000</v>
      </c>
    </row>
    <row r="13" spans="1:7">
      <c r="B13" s="244" t="s">
        <v>154</v>
      </c>
      <c r="C13" s="244"/>
      <c r="E13" s="109" t="s">
        <v>157</v>
      </c>
      <c r="G13" s="142">
        <v>103000</v>
      </c>
    </row>
    <row r="14" spans="1:7">
      <c r="B14" s="244"/>
      <c r="C14" s="244"/>
      <c r="E14" s="109"/>
      <c r="G14" s="142">
        <v>0</v>
      </c>
    </row>
    <row r="15" spans="1:7">
      <c r="B15" s="244"/>
      <c r="C15" s="244"/>
      <c r="E15" s="109"/>
      <c r="G15" s="142">
        <v>0</v>
      </c>
    </row>
    <row r="16" spans="1:7">
      <c r="B16" s="244"/>
      <c r="C16" s="244"/>
      <c r="E16" s="109"/>
      <c r="G16" s="142">
        <v>0</v>
      </c>
    </row>
    <row r="17" spans="2:7">
      <c r="B17" s="244"/>
      <c r="C17" s="244"/>
      <c r="E17" s="109"/>
      <c r="G17" s="142">
        <v>0</v>
      </c>
    </row>
    <row r="18" spans="2:7">
      <c r="B18" s="244"/>
      <c r="C18" s="244"/>
      <c r="E18" s="109"/>
      <c r="G18" s="142">
        <v>0</v>
      </c>
    </row>
    <row r="19" spans="2:7">
      <c r="B19" s="244"/>
      <c r="C19" s="244"/>
      <c r="E19" s="109"/>
      <c r="G19" s="142">
        <v>0</v>
      </c>
    </row>
    <row r="20" spans="2:7">
      <c r="B20" s="244"/>
      <c r="C20" s="244"/>
      <c r="E20" s="109"/>
      <c r="G20" s="142">
        <v>0</v>
      </c>
    </row>
    <row r="21" spans="2:7">
      <c r="B21" s="244"/>
      <c r="C21" s="244"/>
      <c r="E21" s="109"/>
      <c r="G21" s="142">
        <v>0</v>
      </c>
    </row>
    <row r="22" spans="2:7">
      <c r="B22" s="244"/>
      <c r="C22" s="244"/>
      <c r="E22" s="109"/>
      <c r="G22" s="142">
        <v>0</v>
      </c>
    </row>
    <row r="23" spans="2:7">
      <c r="B23" s="244"/>
      <c r="C23" s="244"/>
      <c r="E23" s="109"/>
      <c r="G23" s="142">
        <v>0</v>
      </c>
    </row>
    <row r="24" spans="2:7">
      <c r="B24" s="244"/>
      <c r="C24" s="244"/>
      <c r="E24" s="109"/>
      <c r="G24" s="142">
        <v>0</v>
      </c>
    </row>
    <row r="25" spans="2:7">
      <c r="B25" s="244"/>
      <c r="C25" s="244"/>
      <c r="E25" s="109"/>
      <c r="G25" s="142">
        <v>0</v>
      </c>
    </row>
    <row r="26" spans="2:7">
      <c r="B26" s="244"/>
      <c r="C26" s="244"/>
      <c r="E26" s="109"/>
      <c r="G26" s="142">
        <v>0</v>
      </c>
    </row>
    <row r="27" spans="2:7">
      <c r="B27" s="244"/>
      <c r="C27" s="244"/>
      <c r="E27" s="109"/>
      <c r="G27" s="142">
        <v>0</v>
      </c>
    </row>
    <row r="28" spans="2:7">
      <c r="B28" s="244"/>
      <c r="C28" s="244"/>
      <c r="E28" s="109"/>
      <c r="G28" s="142">
        <v>0</v>
      </c>
    </row>
    <row r="29" spans="2:7">
      <c r="B29" s="244"/>
      <c r="C29" s="244"/>
      <c r="E29" s="109"/>
      <c r="G29" s="142">
        <v>0</v>
      </c>
    </row>
    <row r="30" spans="2:7">
      <c r="B30" s="244"/>
      <c r="C30" s="244"/>
      <c r="E30" s="109"/>
      <c r="G30" s="142">
        <v>0</v>
      </c>
    </row>
    <row r="31" spans="2:7">
      <c r="B31" s="244"/>
      <c r="C31" s="244"/>
      <c r="E31" s="109"/>
      <c r="G31" s="142">
        <v>0</v>
      </c>
    </row>
    <row r="32" spans="2:7">
      <c r="B32" s="1" t="s">
        <v>158</v>
      </c>
      <c r="C32" s="1"/>
      <c r="G32" s="143">
        <f>SUM(G11:G31)</f>
        <v>276000</v>
      </c>
    </row>
    <row r="33" spans="2:7">
      <c r="G33" s="12"/>
    </row>
    <row r="34" spans="2:7">
      <c r="B34" s="44" t="s">
        <v>159</v>
      </c>
      <c r="C34" s="44"/>
    </row>
    <row r="35" spans="2:7">
      <c r="B35" s="2" t="s">
        <v>160</v>
      </c>
      <c r="G35" s="109"/>
    </row>
    <row r="36" spans="2:7">
      <c r="B36" s="2" t="s">
        <v>161</v>
      </c>
      <c r="G36" s="144" t="s">
        <v>162</v>
      </c>
    </row>
    <row r="38" spans="2:7">
      <c r="B38" s="4" t="s">
        <v>163</v>
      </c>
      <c r="C38" s="4"/>
    </row>
    <row r="39" spans="2:7">
      <c r="B39" s="4" t="s">
        <v>164</v>
      </c>
      <c r="C39" s="4"/>
    </row>
  </sheetData>
  <mergeCells count="22">
    <mergeCell ref="B21:C21"/>
    <mergeCell ref="B11:C11"/>
    <mergeCell ref="B12:C12"/>
    <mergeCell ref="B13:C13"/>
    <mergeCell ref="B14:C14"/>
    <mergeCell ref="B15:C15"/>
    <mergeCell ref="B28:C28"/>
    <mergeCell ref="B29:C29"/>
    <mergeCell ref="B30:C30"/>
    <mergeCell ref="B31:C31"/>
    <mergeCell ref="B10:C10"/>
    <mergeCell ref="B22:C22"/>
    <mergeCell ref="B23:C23"/>
    <mergeCell ref="B24:C24"/>
    <mergeCell ref="B25:C25"/>
    <mergeCell ref="B26:C26"/>
    <mergeCell ref="B27:C27"/>
    <mergeCell ref="B16:C16"/>
    <mergeCell ref="B17:C17"/>
    <mergeCell ref="B18:C18"/>
    <mergeCell ref="B19:C19"/>
    <mergeCell ref="B20:C20"/>
  </mergeCells>
  <pageMargins left="0.7" right="0.7" top="0.75" bottom="0.75" header="0.3" footer="0.3"/>
  <pageSetup scale="94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3" tint="-0.249977111117893"/>
  </sheetPr>
  <dimension ref="A1:X119"/>
  <sheetViews>
    <sheetView zoomScale="70" zoomScaleNormal="70" workbookViewId="0" xr3:uid="{0048B8E7-8DCA-5CD6-B67B-486C8B362ABD}">
      <selection activeCell="I16" sqref="I16"/>
    </sheetView>
  </sheetViews>
  <sheetFormatPr defaultColWidth="9.140625" defaultRowHeight="12.75" customHeight="1"/>
  <cols>
    <col min="1" max="1" width="9.5703125" style="2" customWidth="1"/>
    <col min="2" max="2" width="31.7109375" style="2" customWidth="1"/>
    <col min="3" max="3" width="14.42578125" style="2" customWidth="1"/>
    <col min="4" max="4" width="8.7109375" style="2" customWidth="1"/>
    <col min="5" max="5" width="15.42578125" style="2" customWidth="1"/>
    <col min="6" max="6" width="8.7109375" style="2" customWidth="1"/>
    <col min="7" max="7" width="14.28515625" style="2" bestFit="1" customWidth="1"/>
    <col min="8" max="8" width="8.7109375" style="2" customWidth="1"/>
    <col min="9" max="9" width="13.5703125" style="2" bestFit="1" customWidth="1"/>
    <col min="10" max="10" width="8.7109375" style="2" customWidth="1"/>
    <col min="11" max="11" width="13" style="2" customWidth="1"/>
    <col min="12" max="12" width="8.7109375" style="2" customWidth="1"/>
    <col min="13" max="13" width="13.5703125" style="2" bestFit="1" customWidth="1"/>
    <col min="14" max="14" width="8.7109375" style="2" customWidth="1"/>
    <col min="15" max="15" width="12.7109375" style="2" customWidth="1"/>
    <col min="16" max="16" width="8.7109375" style="2" customWidth="1"/>
    <col min="17" max="17" width="13.5703125" style="2" bestFit="1" customWidth="1"/>
    <col min="18" max="18" width="8.7109375" style="2" customWidth="1"/>
    <col min="19" max="19" width="13.5703125" style="2" bestFit="1" customWidth="1"/>
    <col min="20" max="20" width="8.7109375" style="2" customWidth="1"/>
    <col min="21" max="21" width="13.28515625" style="2" bestFit="1" customWidth="1"/>
    <col min="22" max="22" width="8.7109375" style="2" customWidth="1"/>
    <col min="23" max="23" width="9.140625" style="2"/>
    <col min="24" max="24" width="12.42578125" style="2" bestFit="1" customWidth="1"/>
    <col min="25" max="16384" width="9.140625" style="2"/>
  </cols>
  <sheetData>
    <row r="1" spans="1:22" ht="12.75" customHeight="1">
      <c r="A1" s="1" t="s">
        <v>499</v>
      </c>
      <c r="B1" s="1"/>
    </row>
    <row r="2" spans="1:22" ht="12.75" customHeight="1">
      <c r="A2" s="1" t="s">
        <v>1</v>
      </c>
      <c r="B2" s="1"/>
      <c r="D2" s="118" t="s">
        <v>342</v>
      </c>
      <c r="G2" s="33" t="s">
        <v>508</v>
      </c>
      <c r="H2" s="34"/>
      <c r="I2" s="34"/>
      <c r="V2" s="32"/>
    </row>
    <row r="3" spans="1:22" ht="12.75" customHeight="1">
      <c r="A3" s="1" t="s">
        <v>344</v>
      </c>
      <c r="D3" s="118" t="s">
        <v>345</v>
      </c>
      <c r="G3" s="158"/>
      <c r="H3" s="159"/>
      <c r="I3" s="159"/>
      <c r="V3" s="32"/>
    </row>
    <row r="4" spans="1:22" ht="12.75" customHeight="1">
      <c r="A4" s="1" t="s">
        <v>346</v>
      </c>
      <c r="B4" s="109" t="s">
        <v>220</v>
      </c>
      <c r="D4" s="118" t="s">
        <v>347</v>
      </c>
      <c r="G4" s="158"/>
      <c r="H4" s="159"/>
      <c r="I4" s="159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89" t="s">
        <v>348</v>
      </c>
      <c r="B7" s="89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</row>
    <row r="8" spans="1:22" ht="12.75" customHeight="1">
      <c r="A8" s="90" t="s">
        <v>349</v>
      </c>
      <c r="B8" s="90"/>
      <c r="C8" s="91"/>
      <c r="D8" s="90"/>
      <c r="E8" s="91"/>
      <c r="F8" s="90"/>
      <c r="G8" s="91"/>
      <c r="H8" s="90"/>
      <c r="I8" s="91"/>
      <c r="J8" s="90"/>
      <c r="K8" s="91"/>
      <c r="L8" s="90"/>
      <c r="M8" s="91"/>
      <c r="N8" s="90"/>
      <c r="O8" s="91"/>
      <c r="P8" s="90"/>
      <c r="Q8" s="91"/>
      <c r="R8" s="90"/>
      <c r="S8" s="91"/>
      <c r="T8" s="90"/>
      <c r="U8" s="91"/>
      <c r="V8" s="90"/>
    </row>
    <row r="9" spans="1:22" ht="12.75" customHeight="1">
      <c r="A9" s="90"/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</row>
    <row r="10" spans="1:22" ht="12.75" customHeight="1">
      <c r="A10" s="90" t="s">
        <v>449</v>
      </c>
      <c r="B10" s="90"/>
      <c r="C10" s="91"/>
      <c r="D10" s="90"/>
      <c r="E10" s="91"/>
      <c r="F10" s="90"/>
      <c r="G10" s="91"/>
      <c r="H10" s="90"/>
      <c r="I10" s="91"/>
      <c r="J10" s="90"/>
      <c r="K10" s="91"/>
      <c r="L10" s="90"/>
      <c r="M10" s="91"/>
      <c r="N10" s="90"/>
      <c r="O10" s="91"/>
      <c r="P10" s="90"/>
      <c r="Q10" s="91"/>
      <c r="R10" s="90"/>
      <c r="S10" s="91"/>
      <c r="T10" s="90"/>
      <c r="U10" s="91"/>
      <c r="V10" s="90"/>
    </row>
    <row r="11" spans="1:22" ht="12.75" customHeight="1">
      <c r="A11" s="90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1:22" ht="12.75" customHeight="1">
      <c r="A12" s="90" t="s">
        <v>450</v>
      </c>
      <c r="B12" s="90"/>
      <c r="C12" s="92"/>
      <c r="D12" s="90"/>
      <c r="E12" s="92"/>
      <c r="F12" s="90"/>
      <c r="G12" s="92"/>
      <c r="H12" s="90"/>
      <c r="I12" s="92"/>
      <c r="J12" s="90"/>
      <c r="K12" s="92"/>
      <c r="L12" s="90"/>
      <c r="M12" s="92"/>
      <c r="N12" s="90"/>
      <c r="O12" s="92"/>
      <c r="P12" s="90"/>
      <c r="Q12" s="92"/>
      <c r="R12" s="90"/>
      <c r="S12" s="92"/>
      <c r="T12" s="90"/>
      <c r="U12" s="92"/>
      <c r="V12" s="90"/>
    </row>
    <row r="13" spans="1:22" ht="12.75" customHeight="1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1:22" ht="12.75" customHeight="1">
      <c r="A14" s="90" t="s">
        <v>451</v>
      </c>
      <c r="B14" s="90"/>
      <c r="C14" s="124">
        <f>C12*C10*C8</f>
        <v>0</v>
      </c>
      <c r="D14" s="90"/>
      <c r="E14" s="124">
        <f>E12*E10*E8</f>
        <v>0</v>
      </c>
      <c r="F14" s="90"/>
      <c r="G14" s="124">
        <f>G12*G10*G8</f>
        <v>0</v>
      </c>
      <c r="H14" s="90"/>
      <c r="I14" s="124">
        <f>I12*I10*I8</f>
        <v>0</v>
      </c>
      <c r="J14" s="90"/>
      <c r="K14" s="124">
        <f>K12*K10*K8</f>
        <v>0</v>
      </c>
      <c r="L14" s="90"/>
      <c r="M14" s="124">
        <f>M12*M10*M8</f>
        <v>0</v>
      </c>
      <c r="N14" s="90"/>
      <c r="O14" s="124">
        <f>O12*O10*O8</f>
        <v>0</v>
      </c>
      <c r="P14" s="90"/>
      <c r="Q14" s="124">
        <f>Q12*Q10*Q8</f>
        <v>0</v>
      </c>
      <c r="R14" s="90"/>
      <c r="S14" s="124">
        <f>S12*S10*S8</f>
        <v>0</v>
      </c>
      <c r="T14" s="90"/>
      <c r="U14" s="124">
        <f>U12*U10*U8</f>
        <v>0</v>
      </c>
      <c r="V14" s="90"/>
    </row>
    <row r="16" spans="1:22" ht="12.75" customHeight="1">
      <c r="B16" s="35"/>
      <c r="C16" s="86" t="str">
        <f>C6</f>
        <v>FY 2018-19</v>
      </c>
      <c r="D16" s="86" t="s">
        <v>353</v>
      </c>
      <c r="E16" s="86" t="str">
        <f>E6</f>
        <v>FY 2019-20</v>
      </c>
      <c r="F16" s="86" t="s">
        <v>353</v>
      </c>
      <c r="G16" s="86" t="str">
        <f>G6</f>
        <v>FY 2020-21</v>
      </c>
      <c r="H16" s="86" t="s">
        <v>353</v>
      </c>
      <c r="I16" s="86" t="str">
        <f>I6</f>
        <v>FY 2021-22</v>
      </c>
      <c r="J16" s="86" t="s">
        <v>353</v>
      </c>
      <c r="K16" s="86" t="str">
        <f>K6</f>
        <v>FY 2022-23</v>
      </c>
      <c r="L16" s="86" t="s">
        <v>353</v>
      </c>
      <c r="M16" s="86" t="str">
        <f>M6</f>
        <v>FY 2023-24</v>
      </c>
      <c r="N16" s="86" t="s">
        <v>353</v>
      </c>
      <c r="O16" s="86" t="str">
        <f>O6</f>
        <v>FY 2024-25</v>
      </c>
      <c r="P16" s="86" t="s">
        <v>353</v>
      </c>
      <c r="Q16" s="86" t="str">
        <f>Q6</f>
        <v>FY 2025-26</v>
      </c>
      <c r="R16" s="86" t="s">
        <v>353</v>
      </c>
      <c r="S16" s="86" t="str">
        <f>S6</f>
        <v>FY 2026-27</v>
      </c>
      <c r="T16" s="86" t="s">
        <v>353</v>
      </c>
      <c r="U16" s="86" t="str">
        <f>U6</f>
        <v>FY 2027-28</v>
      </c>
      <c r="V16" s="86" t="s">
        <v>353</v>
      </c>
    </row>
    <row r="17" spans="1:24" ht="12.75" customHeight="1">
      <c r="A17" s="1" t="s">
        <v>354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355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</row>
    <row r="19" spans="1:24" ht="12.75" customHeight="1">
      <c r="A19" s="2" t="s">
        <v>356</v>
      </c>
      <c r="B19" s="35"/>
      <c r="C19" s="79">
        <f>'Fresh Food Co.'!C19+'Retail Roll Up'!C19+'Catering Roll Up'!C19+'G&amp;A'!C19</f>
        <v>13957444.969915997</v>
      </c>
      <c r="D19" s="80">
        <f>IFERROR(C19/C$28,0)</f>
        <v>0.62374707041687039</v>
      </c>
      <c r="E19" s="79">
        <f>'Fresh Food Co.'!E19+'Retail Roll Up'!E19+'Catering Roll Up'!E19+'G&amp;A'!E19</f>
        <v>8390697.6999999993</v>
      </c>
      <c r="F19" s="80">
        <f>IFERROR(E19/E$28,0)</f>
        <v>0.35260547517402868</v>
      </c>
      <c r="G19" s="79">
        <f>'Fresh Food Co.'!G19+'Retail Roll Up'!G19+'Catering Roll Up'!G19+'G&amp;A'!G19</f>
        <v>10500269.743999997</v>
      </c>
      <c r="H19" s="80">
        <f>IFERROR(G19/G$28,0)</f>
        <v>0.40466115548733311</v>
      </c>
      <c r="I19" s="79">
        <f>'Fresh Food Co.'!I19+'Retail Roll Up'!I19+'Catering Roll Up'!I19+'G&amp;A'!I19</f>
        <v>10719359.738879997</v>
      </c>
      <c r="J19" s="80">
        <f>IFERROR(I19/I$28,0)</f>
        <v>0.40112091591162607</v>
      </c>
      <c r="K19" s="79">
        <f>'Fresh Food Co.'!K19+'Retail Roll Up'!K19+'Catering Roll Up'!K19+'G&amp;A'!K19</f>
        <v>10896094.9956576</v>
      </c>
      <c r="L19" s="80">
        <f>IFERROR(K19/K$28,0)</f>
        <v>0.39650148507671296</v>
      </c>
      <c r="M19" s="79">
        <f>'Fresh Food Co.'!M19+'Retail Roll Up'!M19+'Catering Roll Up'!M19+'G&amp;A'!M19</f>
        <v>11075988.438190749</v>
      </c>
      <c r="N19" s="80">
        <f>IFERROR(M19/M$28,0)</f>
        <v>0.39566803931135203</v>
      </c>
      <c r="O19" s="79">
        <f>'Fresh Food Co.'!O19+'Retail Roll Up'!O19+'Catering Roll Up'!O19+'G&amp;A'!O19</f>
        <v>11259099.465000765</v>
      </c>
      <c r="P19" s="80">
        <f>IFERROR(O19/O$28,0)</f>
        <v>0.39485816708228044</v>
      </c>
      <c r="Q19" s="79">
        <f>'Fresh Food Co.'!Q19+'Retail Roll Up'!Q19+'Catering Roll Up'!Q19+'G&amp;A'!Q19</f>
        <v>11445488.624927443</v>
      </c>
      <c r="R19" s="80">
        <f>IFERROR(Q19/Q$28,0)</f>
        <v>0.39405782329218653</v>
      </c>
      <c r="S19" s="79">
        <f>'Fresh Food Co.'!S19+'Retail Roll Up'!S19+'Catering Roll Up'!S19+'G&amp;A'!S19</f>
        <v>11635217.639758922</v>
      </c>
      <c r="T19" s="80">
        <f>IFERROR(S19/S$28,0)</f>
        <v>0.3932540696169794</v>
      </c>
      <c r="U19" s="79">
        <f>'Fresh Food Co.'!U19+'Retail Roll Up'!U19+'Catering Roll Up'!U19+'G&amp;A'!U19</f>
        <v>12592021.922508549</v>
      </c>
      <c r="V19" s="80">
        <f>IFERROR(U19/U$28,0)</f>
        <v>0.40746153291049514</v>
      </c>
    </row>
    <row r="20" spans="1:24" ht="12.75" customHeight="1">
      <c r="A20" s="2" t="s">
        <v>357</v>
      </c>
      <c r="B20" s="35"/>
      <c r="C20" s="79">
        <f>'Fresh Food Co.'!C20+'Retail Roll Up'!C20+'Catering Roll Up'!C20+'G&amp;A'!C20</f>
        <v>1992907.5632439996</v>
      </c>
      <c r="D20" s="80">
        <f>IFERROR(C20/C$28,0)</f>
        <v>8.9061447626295032E-2</v>
      </c>
      <c r="E20" s="79">
        <f>'Fresh Food Co.'!E20+'Retail Roll Up'!E20+'Catering Roll Up'!E20+'G&amp;A'!E20</f>
        <v>9170834.2999999989</v>
      </c>
      <c r="F20" s="80">
        <f>IFERROR(E20/E$28,0)</f>
        <v>0.38538945171314903</v>
      </c>
      <c r="G20" s="79">
        <f>'Fresh Food Co.'!G20+'Retail Roll Up'!G20+'Catering Roll Up'!G20+'G&amp;A'!G20</f>
        <v>8891906.6360000018</v>
      </c>
      <c r="H20" s="80">
        <f>IFERROR(G20/G$28,0)</f>
        <v>0.34267778843160801</v>
      </c>
      <c r="I20" s="79">
        <f>'Fresh Food Co.'!I20+'Retail Roll Up'!I20+'Catering Roll Up'!I20+'G&amp;A'!I20</f>
        <v>9069744.7687200028</v>
      </c>
      <c r="J20" s="80">
        <f>IFERROR(I20/I$28,0)</f>
        <v>0.33939194292715907</v>
      </c>
      <c r="K20" s="79">
        <f>'Fresh Food Co.'!K20+'Retail Roll Up'!K20+'Catering Roll Up'!K20+'G&amp;A'!K20</f>
        <v>9251139.6640944015</v>
      </c>
      <c r="L20" s="80">
        <f>IFERROR(K20/K$28,0)</f>
        <v>0.33664267950374432</v>
      </c>
      <c r="M20" s="79">
        <f>'Fresh Food Co.'!M20+'Retail Roll Up'!M20+'Catering Roll Up'!M20+'G&amp;A'!M20</f>
        <v>9436162.4573762901</v>
      </c>
      <c r="N20" s="80">
        <f>IFERROR(M20/M$28,0)</f>
        <v>0.33708846113090957</v>
      </c>
      <c r="O20" s="79">
        <f>'Fresh Food Co.'!O20+'Retail Roll Up'!O20+'Catering Roll Up'!O20+'G&amp;A'!O20</f>
        <v>9624885.7065238152</v>
      </c>
      <c r="P20" s="80">
        <f>IFERROR(O20/O$28,0)</f>
        <v>0.33754606576381063</v>
      </c>
      <c r="Q20" s="79">
        <f>'Fresh Food Co.'!Q20+'Retail Roll Up'!Q20+'Catering Roll Up'!Q20+'G&amp;A'!Q20</f>
        <v>9817383.4206542913</v>
      </c>
      <c r="R20" s="80">
        <f>IFERROR(Q20/Q$28,0)</f>
        <v>0.3380036333916111</v>
      </c>
      <c r="S20" s="79">
        <f>'Fresh Food Co.'!S20+'Retail Roll Up'!S20+'Catering Roll Up'!S20+'G&amp;A'!S20</f>
        <v>10013731.089067377</v>
      </c>
      <c r="T20" s="80">
        <f>IFERROR(S20/S$28,0)</f>
        <v>0.33845009390880687</v>
      </c>
      <c r="U20" s="79">
        <f>'Fresh Food Co.'!U20+'Retail Roll Up'!U20+'Catering Roll Up'!U20+'G&amp;A'!U20</f>
        <v>10214005.710848726</v>
      </c>
      <c r="V20" s="80">
        <f>IFERROR(U20/U$28,0)</f>
        <v>0.33051200591222196</v>
      </c>
    </row>
    <row r="21" spans="1:24" ht="12.75" customHeight="1">
      <c r="A21" s="2" t="s">
        <v>358</v>
      </c>
      <c r="B21" s="35"/>
      <c r="C21" s="79">
        <f>'Fresh Food Co.'!C21+'Retail Roll Up'!C21+'Catering Roll Up'!C21+'G&amp;A'!C21</f>
        <v>147446.84683999998</v>
      </c>
      <c r="D21" s="80">
        <f>IFERROR(C21/C$28,0)</f>
        <v>6.5892818461320782E-3</v>
      </c>
      <c r="E21" s="79">
        <f>'Fresh Food Co.'!E21+'Retail Roll Up'!E21+'Catering Roll Up'!E21+'G&amp;A'!E21</f>
        <v>136968</v>
      </c>
      <c r="F21" s="80">
        <f>IFERROR(E21/E$28,0)</f>
        <v>5.755858267142238E-3</v>
      </c>
      <c r="G21" s="79">
        <f>'Fresh Food Co.'!G21+'Retail Roll Up'!G21+'Catering Roll Up'!G21+'G&amp;A'!G21</f>
        <v>138553.62</v>
      </c>
      <c r="H21" s="80">
        <f>IFERROR(G21/G$28,0)</f>
        <v>5.3396026324171817E-3</v>
      </c>
      <c r="I21" s="79">
        <f>'Fresh Food Co.'!I21+'Retail Roll Up'!I21+'Catering Roll Up'!I21+'G&amp;A'!I21</f>
        <v>141324.6924</v>
      </c>
      <c r="J21" s="80">
        <f>IFERROR(I21/I$28,0)</f>
        <v>5.288402613339278E-3</v>
      </c>
      <c r="K21" s="79">
        <f>'Fresh Food Co.'!K21+'Retail Roll Up'!K21+'Catering Roll Up'!K21+'G&amp;A'!K21</f>
        <v>144151.18624800001</v>
      </c>
      <c r="L21" s="80">
        <f>IFERROR(K21/K$28,0)</f>
        <v>5.2455636120720484E-3</v>
      </c>
      <c r="M21" s="79">
        <f>'Fresh Food Co.'!M21+'Retail Roll Up'!M21+'Catering Roll Up'!M21+'G&amp;A'!M21</f>
        <v>147034.20997296</v>
      </c>
      <c r="N21" s="80">
        <f>IFERROR(M21/M$28,0)</f>
        <v>5.2525097779171958E-3</v>
      </c>
      <c r="O21" s="79">
        <f>'Fresh Food Co.'!O21+'Retail Roll Up'!O21+'Catering Roll Up'!O21+'G&amp;A'!O21</f>
        <v>149974.89417241921</v>
      </c>
      <c r="P21" s="80">
        <f>IFERROR(O21/O$28,0)</f>
        <v>5.2596401697457074E-3</v>
      </c>
      <c r="Q21" s="79">
        <f>'Fresh Food Co.'!Q21+'Retail Roll Up'!Q21+'Catering Roll Up'!Q21+'G&amp;A'!Q21</f>
        <v>152974.39205586759</v>
      </c>
      <c r="R21" s="80">
        <f>IFERROR(Q21/Q$28,0)</f>
        <v>5.2667699849610287E-3</v>
      </c>
      <c r="S21" s="79">
        <f>'Fresh Food Co.'!S21+'Retail Roll Up'!S21+'Catering Roll Up'!S21+'G&amp;A'!S21</f>
        <v>156033.87989698493</v>
      </c>
      <c r="T21" s="80">
        <f>IFERROR(S21/S$28,0)</f>
        <v>5.2737267292653489E-3</v>
      </c>
      <c r="U21" s="79">
        <f>'Fresh Food Co.'!U21+'Retail Roll Up'!U21+'Catering Roll Up'!U21+'G&amp;A'!U21</f>
        <v>159154.55749492464</v>
      </c>
      <c r="V21" s="80">
        <f>IFERROR(U21/U$28,0)</f>
        <v>5.1500355038815258E-3</v>
      </c>
    </row>
    <row r="22" spans="1:24" ht="12.75" customHeight="1">
      <c r="A22" s="2" t="s">
        <v>359</v>
      </c>
      <c r="B22" s="35"/>
      <c r="C22" s="79"/>
      <c r="D22" s="80"/>
      <c r="E22" s="79"/>
      <c r="F22" s="80"/>
      <c r="G22" s="79"/>
      <c r="H22" s="80"/>
      <c r="I22" s="79"/>
      <c r="J22" s="80"/>
      <c r="K22" s="79"/>
      <c r="L22" s="80"/>
      <c r="M22" s="79"/>
      <c r="N22" s="80"/>
      <c r="O22" s="79"/>
      <c r="P22" s="80"/>
      <c r="Q22" s="79"/>
      <c r="R22" s="80"/>
      <c r="S22" s="79"/>
      <c r="T22" s="80"/>
      <c r="U22" s="79"/>
      <c r="V22" s="80"/>
    </row>
    <row r="23" spans="1:24" ht="12.75" customHeight="1">
      <c r="A23" s="2" t="s">
        <v>360</v>
      </c>
      <c r="B23" s="35"/>
      <c r="C23" s="79">
        <f>'Fresh Food Co.'!C23+'Retail Roll Up'!C23+'Catering Roll Up'!C23+'G&amp;A'!C23</f>
        <v>4110896</v>
      </c>
      <c r="D23" s="80">
        <f t="shared" ref="D23:D28" si="0">IFERROR(C23/C$28,0)</f>
        <v>0.18371265961035441</v>
      </c>
      <c r="E23" s="79">
        <f>'Fresh Food Co.'!E23+'Retail Roll Up'!E23+'Catering Roll Up'!E23+'G&amp;A'!E23</f>
        <v>0</v>
      </c>
      <c r="F23" s="80">
        <f t="shared" ref="F23:F28" si="1">IFERROR(E23/E$28,0)</f>
        <v>0</v>
      </c>
      <c r="G23" s="79">
        <f>'Fresh Food Co.'!G23+'Retail Roll Up'!G23+'Catering Roll Up'!G23+'G&amp;A'!G23</f>
        <v>0</v>
      </c>
      <c r="H23" s="80">
        <f t="shared" ref="H23:H28" si="2">IFERROR(G23/G$28,0)</f>
        <v>0</v>
      </c>
      <c r="I23" s="79">
        <f>'Fresh Food Co.'!I23+'Retail Roll Up'!I23+'Catering Roll Up'!I23+'G&amp;A'!I23</f>
        <v>0</v>
      </c>
      <c r="J23" s="80">
        <f t="shared" ref="J23:J28" si="3">IFERROR(I23/I$28,0)</f>
        <v>0</v>
      </c>
      <c r="K23" s="79">
        <f>'Fresh Food Co.'!K23+'Retail Roll Up'!K23+'Catering Roll Up'!K23+'G&amp;A'!K23</f>
        <v>0</v>
      </c>
      <c r="L23" s="80">
        <f t="shared" ref="L23:L28" si="4">IFERROR(K23/K$28,0)</f>
        <v>0</v>
      </c>
      <c r="M23" s="79">
        <f>'Fresh Food Co.'!M23+'Retail Roll Up'!M23+'Catering Roll Up'!M23+'G&amp;A'!M23</f>
        <v>0</v>
      </c>
      <c r="N23" s="80">
        <f t="shared" ref="N23:N28" si="5">IFERROR(M23/M$28,0)</f>
        <v>0</v>
      </c>
      <c r="O23" s="79">
        <f>'Fresh Food Co.'!O23+'Retail Roll Up'!O23+'Catering Roll Up'!O23+'G&amp;A'!O23</f>
        <v>0</v>
      </c>
      <c r="P23" s="80">
        <f t="shared" ref="P23:P28" si="6">IFERROR(O23/O$28,0)</f>
        <v>0</v>
      </c>
      <c r="Q23" s="79">
        <f>'Fresh Food Co.'!Q23+'Retail Roll Up'!Q23+'Catering Roll Up'!Q23+'G&amp;A'!Q23</f>
        <v>0</v>
      </c>
      <c r="R23" s="80">
        <f t="shared" ref="R23:R28" si="7">IFERROR(Q23/Q$28,0)</f>
        <v>0</v>
      </c>
      <c r="S23" s="79">
        <f>'Fresh Food Co.'!S23+'Retail Roll Up'!S23+'Catering Roll Up'!S23+'G&amp;A'!S23</f>
        <v>0</v>
      </c>
      <c r="T23" s="80">
        <f t="shared" ref="T23:T28" si="8">IFERROR(S23/S$28,0)</f>
        <v>0</v>
      </c>
      <c r="U23" s="79">
        <f>'Fresh Food Co.'!U23+'Retail Roll Up'!U23+'Catering Roll Up'!U23+'G&amp;A'!U23</f>
        <v>0</v>
      </c>
      <c r="V23" s="80">
        <f t="shared" ref="V23:V28" si="9">IFERROR(U23/U$28,0)</f>
        <v>0</v>
      </c>
    </row>
    <row r="24" spans="1:24" ht="12.75" customHeight="1">
      <c r="A24" s="2" t="s">
        <v>361</v>
      </c>
      <c r="B24" s="35"/>
      <c r="C24" s="79">
        <f>'Fresh Food Co.'!C24+'Retail Roll Up'!C24+'Catering Roll Up'!C24+'G&amp;A'!C24</f>
        <v>559305</v>
      </c>
      <c r="D24" s="80">
        <f t="shared" si="0"/>
        <v>2.4994893834183417E-2</v>
      </c>
      <c r="E24" s="79">
        <f>'Fresh Food Co.'!E24+'Retail Roll Up'!E24+'Catering Roll Up'!E24+'G&amp;A'!E24</f>
        <v>4436032</v>
      </c>
      <c r="F24" s="80">
        <f t="shared" si="1"/>
        <v>0.18641705698051747</v>
      </c>
      <c r="G24" s="79">
        <f>'Fresh Food Co.'!G24+'Retail Roll Up'!G24+'Catering Roll Up'!G24+'G&amp;A'!G24</f>
        <v>4753446.38</v>
      </c>
      <c r="H24" s="80">
        <f t="shared" si="2"/>
        <v>0.18318911338225535</v>
      </c>
      <c r="I24" s="79">
        <f>'Fresh Food Co.'!I24+'Retail Roll Up'!I24+'Catering Roll Up'!I24+'G&amp;A'!I24</f>
        <v>5095675.3075999999</v>
      </c>
      <c r="J24" s="80">
        <f t="shared" si="3"/>
        <v>0.19068134630831343</v>
      </c>
      <c r="K24" s="79">
        <f>'Fresh Food Co.'!K24+'Retail Roll Up'!K24+'Catering Roll Up'!K24+'G&amp;A'!K24</f>
        <v>5457848.8137520002</v>
      </c>
      <c r="L24" s="80">
        <f t="shared" si="4"/>
        <v>0.19860740575768449</v>
      </c>
      <c r="M24" s="79">
        <f>'Fresh Food Co.'!M24+'Retail Roll Up'!M24+'Catering Roll Up'!M24+'G&amp;A'!M24</f>
        <v>5567965.7900270401</v>
      </c>
      <c r="N24" s="80">
        <f t="shared" si="5"/>
        <v>0.19890469544879288</v>
      </c>
      <c r="O24" s="79">
        <f>'Fresh Food Co.'!O24+'Retail Roll Up'!O24+'Catering Roll Up'!O24+'G&amp;A'!O24</f>
        <v>5679025.1058275811</v>
      </c>
      <c r="P24" s="80">
        <f t="shared" si="6"/>
        <v>0.19916419168974628</v>
      </c>
      <c r="Q24" s="79">
        <f>'Fresh Food Co.'!Q24+'Retail Roll Up'!Q24+'Catering Roll Up'!Q24+'G&amp;A'!Q24</f>
        <v>5792025.6079441328</v>
      </c>
      <c r="R24" s="80">
        <f t="shared" si="7"/>
        <v>0.19941420399896095</v>
      </c>
      <c r="S24" s="79">
        <f>'Fresh Food Co.'!S24+'Retail Roll Up'!S24+'Catering Roll Up'!S24+'G&amp;A'!S24</f>
        <v>5907966.1201030146</v>
      </c>
      <c r="T24" s="80">
        <f t="shared" si="8"/>
        <v>0.19968098507677637</v>
      </c>
      <c r="U24" s="79">
        <f>'Fresh Food Co.'!U24+'Retail Roll Up'!U24+'Catering Roll Up'!U24+'G&amp;A'!U24</f>
        <v>6026845.4425050756</v>
      </c>
      <c r="V24" s="80">
        <f t="shared" si="9"/>
        <v>0.19502091862055226</v>
      </c>
    </row>
    <row r="25" spans="1:24" ht="12.75" customHeight="1">
      <c r="A25" s="2" t="s">
        <v>362</v>
      </c>
      <c r="B25" s="35"/>
      <c r="C25" s="79">
        <f>'Fresh Food Co.'!C25+'Retail Roll Up'!C25+'Catering Roll Up'!C25+'G&amp;A'!C25</f>
        <v>1141370</v>
      </c>
      <c r="D25" s="80">
        <f t="shared" si="0"/>
        <v>5.1006913894068404E-2</v>
      </c>
      <c r="E25" s="79">
        <f>'Fresh Food Co.'!E25+'Retail Roll Up'!E25+'Catering Roll Up'!E25+'G&amp;A'!E25</f>
        <v>1178197.3999999999</v>
      </c>
      <c r="F25" s="80">
        <f t="shared" si="1"/>
        <v>4.9511836670722287E-2</v>
      </c>
      <c r="G25" s="79">
        <f>'Fresh Food Co.'!G25+'Retail Roll Up'!G25+'Catering Roll Up'!G25+'G&amp;A'!G25</f>
        <v>1201761.348</v>
      </c>
      <c r="H25" s="80">
        <f t="shared" si="2"/>
        <v>4.6313680272792729E-2</v>
      </c>
      <c r="I25" s="79">
        <f>'Fresh Food Co.'!I25+'Retail Roll Up'!I25+'Catering Roll Up'!I25+'G&amp;A'!I25</f>
        <v>1225796.5749600001</v>
      </c>
      <c r="J25" s="80">
        <f t="shared" si="3"/>
        <v>4.5869590800827392E-2</v>
      </c>
      <c r="K25" s="79">
        <f>'Fresh Food Co.'!K25+'Retail Roll Up'!K25+'Catering Roll Up'!K25+'G&amp;A'!K25</f>
        <v>1250312.5064592003</v>
      </c>
      <c r="L25" s="80">
        <f t="shared" si="4"/>
        <v>4.5498021614039777E-2</v>
      </c>
      <c r="M25" s="79">
        <f>'Fresh Food Co.'!M25+'Retail Roll Up'!M25+'Catering Roll Up'!M25+'G&amp;A'!M25</f>
        <v>1275318.756588384</v>
      </c>
      <c r="N25" s="80">
        <f t="shared" si="5"/>
        <v>4.5558270011948808E-2</v>
      </c>
      <c r="O25" s="79">
        <f>'Fresh Food Co.'!O25+'Retail Roll Up'!O25+'Catering Roll Up'!O25+'G&amp;A'!O25</f>
        <v>1300825.1317201518</v>
      </c>
      <c r="P25" s="80">
        <f t="shared" si="6"/>
        <v>4.5620116315896693E-2</v>
      </c>
      <c r="Q25" s="79">
        <f>'Fresh Food Co.'!Q25+'Retail Roll Up'!Q25+'Catering Roll Up'!Q25+'G&amp;A'!Q25</f>
        <v>1326841.6343545548</v>
      </c>
      <c r="R25" s="80">
        <f t="shared" si="7"/>
        <v>4.5681957618521306E-2</v>
      </c>
      <c r="S25" s="79">
        <f>'Fresh Food Co.'!S25+'Retail Roll Up'!S25+'Catering Roll Up'!S25+'G&amp;A'!S25</f>
        <v>1353378.4670416459</v>
      </c>
      <c r="T25" s="80">
        <f t="shared" si="8"/>
        <v>4.5742297769957634E-2</v>
      </c>
      <c r="U25" s="79">
        <f>'Fresh Food Co.'!U25+'Retail Roll Up'!U25+'Catering Roll Up'!U25+'G&amp;A'!U25</f>
        <v>1380446.0363824787</v>
      </c>
      <c r="V25" s="80">
        <f t="shared" si="9"/>
        <v>4.4669447174260198E-2</v>
      </c>
    </row>
    <row r="26" spans="1:24" ht="12.75" customHeight="1">
      <c r="A26" s="2" t="s">
        <v>363</v>
      </c>
      <c r="B26" s="35"/>
      <c r="C26" s="79">
        <f>'Fresh Food Co.'!C26+'Retail Roll Up'!C26+'Catering Roll Up'!C26+'G&amp;A'!C26</f>
        <v>120400</v>
      </c>
      <c r="D26" s="80">
        <f t="shared" si="0"/>
        <v>5.3805798582806938E-3</v>
      </c>
      <c r="E26" s="79">
        <f>'Fresh Food Co.'!E26+'Retail Roll Up'!E26+'Catering Roll Up'!E26+'G&amp;A'!E26</f>
        <v>122808</v>
      </c>
      <c r="F26" s="80">
        <f t="shared" si="1"/>
        <v>5.1608072109631739E-3</v>
      </c>
      <c r="G26" s="79">
        <f>'Fresh Food Co.'!G26+'Retail Roll Up'!G26+'Catering Roll Up'!G26+'G&amp;A'!G26</f>
        <v>125264.16</v>
      </c>
      <c r="H26" s="80">
        <f t="shared" si="2"/>
        <v>4.8274511953099964E-3</v>
      </c>
      <c r="I26" s="79">
        <f>'Fresh Food Co.'!I26+'Retail Roll Up'!I26+'Catering Roll Up'!I26+'G&amp;A'!I26</f>
        <v>127769.44320000001</v>
      </c>
      <c r="J26" s="80">
        <f t="shared" si="3"/>
        <v>4.7811620591490106E-3</v>
      </c>
      <c r="K26" s="79">
        <f>'Fresh Food Co.'!K26+'Retail Roll Up'!K26+'Catering Roll Up'!K26+'G&amp;A'!K26</f>
        <v>130324.83206400002</v>
      </c>
      <c r="L26" s="80">
        <f t="shared" si="4"/>
        <v>4.742431988372234E-3</v>
      </c>
      <c r="M26" s="79">
        <f>'Fresh Food Co.'!M26+'Retail Roll Up'!M26+'Catering Roll Up'!M26+'G&amp;A'!M26</f>
        <v>132931.32870528003</v>
      </c>
      <c r="N26" s="80">
        <f t="shared" si="5"/>
        <v>4.7487119082315152E-3</v>
      </c>
      <c r="O26" s="79">
        <f>'Fresh Food Co.'!O26+'Retail Roll Up'!O26+'Catering Roll Up'!O26+'G&amp;A'!O26</f>
        <v>135589.95527938564</v>
      </c>
      <c r="P26" s="80">
        <f t="shared" si="6"/>
        <v>4.7551583839199121E-3</v>
      </c>
      <c r="Q26" s="79">
        <f>'Fresh Food Co.'!Q26+'Retail Roll Up'!Q26+'Catering Roll Up'!Q26+'G&amp;A'!Q26</f>
        <v>138301.75438497335</v>
      </c>
      <c r="R26" s="80">
        <f t="shared" si="7"/>
        <v>4.7616043383013453E-3</v>
      </c>
      <c r="S26" s="79">
        <f>'Fresh Food Co.'!S26+'Retail Roll Up'!S26+'Catering Roll Up'!S26+'G&amp;A'!S26</f>
        <v>141067.78947267283</v>
      </c>
      <c r="T26" s="80">
        <f t="shared" si="8"/>
        <v>4.7678938219800505E-3</v>
      </c>
      <c r="U26" s="79">
        <f>'Fresh Food Co.'!U26+'Retail Roll Up'!U26+'Catering Roll Up'!U26+'G&amp;A'!U26</f>
        <v>143889.14526212629</v>
      </c>
      <c r="V26" s="80">
        <f t="shared" si="9"/>
        <v>4.6560665204120706E-3</v>
      </c>
    </row>
    <row r="27" spans="1:24" ht="12.75" customHeight="1">
      <c r="A27" s="2" t="s">
        <v>460</v>
      </c>
      <c r="B27" s="35"/>
      <c r="C27" s="79">
        <f>'Fresh Food Co.'!C27+'Retail Roll Up'!C27+'Catering Roll Up'!C27+'G&amp;A'!C27</f>
        <v>347000</v>
      </c>
      <c r="D27" s="80">
        <f t="shared" si="0"/>
        <v>1.550715291381562E-2</v>
      </c>
      <c r="E27" s="79">
        <f>'Fresh Food Co.'!E27+'Retail Roll Up'!E27+'Catering Roll Up'!E27+'G&amp;A'!E27</f>
        <v>360740</v>
      </c>
      <c r="F27" s="80">
        <f t="shared" si="1"/>
        <v>1.5159513983477098E-2</v>
      </c>
      <c r="G27" s="79">
        <f>'Fresh Food Co.'!G27+'Retail Roll Up'!G27+'Catering Roll Up'!G27+'G&amp;A'!G27</f>
        <v>337099.8</v>
      </c>
      <c r="H27" s="80">
        <f t="shared" si="2"/>
        <v>1.2991208598283505E-2</v>
      </c>
      <c r="I27" s="79">
        <f>'Fresh Food Co.'!I27+'Retail Roll Up'!I27+'Catering Roll Up'!I27+'G&amp;A'!I27</f>
        <v>343841.79599999997</v>
      </c>
      <c r="J27" s="80">
        <f t="shared" si="3"/>
        <v>1.2866639379585664E-2</v>
      </c>
      <c r="K27" s="79">
        <f>'Fresh Food Co.'!K27+'Retail Roll Up'!K27+'Catering Roll Up'!K27+'G&amp;A'!K27</f>
        <v>350718.63192000001</v>
      </c>
      <c r="L27" s="80">
        <f t="shared" si="4"/>
        <v>1.2762412447374272E-2</v>
      </c>
      <c r="M27" s="79">
        <f>'Fresh Food Co.'!M27+'Retail Roll Up'!M27+'Catering Roll Up'!M27+'G&amp;A'!M27</f>
        <v>357733.00455840002</v>
      </c>
      <c r="N27" s="80">
        <f t="shared" si="5"/>
        <v>1.2779312410848098E-2</v>
      </c>
      <c r="O27" s="79">
        <f>'Fresh Food Co.'!O27+'Retail Roll Up'!O27+'Catering Roll Up'!O27+'G&amp;A'!O27</f>
        <v>364887.66464956797</v>
      </c>
      <c r="P27" s="80">
        <f t="shared" si="6"/>
        <v>1.2796660594600443E-2</v>
      </c>
      <c r="Q27" s="79">
        <f>'Fresh Food Co.'!Q27+'Retail Roll Up'!Q27+'Catering Roll Up'!Q27+'G&amp;A'!Q27</f>
        <v>372185.41794255946</v>
      </c>
      <c r="R27" s="80">
        <f t="shared" si="7"/>
        <v>1.2814007375457719E-2</v>
      </c>
      <c r="S27" s="79">
        <f>'Fresh Food Co.'!S27+'Retail Roll Up'!S27+'Catering Roll Up'!S27+'G&amp;A'!S27</f>
        <v>379629.12630141061</v>
      </c>
      <c r="T27" s="80">
        <f t="shared" si="8"/>
        <v>1.2830933076234339E-2</v>
      </c>
      <c r="U27" s="79">
        <f>'Fresh Food Co.'!U27+'Retail Roll Up'!U27+'Catering Roll Up'!U27+'G&amp;A'!U27</f>
        <v>387221.70882743882</v>
      </c>
      <c r="V27" s="80">
        <f t="shared" si="9"/>
        <v>1.2529993358176868E-2</v>
      </c>
    </row>
    <row r="28" spans="1:24" ht="12.75" customHeight="1">
      <c r="A28" s="1" t="s">
        <v>365</v>
      </c>
      <c r="B28" s="53"/>
      <c r="C28" s="82">
        <f>SUM(C19:C27)</f>
        <v>22376770.379999995</v>
      </c>
      <c r="D28" s="83">
        <f t="shared" si="0"/>
        <v>1</v>
      </c>
      <c r="E28" s="82">
        <f>SUM(E19:E27)</f>
        <v>23796277.399999999</v>
      </c>
      <c r="F28" s="83">
        <f t="shared" si="1"/>
        <v>1</v>
      </c>
      <c r="G28" s="82">
        <f>SUM(G19:G27)</f>
        <v>25948301.688000001</v>
      </c>
      <c r="H28" s="83">
        <f t="shared" si="2"/>
        <v>1</v>
      </c>
      <c r="I28" s="82">
        <f>SUM(I19:I27)</f>
        <v>26723512.321760003</v>
      </c>
      <c r="J28" s="83">
        <f t="shared" si="3"/>
        <v>1</v>
      </c>
      <c r="K28" s="82">
        <f>SUM(K19:K27)</f>
        <v>27480590.6301952</v>
      </c>
      <c r="L28" s="83">
        <f t="shared" si="4"/>
        <v>1</v>
      </c>
      <c r="M28" s="82">
        <f>SUM(M19:M27)</f>
        <v>27993133.985419102</v>
      </c>
      <c r="N28" s="83">
        <f t="shared" si="5"/>
        <v>1</v>
      </c>
      <c r="O28" s="82">
        <f>SUM(O19:O27)</f>
        <v>28514287.923173685</v>
      </c>
      <c r="P28" s="83">
        <f t="shared" si="6"/>
        <v>1</v>
      </c>
      <c r="Q28" s="82">
        <f>SUM(Q19:Q27)</f>
        <v>29045200.852263823</v>
      </c>
      <c r="R28" s="83">
        <f t="shared" si="7"/>
        <v>1</v>
      </c>
      <c r="S28" s="82">
        <f>SUM(S19:S27)</f>
        <v>29587024.111642029</v>
      </c>
      <c r="T28" s="83">
        <f t="shared" si="8"/>
        <v>1</v>
      </c>
      <c r="U28" s="82">
        <f>SUM(U19:U27)</f>
        <v>30903584.523829319</v>
      </c>
      <c r="V28" s="83">
        <f t="shared" si="9"/>
        <v>1</v>
      </c>
      <c r="X28" s="231"/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366</v>
      </c>
      <c r="B30" s="53"/>
      <c r="C30" s="78"/>
      <c r="D30" s="78"/>
      <c r="E30" s="79"/>
      <c r="F30" s="78"/>
      <c r="G30" s="79"/>
      <c r="H30" s="78"/>
      <c r="I30" s="79"/>
      <c r="J30" s="78"/>
      <c r="K30" s="79"/>
      <c r="L30" s="78"/>
      <c r="M30" s="79"/>
      <c r="N30" s="78"/>
      <c r="O30" s="79"/>
      <c r="P30" s="78"/>
      <c r="Q30" s="79"/>
      <c r="R30" s="78"/>
      <c r="S30" s="79"/>
      <c r="T30" s="78"/>
      <c r="U30" s="79"/>
      <c r="V30" s="78"/>
    </row>
    <row r="31" spans="1:24" ht="12.75" customHeight="1">
      <c r="A31" s="2" t="s">
        <v>367</v>
      </c>
      <c r="B31" s="35"/>
      <c r="C31" s="79">
        <f>'Fresh Food Co.'!C31+'Retail Roll Up'!C31+'Catering Roll Up'!C31+'G&amp;A'!C31</f>
        <v>6352033.2064199997</v>
      </c>
      <c r="D31" s="80">
        <f>IFERROR(C31/C$28,0)</f>
        <v>0.28386729177403308</v>
      </c>
      <c r="E31" s="79">
        <f>'Fresh Food Co.'!E31+'Retail Roll Up'!E31+'Catering Roll Up'!E31+'G&amp;A'!E31</f>
        <v>7179857.3160000006</v>
      </c>
      <c r="F31" s="80">
        <f>IFERROR(E31/E$28,0)</f>
        <v>0.30172186999299316</v>
      </c>
      <c r="G31" s="79">
        <f>'Fresh Food Co.'!G31+'Retail Roll Up'!G31+'Catering Roll Up'!G31+'G&amp;A'!G31</f>
        <v>7971243.2825200018</v>
      </c>
      <c r="H31" s="80">
        <f>IFERROR(G31/G$28,0)</f>
        <v>0.30719710979028608</v>
      </c>
      <c r="I31" s="79">
        <f>'Fresh Food Co.'!I31+'Retail Roll Up'!I31+'Catering Roll Up'!I31+'G&amp;A'!I31</f>
        <v>8071969.1011543991</v>
      </c>
      <c r="J31" s="80">
        <f>IFERROR(I31/I$28,0)</f>
        <v>0.30205494711792369</v>
      </c>
      <c r="K31" s="79">
        <f>'Fresh Food Co.'!K31+'Retail Roll Up'!K31+'Catering Roll Up'!K31+'G&amp;A'!K31</f>
        <v>8276663.0753374901</v>
      </c>
      <c r="L31" s="80">
        <f>IFERROR(K31/K$28,0)</f>
        <v>0.30118213930392146</v>
      </c>
      <c r="M31" s="79">
        <f>'Fresh Food Co.'!M31+'Retail Roll Up'!M31+'Catering Roll Up'!M31+'G&amp;A'!M31</f>
        <v>8430907.9689198378</v>
      </c>
      <c r="N31" s="80">
        <f>IFERROR(M31/M$28,0)</f>
        <v>0.30117770926653942</v>
      </c>
      <c r="O31" s="79">
        <f>'Fresh Food Co.'!O31+'Retail Roll Up'!O31+'Catering Roll Up'!O31+'G&amp;A'!O31</f>
        <v>8687233.3356301766</v>
      </c>
      <c r="P31" s="80">
        <f>IFERROR(O31/O$28,0)</f>
        <v>0.30466246812953113</v>
      </c>
      <c r="Q31" s="79">
        <f>'Fresh Food Co.'!Q31+'Retail Roll Up'!Q31+'Catering Roll Up'!Q31+'G&amp;A'!Q31</f>
        <v>8849177.0988984946</v>
      </c>
      <c r="R31" s="80">
        <f>IFERROR(Q31/Q$28,0)</f>
        <v>0.30466916527481258</v>
      </c>
      <c r="S31" s="79">
        <f>'Fresh Food Co.'!S31+'Retail Roll Up'!S31+'Catering Roll Up'!S31+'G&amp;A'!S31</f>
        <v>9014422.3025482558</v>
      </c>
      <c r="T31" s="80">
        <f>IFERROR(S31/S$28,0)</f>
        <v>0.30467485572505487</v>
      </c>
      <c r="U31" s="79">
        <f>'Fresh Food Co.'!U31+'Retail Roll Up'!U31+'Catering Roll Up'!U31+'G&amp;A'!U31</f>
        <v>9470178.1579499301</v>
      </c>
      <c r="V31" s="80">
        <f>IFERROR(U31/U$28,0)</f>
        <v>0.30644270895654868</v>
      </c>
    </row>
    <row r="32" spans="1:24" ht="12.75" customHeight="1">
      <c r="A32" s="8" t="s">
        <v>368</v>
      </c>
      <c r="B32" s="8"/>
      <c r="C32" s="79">
        <f>'Fresh Food Co.'!C32+'Retail Roll Up'!C32+'Catering Roll Up'!C32+'G&amp;A'!C32</f>
        <v>100000</v>
      </c>
      <c r="D32" s="80">
        <f>IFERROR(C32/C$28,0)</f>
        <v>4.4689201480736657E-3</v>
      </c>
      <c r="E32" s="79">
        <f>'Fresh Food Co.'!E32+'Retail Roll Up'!E32+'Catering Roll Up'!E32+'G&amp;A'!E32</f>
        <v>100000</v>
      </c>
      <c r="F32" s="80">
        <f>IFERROR(E32/E$28,0)</f>
        <v>4.2023379673662743E-3</v>
      </c>
      <c r="G32" s="79">
        <f>'Fresh Food Co.'!G32+'Retail Roll Up'!G32+'Catering Roll Up'!G32+'G&amp;A'!G32</f>
        <v>100000</v>
      </c>
      <c r="H32" s="80">
        <f>IFERROR(G32/G$28,0)</f>
        <v>3.853816762360436E-3</v>
      </c>
      <c r="I32" s="79">
        <f>'Fresh Food Co.'!I32+'Retail Roll Up'!I32+'Catering Roll Up'!I32+'G&amp;A'!I32</f>
        <v>100000</v>
      </c>
      <c r="J32" s="80">
        <f>IFERROR(I32/I$28,0)</f>
        <v>3.7420230842400747E-3</v>
      </c>
      <c r="K32" s="79">
        <f>'Fresh Food Co.'!K32+'Retail Roll Up'!K32+'Catering Roll Up'!K32+'G&amp;A'!K32</f>
        <v>100000</v>
      </c>
      <c r="L32" s="80">
        <f>IFERROR(K32/K$28,0)</f>
        <v>3.6389319773251789E-3</v>
      </c>
      <c r="M32" s="79">
        <f>'Fresh Food Co.'!M32+'Retail Roll Up'!M32+'Catering Roll Up'!M32+'G&amp;A'!M32</f>
        <v>100000</v>
      </c>
      <c r="N32" s="80">
        <f>IFERROR(M32/M$28,0)</f>
        <v>3.5723045533982514E-3</v>
      </c>
      <c r="O32" s="79">
        <f>'Fresh Food Co.'!O32+'Retail Roll Up'!O32+'Catering Roll Up'!O32+'G&amp;A'!O32</f>
        <v>100000</v>
      </c>
      <c r="P32" s="80">
        <f>IFERROR(O32/O$28,0)</f>
        <v>3.5070137563817461E-3</v>
      </c>
      <c r="Q32" s="79">
        <f>'Fresh Food Co.'!Q32+'Retail Roll Up'!Q32+'Catering Roll Up'!Q32+'G&amp;A'!Q32</f>
        <v>100000</v>
      </c>
      <c r="R32" s="80">
        <f>IFERROR(Q32/Q$28,0)</f>
        <v>3.4429095707976783E-3</v>
      </c>
      <c r="S32" s="79">
        <f>'Fresh Food Co.'!S32+'Retail Roll Up'!S32+'Catering Roll Up'!S32+'G&amp;A'!S32</f>
        <v>100000</v>
      </c>
      <c r="T32" s="80">
        <f>IFERROR(S32/S$28,0)</f>
        <v>3.379860023186704E-3</v>
      </c>
      <c r="U32" s="79">
        <f>'Fresh Food Co.'!U32+'Retail Roll Up'!U32+'Catering Roll Up'!U32+'G&amp;A'!U32</f>
        <v>100000</v>
      </c>
      <c r="V32" s="80">
        <f>IFERROR(U32/U$28,0)</f>
        <v>3.2358705807376945E-3</v>
      </c>
    </row>
    <row r="33" spans="1:24" ht="12.75" customHeight="1">
      <c r="A33" s="1" t="s">
        <v>369</v>
      </c>
      <c r="B33" s="53"/>
      <c r="C33" s="82">
        <f>SUM(C31:C32)</f>
        <v>6452033.2064199997</v>
      </c>
      <c r="D33" s="83">
        <f>IFERROR(C33/C$28,0)</f>
        <v>0.28833621192210673</v>
      </c>
      <c r="E33" s="82">
        <f>SUM(E31:E32)</f>
        <v>7279857.3160000006</v>
      </c>
      <c r="F33" s="83">
        <f>IFERROR(E33/E$28,0)</f>
        <v>0.30592420796035941</v>
      </c>
      <c r="G33" s="82">
        <f>SUM(G31:G32)</f>
        <v>8071243.2825200018</v>
      </c>
      <c r="H33" s="83">
        <f>IFERROR(G33/G$28,0)</f>
        <v>0.31105092655264649</v>
      </c>
      <c r="I33" s="82">
        <f>SUM(I31:I32)</f>
        <v>8171969.1011543991</v>
      </c>
      <c r="J33" s="83">
        <f>IFERROR(I33/I$28,0)</f>
        <v>0.30579697020216373</v>
      </c>
      <c r="K33" s="82">
        <f>SUM(K31:K32)</f>
        <v>8376663.0753374901</v>
      </c>
      <c r="L33" s="83">
        <f>IFERROR(K33/K$28,0)</f>
        <v>0.30482107128124664</v>
      </c>
      <c r="M33" s="82">
        <f>SUM(M31:M32)</f>
        <v>8530907.9689198378</v>
      </c>
      <c r="N33" s="83">
        <f>IFERROR(M33/M$28,0)</f>
        <v>0.30475001381993766</v>
      </c>
      <c r="O33" s="82">
        <f>SUM(O31:O32)</f>
        <v>8787233.3356301766</v>
      </c>
      <c r="P33" s="83">
        <f>IFERROR(O33/O$28,0)</f>
        <v>0.30816948188591287</v>
      </c>
      <c r="Q33" s="82">
        <f>SUM(Q31:Q32)</f>
        <v>8949177.0988984946</v>
      </c>
      <c r="R33" s="83">
        <f>IFERROR(Q33/Q$28,0)</f>
        <v>0.30811207484561026</v>
      </c>
      <c r="S33" s="82">
        <f>SUM(S31:S32)</f>
        <v>9114422.3025482558</v>
      </c>
      <c r="T33" s="83">
        <f>IFERROR(S33/S$28,0)</f>
        <v>0.30805471574824161</v>
      </c>
      <c r="U33" s="82">
        <f>SUM(U31:U32)</f>
        <v>9570178.1579499301</v>
      </c>
      <c r="V33" s="83">
        <f>IFERROR(U33/U$28,0)</f>
        <v>0.30967857953728639</v>
      </c>
      <c r="X33" s="231"/>
    </row>
    <row r="34" spans="1:24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4" ht="12.75" customHeight="1">
      <c r="A35" s="1" t="s">
        <v>370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4" ht="12.75" customHeight="1">
      <c r="A36" s="2" t="s">
        <v>371</v>
      </c>
      <c r="B36" s="35"/>
      <c r="C36" s="79">
        <f>'Fresh Food Co.'!C36+'Retail Roll Up'!C36+'Catering Roll Up'!C36+'G&amp;A'!C36</f>
        <v>1261663</v>
      </c>
      <c r="D36" s="80">
        <f t="shared" ref="D36:D46" si="10">IFERROR(C36/C$28,0)</f>
        <v>5.6382712007790659E-2</v>
      </c>
      <c r="E36" s="79">
        <f>'Fresh Food Co.'!E36+'Retail Roll Up'!E36+'Catering Roll Up'!E36+'G&amp;A'!E36</f>
        <v>1377940.4313186812</v>
      </c>
      <c r="F36" s="80">
        <f t="shared" ref="F36:F46" si="11">IFERROR(E36/E$28,0)</f>
        <v>5.7905713912995538E-2</v>
      </c>
      <c r="G36" s="79">
        <f>'Fresh Food Co.'!G36+'Retail Roll Up'!G36+'Catering Roll Up'!G36+'G&amp;A'!G36</f>
        <v>1472558.1726730769</v>
      </c>
      <c r="H36" s="80">
        <f t="shared" ref="H36:H46" si="12">IFERROR(G36/G$28,0)</f>
        <v>5.6749693693983569E-2</v>
      </c>
      <c r="I36" s="79">
        <f>'Fresh Food Co.'!I36+'Retail Roll Up'!I36+'Catering Roll Up'!I36+'G&amp;A'!I36</f>
        <v>1507958.3452799036</v>
      </c>
      <c r="J36" s="80">
        <f t="shared" ref="J36:J46" si="13">IFERROR(I36/I$28,0)</f>
        <v>5.6428149381098643E-2</v>
      </c>
      <c r="K36" s="79">
        <f>'Fresh Food Co.'!K36+'Retail Roll Up'!K36+'Catering Roll Up'!K36+'G&amp;A'!K36</f>
        <v>1544215.246567701</v>
      </c>
      <c r="L36" s="80">
        <f t="shared" ref="L36:L46" si="14">IFERROR(K36/K$28,0)</f>
        <v>5.6192942406082927E-2</v>
      </c>
      <c r="M36" s="79">
        <f>'Fresh Food Co.'!M36+'Retail Roll Up'!M36+'Catering Roll Up'!M36+'G&amp;A'!M36</f>
        <v>1581349.7292408096</v>
      </c>
      <c r="N36" s="80">
        <f t="shared" ref="N36:N46" si="15">IFERROR(M36/M$28,0)</f>
        <v>5.649062838282036E-2</v>
      </c>
      <c r="O36" s="79">
        <f>'Fresh Food Co.'!O36+'Retail Roll Up'!O36+'Catering Roll Up'!O36+'G&amp;A'!O36</f>
        <v>1619383.1560109239</v>
      </c>
      <c r="P36" s="80">
        <f t="shared" ref="P36:P46" si="16">IFERROR(O36/O$28,0)</f>
        <v>5.6791990049831972E-2</v>
      </c>
      <c r="Q36" s="79">
        <f>'Fresh Food Co.'!Q36+'Retail Roll Up'!Q36+'Catering Roll Up'!Q36+'G&amp;A'!Q36</f>
        <v>1658337.4121210731</v>
      </c>
      <c r="R36" s="80">
        <f t="shared" ref="R36:R46" si="17">IFERROR(Q36/Q$28,0)</f>
        <v>5.7095057478034963E-2</v>
      </c>
      <c r="S36" s="79">
        <f>'Fresh Food Co.'!S36+'Retail Roll Up'!S36+'Catering Roll Up'!S36+'G&amp;A'!S36</f>
        <v>1698234.9181781737</v>
      </c>
      <c r="T36" s="80">
        <f t="shared" ref="T36:T46" si="18">IFERROR(S36/S$28,0)</f>
        <v>5.7397963099301529E-2</v>
      </c>
      <c r="U36" s="79">
        <f>'Fresh Food Co.'!U36+'Retail Roll Up'!U36+'Catering Roll Up'!U36+'G&amp;A'!U36</f>
        <v>1739098.6433017831</v>
      </c>
      <c r="V36" s="80">
        <f t="shared" ref="V36:V46" si="19">IFERROR(U36/U$28,0)</f>
        <v>5.6274981368610776E-2</v>
      </c>
    </row>
    <row r="37" spans="1:24" ht="12.75" customHeight="1">
      <c r="A37" s="2" t="s">
        <v>372</v>
      </c>
      <c r="B37" s="35"/>
      <c r="C37" s="79">
        <f>'Fresh Food Co.'!C37+'Retail Roll Up'!C37+'Catering Roll Up'!C37+'G&amp;A'!C37</f>
        <v>3451784</v>
      </c>
      <c r="D37" s="80">
        <f t="shared" si="10"/>
        <v>0.1542574706439831</v>
      </c>
      <c r="E37" s="79">
        <f>'Fresh Food Co.'!E37+'Retail Roll Up'!E37+'Catering Roll Up'!E37+'G&amp;A'!E37</f>
        <v>3484813.98</v>
      </c>
      <c r="F37" s="80">
        <f t="shared" si="11"/>
        <v>0.14644366097362777</v>
      </c>
      <c r="G37" s="79">
        <f>'Fresh Food Co.'!G37+'Retail Roll Up'!G37+'Catering Roll Up'!G37+'G&amp;A'!G37</f>
        <v>3751392.7606599997</v>
      </c>
      <c r="H37" s="80">
        <f t="shared" si="12"/>
        <v>0.14457180303229097</v>
      </c>
      <c r="I37" s="79">
        <f>'Fresh Food Co.'!I37+'Retail Roll Up'!I37+'Catering Roll Up'!I37+'G&amp;A'!I37</f>
        <v>3863440.3717755689</v>
      </c>
      <c r="J37" s="80">
        <f t="shared" si="13"/>
        <v>0.14457083055769235</v>
      </c>
      <c r="K37" s="79">
        <f>'Fresh Food Co.'!K37+'Retail Roll Up'!K37+'Catering Roll Up'!K37+'G&amp;A'!K37</f>
        <v>3957453.0123803196</v>
      </c>
      <c r="L37" s="80">
        <f t="shared" si="14"/>
        <v>0.14400902315512601</v>
      </c>
      <c r="M37" s="79">
        <f>'Fresh Food Co.'!M37+'Retail Roll Up'!M37+'Catering Roll Up'!M37+'G&amp;A'!M37</f>
        <v>4053789.8536263942</v>
      </c>
      <c r="N37" s="80">
        <f t="shared" si="15"/>
        <v>0.14481371952629199</v>
      </c>
      <c r="O37" s="79">
        <f>'Fresh Food Co.'!O37+'Retail Roll Up'!O37+'Catering Roll Up'!O37+'G&amp;A'!O37</f>
        <v>4152508.4782223525</v>
      </c>
      <c r="P37" s="80">
        <f t="shared" si="16"/>
        <v>0.1456290435661762</v>
      </c>
      <c r="Q37" s="79">
        <f>'Fresh Food Co.'!Q37+'Retail Roll Up'!Q37+'Catering Roll Up'!Q37+'G&amp;A'!Q37</f>
        <v>4253667.8979983153</v>
      </c>
      <c r="R37" s="80">
        <f t="shared" si="17"/>
        <v>0.14644993917013241</v>
      </c>
      <c r="S37" s="79">
        <f>'Fresh Food Co.'!S37+'Retail Roll Up'!S37+'Catering Roll Up'!S37+'G&amp;A'!S37</f>
        <v>4357328.5894250851</v>
      </c>
      <c r="T37" s="80">
        <f t="shared" si="18"/>
        <v>0.14727160707286358</v>
      </c>
      <c r="U37" s="79">
        <f>'Fresh Food Co.'!U37+'Retail Roll Up'!U37+'Catering Roll Up'!U37+'G&amp;A'!U37</f>
        <v>4463552.5300170612</v>
      </c>
      <c r="V37" s="80">
        <f t="shared" si="19"/>
        <v>0.14443478317459513</v>
      </c>
    </row>
    <row r="38" spans="1:24" ht="12.75" customHeight="1">
      <c r="A38" s="2" t="s">
        <v>373</v>
      </c>
      <c r="B38" s="35"/>
      <c r="C38" s="79">
        <f>'Fresh Food Co.'!C38+'Retail Roll Up'!C38+'Catering Roll Up'!C38+'G&amp;A'!C38</f>
        <v>522489</v>
      </c>
      <c r="D38" s="80">
        <f t="shared" si="10"/>
        <v>2.3349616192468618E-2</v>
      </c>
      <c r="E38" s="79">
        <f>'Fresh Food Co.'!E38+'Retail Roll Up'!E38+'Catering Roll Up'!E38+'G&amp;A'!E38</f>
        <v>675415.1990329671</v>
      </c>
      <c r="F38" s="80">
        <f t="shared" si="11"/>
        <v>2.8383229346324864E-2</v>
      </c>
      <c r="G38" s="79">
        <f>'Fresh Food Co.'!G38+'Retail Roll Up'!G38+'Catering Roll Up'!G38+'G&amp;A'!G38</f>
        <v>792499.34654067678</v>
      </c>
      <c r="H38" s="80">
        <f t="shared" si="12"/>
        <v>3.0541472658581523E-2</v>
      </c>
      <c r="I38" s="79">
        <f>'Fresh Food Co.'!I38+'Retail Roll Up'!I38+'Catering Roll Up'!I38+'G&amp;A'!I38</f>
        <v>816691.43984151701</v>
      </c>
      <c r="J38" s="80">
        <f t="shared" si="13"/>
        <v>3.0560782205882209E-2</v>
      </c>
      <c r="K38" s="79">
        <f>'Fresh Food Co.'!K38+'Retail Roll Up'!K38+'Catering Roll Up'!K38+'G&amp;A'!K38</f>
        <v>837108.72583755502</v>
      </c>
      <c r="L38" s="80">
        <f t="shared" si="14"/>
        <v>3.0461817109482151E-2</v>
      </c>
      <c r="M38" s="79">
        <f>'Fresh Food Co.'!M38+'Retail Roll Up'!M38+'Catering Roll Up'!M38+'G&amp;A'!M38</f>
        <v>858036.44398349372</v>
      </c>
      <c r="N38" s="80">
        <f t="shared" si="15"/>
        <v>3.0651674958238784E-2</v>
      </c>
      <c r="O38" s="79">
        <f>'Fresh Food Co.'!O38+'Retail Roll Up'!O38+'Catering Roll Up'!O38+'G&amp;A'!O38</f>
        <v>879487.35508308082</v>
      </c>
      <c r="P38" s="80">
        <f t="shared" si="16"/>
        <v>3.0843742528401618E-2</v>
      </c>
      <c r="Q38" s="79">
        <f>'Fresh Food Co.'!Q38+'Retail Roll Up'!Q38+'Catering Roll Up'!Q38+'G&amp;A'!Q38</f>
        <v>901474.53896015789</v>
      </c>
      <c r="R38" s="80">
        <f t="shared" si="17"/>
        <v>3.1036953180163522E-2</v>
      </c>
      <c r="S38" s="79">
        <f>'Fresh Food Co.'!S38+'Retail Roll Up'!S38+'Catering Roll Up'!S38+'G&amp;A'!S38</f>
        <v>924011.40243416175</v>
      </c>
      <c r="T38" s="80">
        <f t="shared" si="18"/>
        <v>3.1230292000559049E-2</v>
      </c>
      <c r="U38" s="79">
        <f>'Fresh Food Co.'!U38+'Retail Roll Up'!U38+'Catering Roll Up'!U38+'G&amp;A'!U38</f>
        <v>947111.68749501579</v>
      </c>
      <c r="V38" s="80">
        <f t="shared" si="19"/>
        <v>3.0647308462379546E-2</v>
      </c>
    </row>
    <row r="39" spans="1:24" ht="12.75" customHeight="1">
      <c r="A39" s="2" t="s">
        <v>374</v>
      </c>
      <c r="B39" s="35"/>
      <c r="C39" s="79">
        <f>'Fresh Food Co.'!C39+'Retail Roll Up'!C39+'Catering Roll Up'!C39+'G&amp;A'!C39</f>
        <v>1095663</v>
      </c>
      <c r="D39" s="80">
        <f t="shared" si="10"/>
        <v>4.8964304561988373E-2</v>
      </c>
      <c r="E39" s="79">
        <f>'Fresh Food Co.'!E39+'Retail Roll Up'!E39+'Catering Roll Up'!E39+'G&amp;A'!E39</f>
        <v>1177186.5222857145</v>
      </c>
      <c r="F39" s="80">
        <f t="shared" si="11"/>
        <v>4.9469356172731224E-2</v>
      </c>
      <c r="G39" s="79">
        <f>'Fresh Food Co.'!G39+'Retail Roll Up'!G39+'Catering Roll Up'!G39+'G&amp;A'!G39</f>
        <v>1245932.92936</v>
      </c>
      <c r="H39" s="80">
        <f t="shared" si="12"/>
        <v>4.8015972079444087E-2</v>
      </c>
      <c r="I39" s="79">
        <f>'Fresh Food Co.'!I39+'Retail Roll Up'!I39+'Catering Roll Up'!I39+'G&amp;A'!I39</f>
        <v>1285472.8098355199</v>
      </c>
      <c r="J39" s="80">
        <f t="shared" si="13"/>
        <v>4.8102689285674669E-2</v>
      </c>
      <c r="K39" s="79">
        <f>'Fresh Food Co.'!K39+'Retail Roll Up'!K39+'Catering Roll Up'!K39+'G&amp;A'!K39</f>
        <v>1317469.3914442076</v>
      </c>
      <c r="L39" s="80">
        <f t="shared" si="14"/>
        <v>4.7941814976734706E-2</v>
      </c>
      <c r="M39" s="79">
        <f>'Fresh Food Co.'!M39+'Retail Roll Up'!M39+'Catering Roll Up'!M39+'G&amp;A'!M39</f>
        <v>1350263.082820368</v>
      </c>
      <c r="N39" s="80">
        <f t="shared" si="15"/>
        <v>4.823550959044761E-2</v>
      </c>
      <c r="O39" s="79">
        <f>'Fresh Food Co.'!O39+'Retail Roll Up'!O39+'Catering Roll Up'!O39+'G&amp;A'!O39</f>
        <v>1383873.7556127354</v>
      </c>
      <c r="P39" s="80">
        <f t="shared" si="16"/>
        <v>4.8532642980295339E-2</v>
      </c>
      <c r="Q39" s="79">
        <f>'Fresh Food Co.'!Q39+'Retail Roll Up'!Q39+'Catering Roll Up'!Q39+'G&amp;A'!Q39</f>
        <v>1418321.7771393477</v>
      </c>
      <c r="R39" s="80">
        <f t="shared" si="17"/>
        <v>4.8831536209838322E-2</v>
      </c>
      <c r="S39" s="79">
        <f>'Fresh Food Co.'!S39+'Retail Roll Up'!S39+'Catering Roll Up'!S39+'G&amp;A'!S39</f>
        <v>1453628.0227568517</v>
      </c>
      <c r="T39" s="80">
        <f t="shared" si="18"/>
        <v>4.913059242699816E-2</v>
      </c>
      <c r="U39" s="79">
        <f>'Fresh Food Co.'!U39+'Retail Roll Up'!U39+'Catering Roll Up'!U39+'G&amp;A'!U39</f>
        <v>1489813.8885385729</v>
      </c>
      <c r="V39" s="80">
        <f t="shared" si="19"/>
        <v>4.8208449326963949E-2</v>
      </c>
    </row>
    <row r="40" spans="1:24" ht="12.75" customHeight="1">
      <c r="A40" s="2" t="s">
        <v>375</v>
      </c>
      <c r="B40" s="35"/>
      <c r="C40" s="79">
        <f>'Fresh Food Co.'!C40+'Retail Roll Up'!C40+'Catering Roll Up'!C40+'G&amp;A'!C40</f>
        <v>156446.212</v>
      </c>
      <c r="D40" s="80">
        <f t="shared" si="10"/>
        <v>6.9914562889660413E-3</v>
      </c>
      <c r="E40" s="79">
        <f>'Fresh Food Co.'!E40+'Retail Roll Up'!E40+'Catering Roll Up'!E40+'G&amp;A'!E40</f>
        <v>171452.82456673076</v>
      </c>
      <c r="F40" s="80">
        <f t="shared" si="11"/>
        <v>7.2050271428896178E-3</v>
      </c>
      <c r="G40" s="79">
        <f>'Fresh Food Co.'!G40+'Retail Roll Up'!G40+'Catering Roll Up'!G40+'G&amp;A'!G40</f>
        <v>182799.71230896152</v>
      </c>
      <c r="H40" s="80">
        <f t="shared" si="12"/>
        <v>7.0447659545094122E-3</v>
      </c>
      <c r="I40" s="79">
        <f>'Fresh Food Co.'!I40+'Retail Roll Up'!I40+'Catering Roll Up'!I40+'G&amp;A'!I40</f>
        <v>186986.83481470804</v>
      </c>
      <c r="J40" s="80">
        <f t="shared" si="13"/>
        <v>6.997090523256231E-3</v>
      </c>
      <c r="K40" s="79">
        <f>'Fresh Food Co.'!K40+'Retail Roll Up'!K40+'Catering Roll Up'!K40+'G&amp;A'!K40</f>
        <v>191482.69057439495</v>
      </c>
      <c r="L40" s="80">
        <f t="shared" si="14"/>
        <v>6.9679248583542838E-3</v>
      </c>
      <c r="M40" s="79">
        <f>'Fresh Food Co.'!M40+'Retail Roll Up'!M40+'Catering Roll Up'!M40+'G&amp;A'!M40</f>
        <v>196087.36642586038</v>
      </c>
      <c r="N40" s="80">
        <f t="shared" si="15"/>
        <v>7.0048379194697242E-3</v>
      </c>
      <c r="O40" s="79">
        <f>'Fresh Food Co.'!O40+'Retail Roll Up'!O40+'Catering Roll Up'!O40+'G&amp;A'!O40</f>
        <v>200803.51134535455</v>
      </c>
      <c r="P40" s="80">
        <f t="shared" si="16"/>
        <v>7.042206766179164E-3</v>
      </c>
      <c r="Q40" s="79">
        <f>'Fresh Food Co.'!Q40+'Retail Roll Up'!Q40+'Catering Roll Up'!Q40+'G&amp;A'!Q40</f>
        <v>205633.8391030131</v>
      </c>
      <c r="R40" s="80">
        <f t="shared" si="17"/>
        <v>7.0797871272763368E-3</v>
      </c>
      <c r="S40" s="79">
        <f>'Fresh Food Co.'!S40+'Retail Roll Up'!S40+'Catering Roll Up'!S40+'G&amp;A'!S40</f>
        <v>210581.12985409351</v>
      </c>
      <c r="T40" s="80">
        <f t="shared" si="18"/>
        <v>7.1173474243133878E-3</v>
      </c>
      <c r="U40" s="79">
        <f>'Fresh Food Co.'!U40+'Retail Roll Up'!U40+'Catering Roll Up'!U40+'G&amp;A'!U40</f>
        <v>215648.23176942111</v>
      </c>
      <c r="V40" s="80">
        <f t="shared" si="19"/>
        <v>6.9780976897077362E-3</v>
      </c>
    </row>
    <row r="41" spans="1:24" ht="12.75" customHeight="1">
      <c r="A41" s="2" t="s">
        <v>376</v>
      </c>
      <c r="B41" s="35"/>
      <c r="C41" s="79">
        <f>'Fresh Food Co.'!C41+'Retail Roll Up'!C41+'Catering Roll Up'!C41+'G&amp;A'!C41</f>
        <v>428021.21599999996</v>
      </c>
      <c r="D41" s="80">
        <f t="shared" si="10"/>
        <v>1.9127926359853904E-2</v>
      </c>
      <c r="E41" s="79">
        <f>'Fresh Food Co.'!E41+'Retail Roll Up'!E41+'Catering Roll Up'!E41+'G&amp;A'!E41</f>
        <v>447653.62440576003</v>
      </c>
      <c r="F41" s="80">
        <f t="shared" si="11"/>
        <v>1.881191822069447E-2</v>
      </c>
      <c r="G41" s="79">
        <f>'Fresh Food Co.'!G41+'Retail Roll Up'!G41+'Catering Roll Up'!G41+'G&amp;A'!G41</f>
        <v>483722.85995481285</v>
      </c>
      <c r="H41" s="80">
        <f t="shared" si="12"/>
        <v>1.8641792660307875E-2</v>
      </c>
      <c r="I41" s="79">
        <f>'Fresh Food Co.'!I41+'Retail Roll Up'!I41+'Catering Roll Up'!I41+'G&amp;A'!I41</f>
        <v>479066.60610017064</v>
      </c>
      <c r="J41" s="80">
        <f t="shared" si="13"/>
        <v>1.7926782989153855E-2</v>
      </c>
      <c r="K41" s="79">
        <f>'Fresh Food Co.'!K41+'Retail Roll Up'!K41+'Catering Roll Up'!K41+'G&amp;A'!K41</f>
        <v>490724.17353515956</v>
      </c>
      <c r="L41" s="80">
        <f t="shared" si="14"/>
        <v>1.7857118871235624E-2</v>
      </c>
      <c r="M41" s="79">
        <f>'Fresh Food Co.'!M41+'Retail Roll Up'!M41+'Catering Roll Up'!M41+'G&amp;A'!M41</f>
        <v>502669.94184967288</v>
      </c>
      <c r="N41" s="80">
        <f t="shared" si="15"/>
        <v>1.7956901221260205E-2</v>
      </c>
      <c r="O41" s="79">
        <f>'Fresh Food Co.'!O41+'Retail Roll Up'!O41+'Catering Roll Up'!O41+'G&amp;A'!O41</f>
        <v>514911.05129957164</v>
      </c>
      <c r="P41" s="80">
        <f t="shared" si="16"/>
        <v>1.8058001402205846E-2</v>
      </c>
      <c r="Q41" s="79">
        <f>'Fresh Food Co.'!Q41+'Retail Roll Up'!Q41+'Catering Roll Up'!Q41+'G&amp;A'!Q41</f>
        <v>527454.81935179117</v>
      </c>
      <c r="R41" s="80">
        <f t="shared" si="17"/>
        <v>1.8159792457096424E-2</v>
      </c>
      <c r="S41" s="79">
        <f>'Fresh Food Co.'!S41+'Retail Roll Up'!S41+'Catering Roll Up'!S41+'G&amp;A'!S41</f>
        <v>540308.74508871068</v>
      </c>
      <c r="T41" s="80">
        <f t="shared" si="18"/>
        <v>1.8261679277035085E-2</v>
      </c>
      <c r="U41" s="79">
        <f>'Fresh Food Co.'!U41+'Retail Roll Up'!U41+'Catering Roll Up'!U41+'G&amp;A'!U41</f>
        <v>553480.51372211555</v>
      </c>
      <c r="V41" s="80">
        <f t="shared" si="19"/>
        <v>1.7909913113649794E-2</v>
      </c>
    </row>
    <row r="42" spans="1:24" ht="12.75" customHeight="1">
      <c r="A42" s="2" t="s">
        <v>377</v>
      </c>
      <c r="B42" s="35"/>
      <c r="C42" s="79">
        <f>'Fresh Food Co.'!C42+'Retail Roll Up'!C42+'Catering Roll Up'!C42+'G&amp;A'!C42</f>
        <v>0</v>
      </c>
      <c r="D42" s="80">
        <f t="shared" si="10"/>
        <v>0</v>
      </c>
      <c r="E42" s="79">
        <f>'Fresh Food Co.'!E42+'Retail Roll Up'!E42+'Catering Roll Up'!E42+'G&amp;A'!E42</f>
        <v>0</v>
      </c>
      <c r="F42" s="80">
        <f t="shared" si="11"/>
        <v>0</v>
      </c>
      <c r="G42" s="79">
        <f>'Fresh Food Co.'!G42+'Retail Roll Up'!G42+'Catering Roll Up'!G42+'G&amp;A'!G42</f>
        <v>0</v>
      </c>
      <c r="H42" s="80">
        <f t="shared" si="12"/>
        <v>0</v>
      </c>
      <c r="I42" s="79">
        <f>'Fresh Food Co.'!I42+'Retail Roll Up'!I42+'Catering Roll Up'!I42+'G&amp;A'!I42</f>
        <v>0</v>
      </c>
      <c r="J42" s="80">
        <f t="shared" si="13"/>
        <v>0</v>
      </c>
      <c r="K42" s="79">
        <f>'Fresh Food Co.'!K42+'Retail Roll Up'!K42+'Catering Roll Up'!K42+'G&amp;A'!K42</f>
        <v>0</v>
      </c>
      <c r="L42" s="80">
        <f t="shared" si="14"/>
        <v>0</v>
      </c>
      <c r="M42" s="79">
        <f>'Fresh Food Co.'!M42+'Retail Roll Up'!M42+'Catering Roll Up'!M42+'G&amp;A'!M42</f>
        <v>0</v>
      </c>
      <c r="N42" s="80">
        <f t="shared" si="15"/>
        <v>0</v>
      </c>
      <c r="O42" s="79">
        <f>'Fresh Food Co.'!O42+'Retail Roll Up'!O42+'Catering Roll Up'!O42+'G&amp;A'!O42</f>
        <v>0</v>
      </c>
      <c r="P42" s="80">
        <f t="shared" si="16"/>
        <v>0</v>
      </c>
      <c r="Q42" s="79">
        <f>'Fresh Food Co.'!Q42+'Retail Roll Up'!Q42+'Catering Roll Up'!Q42+'G&amp;A'!Q42</f>
        <v>0</v>
      </c>
      <c r="R42" s="80">
        <f t="shared" si="17"/>
        <v>0</v>
      </c>
      <c r="S42" s="79">
        <f>'Fresh Food Co.'!S42+'Retail Roll Up'!S42+'Catering Roll Up'!S42+'G&amp;A'!S42</f>
        <v>0</v>
      </c>
      <c r="T42" s="80">
        <f t="shared" si="18"/>
        <v>0</v>
      </c>
      <c r="U42" s="79">
        <f>'Fresh Food Co.'!U42+'Retail Roll Up'!U42+'Catering Roll Up'!U42+'G&amp;A'!U42</f>
        <v>0</v>
      </c>
      <c r="V42" s="80">
        <f t="shared" si="19"/>
        <v>0</v>
      </c>
    </row>
    <row r="43" spans="1:24" ht="12.75" customHeight="1">
      <c r="A43" s="2" t="s">
        <v>378</v>
      </c>
      <c r="B43" s="35"/>
      <c r="C43" s="79">
        <f>'Fresh Food Co.'!C43+'Retail Roll Up'!C43+'Catering Roll Up'!C43+'G&amp;A'!C43</f>
        <v>0</v>
      </c>
      <c r="D43" s="80">
        <f t="shared" si="10"/>
        <v>0</v>
      </c>
      <c r="E43" s="79">
        <f>'Fresh Food Co.'!E43+'Retail Roll Up'!E43+'Catering Roll Up'!E43+'G&amp;A'!E43</f>
        <v>0</v>
      </c>
      <c r="F43" s="80">
        <f t="shared" si="11"/>
        <v>0</v>
      </c>
      <c r="G43" s="79">
        <f>'Fresh Food Co.'!G43+'Retail Roll Up'!G43+'Catering Roll Up'!G43+'G&amp;A'!G43</f>
        <v>0</v>
      </c>
      <c r="H43" s="80">
        <f t="shared" si="12"/>
        <v>0</v>
      </c>
      <c r="I43" s="79">
        <f>'Fresh Food Co.'!I43+'Retail Roll Up'!I43+'Catering Roll Up'!I43+'G&amp;A'!I43</f>
        <v>0</v>
      </c>
      <c r="J43" s="80">
        <f t="shared" si="13"/>
        <v>0</v>
      </c>
      <c r="K43" s="79">
        <f>'Fresh Food Co.'!K43+'Retail Roll Up'!K43+'Catering Roll Up'!K43+'G&amp;A'!K43</f>
        <v>0</v>
      </c>
      <c r="L43" s="80">
        <f t="shared" si="14"/>
        <v>0</v>
      </c>
      <c r="M43" s="79">
        <f>'Fresh Food Co.'!M43+'Retail Roll Up'!M43+'Catering Roll Up'!M43+'G&amp;A'!M43</f>
        <v>0</v>
      </c>
      <c r="N43" s="80">
        <f t="shared" si="15"/>
        <v>0</v>
      </c>
      <c r="O43" s="79">
        <f>'Fresh Food Co.'!O43+'Retail Roll Up'!O43+'Catering Roll Up'!O43+'G&amp;A'!O43</f>
        <v>0</v>
      </c>
      <c r="P43" s="80">
        <f t="shared" si="16"/>
        <v>0</v>
      </c>
      <c r="Q43" s="79">
        <f>'Fresh Food Co.'!Q43+'Retail Roll Up'!Q43+'Catering Roll Up'!Q43+'G&amp;A'!Q43</f>
        <v>0</v>
      </c>
      <c r="R43" s="80">
        <f t="shared" si="17"/>
        <v>0</v>
      </c>
      <c r="S43" s="79">
        <f>'Fresh Food Co.'!S43+'Retail Roll Up'!S43+'Catering Roll Up'!S43+'G&amp;A'!S43</f>
        <v>0</v>
      </c>
      <c r="T43" s="80">
        <f t="shared" si="18"/>
        <v>0</v>
      </c>
      <c r="U43" s="79">
        <f>'Fresh Food Co.'!U43+'Retail Roll Up'!U43+'Catering Roll Up'!U43+'G&amp;A'!U43</f>
        <v>0</v>
      </c>
      <c r="V43" s="80">
        <f t="shared" si="19"/>
        <v>0</v>
      </c>
    </row>
    <row r="44" spans="1:24" ht="12.75" customHeight="1">
      <c r="A44" s="2" t="s">
        <v>379</v>
      </c>
      <c r="B44" s="35"/>
      <c r="C44" s="79">
        <f>'Fresh Food Co.'!C44+'Retail Roll Up'!C44+'Catering Roll Up'!C44+'G&amp;A'!C44</f>
        <v>0</v>
      </c>
      <c r="D44" s="80">
        <f t="shared" si="10"/>
        <v>0</v>
      </c>
      <c r="E44" s="79">
        <f>'Fresh Food Co.'!E44+'Retail Roll Up'!E44+'Catering Roll Up'!E44+'G&amp;A'!E44</f>
        <v>0</v>
      </c>
      <c r="F44" s="80">
        <f t="shared" si="11"/>
        <v>0</v>
      </c>
      <c r="G44" s="79">
        <f>'Fresh Food Co.'!G44+'Retail Roll Up'!G44+'Catering Roll Up'!G44+'G&amp;A'!G44</f>
        <v>0</v>
      </c>
      <c r="H44" s="80">
        <f t="shared" si="12"/>
        <v>0</v>
      </c>
      <c r="I44" s="79">
        <f>'Fresh Food Co.'!I44+'Retail Roll Up'!I44+'Catering Roll Up'!I44+'G&amp;A'!I44</f>
        <v>0</v>
      </c>
      <c r="J44" s="80">
        <f t="shared" si="13"/>
        <v>0</v>
      </c>
      <c r="K44" s="79">
        <f>'Fresh Food Co.'!K44+'Retail Roll Up'!K44+'Catering Roll Up'!K44+'G&amp;A'!K44</f>
        <v>0</v>
      </c>
      <c r="L44" s="80">
        <f t="shared" si="14"/>
        <v>0</v>
      </c>
      <c r="M44" s="79">
        <f>'Fresh Food Co.'!M44+'Retail Roll Up'!M44+'Catering Roll Up'!M44+'G&amp;A'!M44</f>
        <v>0</v>
      </c>
      <c r="N44" s="80">
        <f t="shared" si="15"/>
        <v>0</v>
      </c>
      <c r="O44" s="79">
        <f>'Fresh Food Co.'!O44+'Retail Roll Up'!O44+'Catering Roll Up'!O44+'G&amp;A'!O44</f>
        <v>0</v>
      </c>
      <c r="P44" s="80">
        <f t="shared" si="16"/>
        <v>0</v>
      </c>
      <c r="Q44" s="79">
        <f>'Fresh Food Co.'!Q44+'Retail Roll Up'!Q44+'Catering Roll Up'!Q44+'G&amp;A'!Q44</f>
        <v>0</v>
      </c>
      <c r="R44" s="80">
        <f t="shared" si="17"/>
        <v>0</v>
      </c>
      <c r="S44" s="79">
        <f>'Fresh Food Co.'!S44+'Retail Roll Up'!S44+'Catering Roll Up'!S44+'G&amp;A'!S44</f>
        <v>0</v>
      </c>
      <c r="T44" s="80">
        <f t="shared" si="18"/>
        <v>0</v>
      </c>
      <c r="U44" s="79">
        <f>'Fresh Food Co.'!U44+'Retail Roll Up'!U44+'Catering Roll Up'!U44+'G&amp;A'!U44</f>
        <v>0</v>
      </c>
      <c r="V44" s="80">
        <f t="shared" si="19"/>
        <v>0</v>
      </c>
    </row>
    <row r="45" spans="1:24" ht="12.75" customHeight="1">
      <c r="A45" s="2" t="s">
        <v>380</v>
      </c>
      <c r="B45" s="35"/>
      <c r="C45" s="79">
        <f>'Fresh Food Co.'!C45+'Retail Roll Up'!C45+'Catering Roll Up'!C45+'G&amp;A'!C45</f>
        <v>595394.37699999998</v>
      </c>
      <c r="D45" s="80">
        <f t="shared" si="10"/>
        <v>2.660769927425068E-2</v>
      </c>
      <c r="E45" s="79">
        <f>'Fresh Food Co.'!E45+'Retail Roll Up'!E45+'Catering Roll Up'!E45+'G&amp;A'!E45</f>
        <v>644063.75807140255</v>
      </c>
      <c r="F45" s="80">
        <f t="shared" si="11"/>
        <v>2.7065735839480614E-2</v>
      </c>
      <c r="G45" s="79">
        <f>'Fresh Food Co.'!G45+'Retail Roll Up'!G45+'Catering Roll Up'!G45+'G&amp;A'!G45</f>
        <v>699850.01150958973</v>
      </c>
      <c r="H45" s="80">
        <f t="shared" si="12"/>
        <v>2.6970937054938009E-2</v>
      </c>
      <c r="I45" s="79">
        <f>'Fresh Food Co.'!I45+'Retail Roll Up'!I45+'Catering Roll Up'!I45+'G&amp;A'!I45</f>
        <v>702003.47161447164</v>
      </c>
      <c r="J45" s="80">
        <f t="shared" si="13"/>
        <v>2.6269131959980249E-2</v>
      </c>
      <c r="K45" s="79">
        <f>'Fresh Food Co.'!K45+'Retail Roll Up'!K45+'Catering Roll Up'!K45+'G&amp;A'!K45</f>
        <v>719115.07592575555</v>
      </c>
      <c r="L45" s="80">
        <f t="shared" si="14"/>
        <v>2.6168108451628556E-2</v>
      </c>
      <c r="M45" s="79">
        <f>'Fresh Food Co.'!M45+'Retail Roll Up'!M45+'Catering Roll Up'!M45+'G&amp;A'!M45</f>
        <v>736649.04078324011</v>
      </c>
      <c r="N45" s="80">
        <f t="shared" si="15"/>
        <v>2.6315347226464229E-2</v>
      </c>
      <c r="O45" s="79">
        <f>'Fresh Food Co.'!O45+'Retail Roll Up'!O45+'Catering Roll Up'!O45+'G&amp;A'!O45</f>
        <v>754615.8166093484</v>
      </c>
      <c r="P45" s="80">
        <f t="shared" si="16"/>
        <v>2.6464480496322298E-2</v>
      </c>
      <c r="Q45" s="79">
        <f>'Fresh Food Co.'!Q45+'Retail Roll Up'!Q45+'Catering Roll Up'!Q45+'G&amp;A'!Q45</f>
        <v>773026.11291524023</v>
      </c>
      <c r="R45" s="80">
        <f t="shared" si="17"/>
        <v>2.6614590026324072E-2</v>
      </c>
      <c r="S45" s="79">
        <f>'Fresh Food Co.'!S45+'Retail Roll Up'!S45+'Catering Roll Up'!S45+'G&amp;A'!S45</f>
        <v>791890.9047345923</v>
      </c>
      <c r="T45" s="80">
        <f t="shared" si="18"/>
        <v>2.6764804116375992E-2</v>
      </c>
      <c r="U45" s="79">
        <f>'Fresh Food Co.'!U45+'Retail Roll Up'!U45+'Catering Roll Up'!U45+'G&amp;A'!U45</f>
        <v>811221.4392173579</v>
      </c>
      <c r="V45" s="80">
        <f t="shared" si="19"/>
        <v>2.6250075896271402E-2</v>
      </c>
    </row>
    <row r="46" spans="1:24" ht="12.75" customHeight="1">
      <c r="A46" s="1" t="s">
        <v>381</v>
      </c>
      <c r="B46" s="53"/>
      <c r="C46" s="82">
        <f>SUM(C36:C45)</f>
        <v>7511460.8050000006</v>
      </c>
      <c r="D46" s="83">
        <f t="shared" si="10"/>
        <v>0.33568118532930141</v>
      </c>
      <c r="E46" s="82">
        <f>SUM(E36:E45)</f>
        <v>7978526.3396812566</v>
      </c>
      <c r="F46" s="83">
        <f t="shared" si="11"/>
        <v>0.33528464160874411</v>
      </c>
      <c r="G46" s="82">
        <f>SUM(G36:G45)</f>
        <v>8628755.7930071168</v>
      </c>
      <c r="H46" s="83">
        <f t="shared" si="12"/>
        <v>0.33253643713405545</v>
      </c>
      <c r="I46" s="82">
        <f>SUM(I36:I45)</f>
        <v>8841619.8792618588</v>
      </c>
      <c r="J46" s="83">
        <f t="shared" si="13"/>
        <v>0.33085545690273815</v>
      </c>
      <c r="K46" s="82">
        <f>SUM(K36:K45)</f>
        <v>9057568.3162650932</v>
      </c>
      <c r="L46" s="83">
        <f t="shared" si="14"/>
        <v>0.32959874982864423</v>
      </c>
      <c r="M46" s="82">
        <f>SUM(M36:M45)</f>
        <v>9278845.4587298371</v>
      </c>
      <c r="N46" s="83">
        <f t="shared" si="15"/>
        <v>0.33146861882499284</v>
      </c>
      <c r="O46" s="82">
        <f>SUM(O36:O45)</f>
        <v>9505583.1241833679</v>
      </c>
      <c r="P46" s="83">
        <f t="shared" si="16"/>
        <v>0.33336210778941244</v>
      </c>
      <c r="Q46" s="82">
        <f>SUM(Q36:Q45)</f>
        <v>9737916.3975889385</v>
      </c>
      <c r="R46" s="83">
        <f t="shared" si="17"/>
        <v>0.33526765564886607</v>
      </c>
      <c r="S46" s="82">
        <f>SUM(S36:S45)</f>
        <v>9975983.7124716714</v>
      </c>
      <c r="T46" s="83">
        <f t="shared" si="18"/>
        <v>0.33717428541744687</v>
      </c>
      <c r="U46" s="82">
        <f>SUM(U36:U45)</f>
        <v>10219926.934061326</v>
      </c>
      <c r="V46" s="83">
        <f t="shared" si="19"/>
        <v>0.33070360903217827</v>
      </c>
      <c r="X46" s="231"/>
    </row>
    <row r="47" spans="1:24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4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353</v>
      </c>
      <c r="E50" s="86" t="str">
        <f>E6</f>
        <v>FY 2019-20</v>
      </c>
      <c r="F50" s="86" t="s">
        <v>353</v>
      </c>
      <c r="G50" s="86" t="str">
        <f>G6</f>
        <v>FY 2020-21</v>
      </c>
      <c r="H50" s="86" t="s">
        <v>353</v>
      </c>
      <c r="I50" s="86" t="str">
        <f>I6</f>
        <v>FY 2021-22</v>
      </c>
      <c r="J50" s="86" t="s">
        <v>353</v>
      </c>
      <c r="K50" s="86" t="str">
        <f>K6</f>
        <v>FY 2022-23</v>
      </c>
      <c r="L50" s="86" t="s">
        <v>353</v>
      </c>
      <c r="M50" s="86" t="str">
        <f>M6</f>
        <v>FY 2023-24</v>
      </c>
      <c r="N50" s="86" t="s">
        <v>353</v>
      </c>
      <c r="O50" s="86" t="str">
        <f>O6</f>
        <v>FY 2024-25</v>
      </c>
      <c r="P50" s="86" t="s">
        <v>353</v>
      </c>
      <c r="Q50" s="86" t="str">
        <f>Q6</f>
        <v>FY 2025-26</v>
      </c>
      <c r="R50" s="86" t="s">
        <v>353</v>
      </c>
      <c r="S50" s="86" t="str">
        <f>S6</f>
        <v>FY 2026-27</v>
      </c>
      <c r="T50" s="86" t="s">
        <v>353</v>
      </c>
      <c r="U50" s="86" t="str">
        <f>U6</f>
        <v>FY 2027-28</v>
      </c>
      <c r="V50" s="86" t="s">
        <v>353</v>
      </c>
    </row>
    <row r="51" spans="1:24" ht="12.75" customHeight="1">
      <c r="A51" s="1" t="s">
        <v>382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383</v>
      </c>
      <c r="B52" s="35"/>
      <c r="C52" s="79">
        <v>298689.61284133</v>
      </c>
      <c r="D52" s="80">
        <f t="shared" ref="D52:D85" si="20">IFERROR(C52/C$28,0)</f>
        <v>1.3348200288469425E-2</v>
      </c>
      <c r="E52" s="79">
        <v>1646836.6886236048</v>
      </c>
      <c r="F52" s="80">
        <f t="shared" ref="F52:F85" si="21">IFERROR(E52/E$28,0)</f>
        <v>6.9205643426547253E-2</v>
      </c>
      <c r="G52" s="79">
        <v>2348964.348198073</v>
      </c>
      <c r="H52" s="80">
        <f t="shared" ref="H52:H85" si="22">IFERROR(G52/G$28,0)</f>
        <v>9.0524781792727896E-2</v>
      </c>
      <c r="I52" s="79">
        <v>2356107.2053409303</v>
      </c>
      <c r="J52" s="80">
        <f t="shared" ref="J52:J85" si="23">IFERROR(I52/I$28,0)</f>
        <v>8.8166075513301301E-2</v>
      </c>
      <c r="K52" s="79">
        <v>2447609.6683951169</v>
      </c>
      <c r="L52" s="80">
        <f t="shared" ref="L52:L85" si="24">IFERROR(K52/K$28,0)</f>
        <v>8.9066850903332676E-2</v>
      </c>
      <c r="M52" s="79">
        <v>2589851.0477054617</v>
      </c>
      <c r="N52" s="80">
        <f t="shared" ref="N52:N85" si="25">IFERROR(M52/M$28,0)</f>
        <v>9.2517366903414527E-2</v>
      </c>
      <c r="O52" s="79">
        <v>2589851.0477054617</v>
      </c>
      <c r="P52" s="80">
        <f t="shared" ref="P52:P85" si="26">IFERROR(O52/O$28,0)</f>
        <v>9.0826432512827321E-2</v>
      </c>
      <c r="Q52" s="79">
        <v>2589851.0477054617</v>
      </c>
      <c r="R52" s="80">
        <f t="shared" ref="R52:R85" si="27">IFERROR(Q52/Q$28,0)</f>
        <v>8.9166229590855295E-2</v>
      </c>
      <c r="S52" s="79">
        <v>2589851.0477054617</v>
      </c>
      <c r="T52" s="80">
        <f t="shared" ref="T52:T85" si="28">IFERROR(S52/S$28,0)</f>
        <v>8.753334022147892E-2</v>
      </c>
      <c r="U52" s="79">
        <v>1942388.2857790967</v>
      </c>
      <c r="V52" s="80">
        <f t="shared" ref="V52:V105" si="29">IFERROR(U52/U$28,0)</f>
        <v>6.2853171103221001E-2</v>
      </c>
      <c r="X52" s="200"/>
    </row>
    <row r="53" spans="1:24" ht="12.75" customHeight="1">
      <c r="A53" s="2" t="s">
        <v>384</v>
      </c>
      <c r="B53" s="35"/>
      <c r="C53" s="79">
        <v>0</v>
      </c>
      <c r="D53" s="80">
        <f t="shared" ref="D53" si="30">IFERROR(C53/C$28,0)</f>
        <v>0</v>
      </c>
      <c r="E53" s="79">
        <v>0</v>
      </c>
      <c r="F53" s="80">
        <f t="shared" ref="F53" si="31">IFERROR(E53/E$28,0)</f>
        <v>0</v>
      </c>
      <c r="G53" s="79">
        <v>0</v>
      </c>
      <c r="H53" s="80">
        <f t="shared" ref="H53" si="32">IFERROR(G53/G$28,0)</f>
        <v>0</v>
      </c>
      <c r="I53" s="79">
        <v>0</v>
      </c>
      <c r="J53" s="80">
        <f t="shared" ref="J53" si="33">IFERROR(I53/I$28,0)</f>
        <v>0</v>
      </c>
      <c r="K53" s="79">
        <v>0</v>
      </c>
      <c r="L53" s="80">
        <f t="shared" ref="L53" si="34">IFERROR(K53/K$28,0)</f>
        <v>0</v>
      </c>
      <c r="M53" s="79">
        <v>0</v>
      </c>
      <c r="N53" s="80">
        <f t="shared" ref="N53" si="35">IFERROR(M53/M$28,0)</f>
        <v>0</v>
      </c>
      <c r="O53" s="79">
        <v>0</v>
      </c>
      <c r="P53" s="80">
        <f t="shared" ref="P53" si="36">IFERROR(O53/O$28,0)</f>
        <v>0</v>
      </c>
      <c r="Q53" s="79">
        <v>0</v>
      </c>
      <c r="R53" s="80">
        <f t="shared" ref="R53" si="37">IFERROR(Q53/Q$28,0)</f>
        <v>0</v>
      </c>
      <c r="S53" s="79">
        <v>0</v>
      </c>
      <c r="T53" s="80">
        <f t="shared" ref="T53" si="38">IFERROR(S53/S$28,0)</f>
        <v>0</v>
      </c>
      <c r="U53" s="79">
        <v>0</v>
      </c>
      <c r="V53" s="80">
        <f t="shared" ref="V53" si="39">IFERROR(U53/U$28,0)</f>
        <v>0</v>
      </c>
      <c r="X53" s="200"/>
    </row>
    <row r="54" spans="1:24" ht="12.75" customHeight="1">
      <c r="A54" s="2" t="s">
        <v>385</v>
      </c>
      <c r="B54" s="35"/>
      <c r="C54" s="134">
        <v>15663.739265999997</v>
      </c>
      <c r="D54" s="80">
        <f t="shared" si="20"/>
        <v>6.9999999999999999E-4</v>
      </c>
      <c r="E54" s="134">
        <v>16657.394179999999</v>
      </c>
      <c r="F54" s="80">
        <f t="shared" si="21"/>
        <v>6.9999999999999999E-4</v>
      </c>
      <c r="G54" s="134">
        <v>18163.811181600002</v>
      </c>
      <c r="H54" s="80">
        <f t="shared" si="22"/>
        <v>6.9999999999999999E-4</v>
      </c>
      <c r="I54" s="134">
        <v>18706.458625232</v>
      </c>
      <c r="J54" s="80">
        <f t="shared" si="23"/>
        <v>6.9999999999999999E-4</v>
      </c>
      <c r="K54" s="134">
        <v>19236.413441136639</v>
      </c>
      <c r="L54" s="80">
        <f t="shared" si="24"/>
        <v>6.9999999999999999E-4</v>
      </c>
      <c r="M54" s="134">
        <v>19595.193789793371</v>
      </c>
      <c r="N54" s="80">
        <f t="shared" si="25"/>
        <v>6.9999999999999999E-4</v>
      </c>
      <c r="O54" s="134">
        <v>19960.001546221578</v>
      </c>
      <c r="P54" s="80">
        <f t="shared" si="26"/>
        <v>6.9999999999999999E-4</v>
      </c>
      <c r="Q54" s="134">
        <v>20331.640596584675</v>
      </c>
      <c r="R54" s="80">
        <f t="shared" si="27"/>
        <v>6.9999999999999999E-4</v>
      </c>
      <c r="S54" s="134">
        <v>20710.916878149419</v>
      </c>
      <c r="T54" s="80">
        <f t="shared" si="28"/>
        <v>6.9999999999999999E-4</v>
      </c>
      <c r="U54" s="134">
        <v>21632.509166680524</v>
      </c>
      <c r="V54" s="80">
        <f t="shared" si="29"/>
        <v>6.9999999999999999E-4</v>
      </c>
      <c r="X54" s="200"/>
    </row>
    <row r="55" spans="1:24" ht="12.75" customHeight="1">
      <c r="A55" s="2" t="s">
        <v>386</v>
      </c>
      <c r="B55" s="35"/>
      <c r="C55" s="79">
        <v>1008969.2695999999</v>
      </c>
      <c r="D55" s="80">
        <f t="shared" si="20"/>
        <v>4.5090030977026102E-2</v>
      </c>
      <c r="E55" s="79">
        <v>965930</v>
      </c>
      <c r="F55" s="80">
        <f t="shared" si="21"/>
        <v>4.0591643128181053E-2</v>
      </c>
      <c r="G55" s="79">
        <v>1023477.6</v>
      </c>
      <c r="H55" s="80">
        <f t="shared" si="22"/>
        <v>3.9442951307804293E-2</v>
      </c>
      <c r="I55" s="79">
        <v>1043947.152</v>
      </c>
      <c r="J55" s="80">
        <f t="shared" si="23"/>
        <v>3.9064743415106816E-2</v>
      </c>
      <c r="K55" s="79">
        <v>1064383.9250400001</v>
      </c>
      <c r="L55" s="80">
        <f t="shared" si="24"/>
        <v>3.8732207009789424E-2</v>
      </c>
      <c r="M55" s="79">
        <v>1085225.0118408001</v>
      </c>
      <c r="N55" s="80">
        <f t="shared" si="25"/>
        <v>3.8767542512605613E-2</v>
      </c>
      <c r="O55" s="79">
        <v>1106478.454460616</v>
      </c>
      <c r="P55" s="80">
        <f t="shared" si="26"/>
        <v>3.8804351609333938E-2</v>
      </c>
      <c r="Q55" s="79">
        <v>1128152.4553566584</v>
      </c>
      <c r="R55" s="80">
        <f t="shared" si="27"/>
        <v>3.8841268858663396E-2</v>
      </c>
      <c r="S55" s="79">
        <v>1150255.3805886901</v>
      </c>
      <c r="T55" s="80">
        <f t="shared" si="28"/>
        <v>3.8877021773071209E-2</v>
      </c>
      <c r="U55" s="79">
        <v>1171674.3215599663</v>
      </c>
      <c r="V55" s="80">
        <f t="shared" si="29"/>
        <v>3.7913864673416925E-2</v>
      </c>
      <c r="X55" s="200"/>
    </row>
    <row r="56" spans="1:24" ht="12.75" customHeight="1">
      <c r="A56" s="2" t="s">
        <v>387</v>
      </c>
      <c r="B56" s="35"/>
      <c r="C56" s="134">
        <v>11412.152893799999</v>
      </c>
      <c r="D56" s="80">
        <f t="shared" si="20"/>
        <v>5.1000000000000004E-4</v>
      </c>
      <c r="E56" s="134">
        <v>12136.101474000001</v>
      </c>
      <c r="F56" s="80">
        <f t="shared" si="21"/>
        <v>5.1000000000000004E-4</v>
      </c>
      <c r="G56" s="134">
        <v>13233.633860880002</v>
      </c>
      <c r="H56" s="80">
        <f t="shared" si="22"/>
        <v>5.1000000000000004E-4</v>
      </c>
      <c r="I56" s="134">
        <v>13628.991284097603</v>
      </c>
      <c r="J56" s="80">
        <f t="shared" si="23"/>
        <v>5.1000000000000004E-4</v>
      </c>
      <c r="K56" s="134">
        <v>14015.101221399553</v>
      </c>
      <c r="L56" s="80">
        <f t="shared" si="24"/>
        <v>5.1000000000000004E-4</v>
      </c>
      <c r="M56" s="134">
        <v>14276.498332563742</v>
      </c>
      <c r="N56" s="80">
        <f t="shared" si="25"/>
        <v>5.1000000000000004E-4</v>
      </c>
      <c r="O56" s="134">
        <v>14542.28684081858</v>
      </c>
      <c r="P56" s="80">
        <f t="shared" si="26"/>
        <v>5.1000000000000004E-4</v>
      </c>
      <c r="Q56" s="134">
        <v>14813.052434654552</v>
      </c>
      <c r="R56" s="80">
        <f t="shared" si="27"/>
        <v>5.1000000000000004E-4</v>
      </c>
      <c r="S56" s="134">
        <v>15089.382296937436</v>
      </c>
      <c r="T56" s="80">
        <f t="shared" si="28"/>
        <v>5.1000000000000004E-4</v>
      </c>
      <c r="U56" s="134">
        <v>15760.828107152953</v>
      </c>
      <c r="V56" s="80">
        <f t="shared" si="29"/>
        <v>5.1000000000000004E-4</v>
      </c>
      <c r="X56" s="200"/>
    </row>
    <row r="57" spans="1:24" ht="12.75" customHeight="1">
      <c r="A57" s="2" t="s">
        <v>388</v>
      </c>
      <c r="B57" s="35"/>
      <c r="C57" s="79">
        <v>13078</v>
      </c>
      <c r="D57" s="80">
        <f t="shared" ref="D57:D58" si="40">IFERROR(C57/C$28,0)</f>
        <v>5.8444537696507402E-4</v>
      </c>
      <c r="E57" s="79">
        <v>13404.949999999999</v>
      </c>
      <c r="F57" s="80">
        <f t="shared" ref="F57:F58" si="41">IFERROR(E57/E$28,0)</f>
        <v>5.6332130335646536E-4</v>
      </c>
      <c r="G57" s="79">
        <v>13740.073749999998</v>
      </c>
      <c r="H57" s="80">
        <f t="shared" ref="H57:H58" si="42">IFERROR(G57/G$28,0)</f>
        <v>5.2951726533818607E-4</v>
      </c>
      <c r="I57" s="79">
        <v>14083.575593749996</v>
      </c>
      <c r="J57" s="80">
        <f t="shared" ref="J57:J58" si="43">IFERROR(I57/I$28,0)</f>
        <v>5.2701064980452601E-4</v>
      </c>
      <c r="K57" s="79">
        <v>14435.664983593744</v>
      </c>
      <c r="L57" s="80">
        <f t="shared" ref="L57:L58" si="44">IFERROR(K57/K$28,0)</f>
        <v>5.2530402922752631E-4</v>
      </c>
      <c r="M57" s="79">
        <v>14796.556608183586</v>
      </c>
      <c r="N57" s="80">
        <f t="shared" ref="N57:N58" si="45">IFERROR(M57/M$28,0)</f>
        <v>5.2857806546029206E-4</v>
      </c>
      <c r="O57" s="79">
        <v>15166.470523388174</v>
      </c>
      <c r="P57" s="80">
        <f t="shared" ref="P57:P58" si="46">IFERROR(O57/O$28,0)</f>
        <v>5.3189020761280589E-4</v>
      </c>
      <c r="Q57" s="79">
        <v>15545.632286472877</v>
      </c>
      <c r="R57" s="80">
        <f t="shared" ref="R57:R58" si="47">IFERROR(Q57/Q$28,0)</f>
        <v>5.3522206183198866E-4</v>
      </c>
      <c r="S57" s="79">
        <v>15934.273093634698</v>
      </c>
      <c r="T57" s="80">
        <f t="shared" ref="T57:T58" si="48">IFERROR(S57/S$28,0)</f>
        <v>5.3855612627715446E-4</v>
      </c>
      <c r="U57" s="79">
        <v>16332.629920975563</v>
      </c>
      <c r="V57" s="80">
        <f t="shared" ref="V57:V58" si="49">IFERROR(U57/U$28,0)</f>
        <v>5.2850276667361037E-4</v>
      </c>
      <c r="X57" s="200"/>
    </row>
    <row r="58" spans="1:24" ht="12.75" customHeight="1">
      <c r="A58" s="2" t="s">
        <v>389</v>
      </c>
      <c r="B58" s="35"/>
      <c r="C58" s="79">
        <v>12252</v>
      </c>
      <c r="D58" s="80">
        <f t="shared" si="40"/>
        <v>5.4753209654198555E-4</v>
      </c>
      <c r="E58" s="79">
        <v>13989</v>
      </c>
      <c r="F58" s="80">
        <f t="shared" si="41"/>
        <v>5.8786505825486808E-4</v>
      </c>
      <c r="G58" s="79">
        <v>14338.724999999999</v>
      </c>
      <c r="H58" s="80">
        <f t="shared" si="42"/>
        <v>5.5258818755876639E-4</v>
      </c>
      <c r="I58" s="79">
        <v>14697.193124999998</v>
      </c>
      <c r="J58" s="80">
        <f t="shared" si="43"/>
        <v>5.4997235947284507E-4</v>
      </c>
      <c r="K58" s="79">
        <v>15064.622953124997</v>
      </c>
      <c r="L58" s="80">
        <f t="shared" si="44"/>
        <v>5.4819138190473425E-4</v>
      </c>
      <c r="M58" s="79">
        <v>15441.238526953121</v>
      </c>
      <c r="N58" s="80">
        <f t="shared" si="45"/>
        <v>5.5160806699943137E-4</v>
      </c>
      <c r="O58" s="79">
        <v>15827.269490126948</v>
      </c>
      <c r="P58" s="80">
        <f t="shared" si="46"/>
        <v>5.5506451827836312E-4</v>
      </c>
      <c r="Q58" s="79">
        <v>16222.951227380121</v>
      </c>
      <c r="R58" s="80">
        <f t="shared" si="47"/>
        <v>5.5854154047330963E-4</v>
      </c>
      <c r="S58" s="79">
        <v>16628.525008064622</v>
      </c>
      <c r="T58" s="80">
        <f t="shared" si="48"/>
        <v>5.6202086919317977E-4</v>
      </c>
      <c r="U58" s="79">
        <v>17044.238133266237</v>
      </c>
      <c r="V58" s="80">
        <f t="shared" si="49"/>
        <v>5.515294874652377E-4</v>
      </c>
      <c r="X58" s="200"/>
    </row>
    <row r="59" spans="1:24" ht="12.75" customHeight="1">
      <c r="A59" s="2" t="s">
        <v>390</v>
      </c>
      <c r="B59" s="35"/>
      <c r="C59" s="79">
        <v>2000000</v>
      </c>
      <c r="D59" s="80">
        <f t="shared" si="20"/>
        <v>8.9378402961473313E-2</v>
      </c>
      <c r="E59" s="79">
        <v>2000000</v>
      </c>
      <c r="F59" s="80">
        <f t="shared" si="21"/>
        <v>8.4046759347325486E-2</v>
      </c>
      <c r="G59" s="79">
        <v>2000000</v>
      </c>
      <c r="H59" s="80">
        <f t="shared" si="22"/>
        <v>7.7076335247208722E-2</v>
      </c>
      <c r="I59" s="79">
        <v>2000000</v>
      </c>
      <c r="J59" s="80">
        <f t="shared" si="23"/>
        <v>7.484046168480149E-2</v>
      </c>
      <c r="K59" s="79">
        <v>2000000</v>
      </c>
      <c r="L59" s="80">
        <f t="shared" si="24"/>
        <v>7.2778639546503571E-2</v>
      </c>
      <c r="M59" s="79">
        <v>2000000</v>
      </c>
      <c r="N59" s="80">
        <f t="shared" si="25"/>
        <v>7.1446091067965026E-2</v>
      </c>
      <c r="O59" s="79">
        <v>2000000</v>
      </c>
      <c r="P59" s="80">
        <f t="shared" si="26"/>
        <v>7.0140275127634918E-2</v>
      </c>
      <c r="Q59" s="79">
        <v>2000000</v>
      </c>
      <c r="R59" s="80">
        <f t="shared" si="27"/>
        <v>6.8858191415953562E-2</v>
      </c>
      <c r="S59" s="79">
        <v>2000000</v>
      </c>
      <c r="T59" s="80">
        <f t="shared" si="28"/>
        <v>6.7597200463734075E-2</v>
      </c>
      <c r="U59" s="79">
        <v>2000000</v>
      </c>
      <c r="V59" s="80">
        <f t="shared" si="29"/>
        <v>6.4717411614753889E-2</v>
      </c>
      <c r="X59" s="200"/>
    </row>
    <row r="60" spans="1:24" ht="12.75" customHeight="1">
      <c r="A60" s="2" t="s">
        <v>391</v>
      </c>
      <c r="B60" s="35"/>
      <c r="C60" s="79">
        <v>0</v>
      </c>
      <c r="D60" s="80">
        <f t="shared" ref="D60:D62" si="50">IFERROR(C60/C$28,0)</f>
        <v>0</v>
      </c>
      <c r="E60" s="79">
        <v>0</v>
      </c>
      <c r="F60" s="80">
        <f t="shared" ref="F60:F62" si="51">IFERROR(E60/E$28,0)</f>
        <v>0</v>
      </c>
      <c r="G60" s="79">
        <v>0</v>
      </c>
      <c r="H60" s="80">
        <f t="shared" ref="H60:H62" si="52">IFERROR(G60/G$28,0)</f>
        <v>0</v>
      </c>
      <c r="I60" s="79">
        <v>0</v>
      </c>
      <c r="J60" s="80">
        <f t="shared" ref="J60:J62" si="53">IFERROR(I60/I$28,0)</f>
        <v>0</v>
      </c>
      <c r="K60" s="79">
        <v>0</v>
      </c>
      <c r="L60" s="80">
        <f t="shared" ref="L60:L62" si="54">IFERROR(K60/K$28,0)</f>
        <v>0</v>
      </c>
      <c r="M60" s="79">
        <v>0</v>
      </c>
      <c r="N60" s="80">
        <f t="shared" ref="N60:N62" si="55">IFERROR(M60/M$28,0)</f>
        <v>0</v>
      </c>
      <c r="O60" s="79">
        <v>0</v>
      </c>
      <c r="P60" s="80">
        <f t="shared" ref="P60:P62" si="56">IFERROR(O60/O$28,0)</f>
        <v>0</v>
      </c>
      <c r="Q60" s="79">
        <v>0</v>
      </c>
      <c r="R60" s="80">
        <f t="shared" ref="R60:R62" si="57">IFERROR(Q60/Q$28,0)</f>
        <v>0</v>
      </c>
      <c r="S60" s="79">
        <v>0</v>
      </c>
      <c r="T60" s="80">
        <f t="shared" ref="T60:T62" si="58">IFERROR(S60/S$28,0)</f>
        <v>0</v>
      </c>
      <c r="U60" s="79">
        <v>0</v>
      </c>
      <c r="V60" s="80">
        <f t="shared" ref="V60:V62" si="59">IFERROR(U60/U$28,0)</f>
        <v>0</v>
      </c>
      <c r="X60" s="200"/>
    </row>
    <row r="61" spans="1:24" ht="12.75" customHeight="1">
      <c r="A61" s="2" t="s">
        <v>392</v>
      </c>
      <c r="B61" s="35"/>
      <c r="C61" s="79">
        <v>134132.52499999999</v>
      </c>
      <c r="D61" s="80">
        <f t="shared" si="50"/>
        <v>5.9942754348449468E-3</v>
      </c>
      <c r="E61" s="79">
        <v>160959.03</v>
      </c>
      <c r="F61" s="80">
        <f t="shared" si="51"/>
        <v>6.7640424295944716E-3</v>
      </c>
      <c r="G61" s="79">
        <v>177054.93300000002</v>
      </c>
      <c r="H61" s="80">
        <f t="shared" si="52"/>
        <v>6.8233726865400395E-3</v>
      </c>
      <c r="I61" s="79">
        <v>181481.30632500001</v>
      </c>
      <c r="J61" s="80">
        <f t="shared" si="53"/>
        <v>6.791072376261943E-3</v>
      </c>
      <c r="K61" s="79">
        <v>186018.338983125</v>
      </c>
      <c r="L61" s="80">
        <f t="shared" si="54"/>
        <v>6.7690808209460839E-3</v>
      </c>
      <c r="M61" s="79">
        <v>190668.7974577031</v>
      </c>
      <c r="N61" s="80">
        <f t="shared" si="55"/>
        <v>6.8112701334912176E-3</v>
      </c>
      <c r="O61" s="79">
        <v>195435.51739414566</v>
      </c>
      <c r="P61" s="80">
        <f t="shared" si="56"/>
        <v>6.8539504798685287E-3</v>
      </c>
      <c r="Q61" s="79">
        <v>200321.40532899927</v>
      </c>
      <c r="R61" s="80">
        <f t="shared" si="57"/>
        <v>6.8968848364285261E-3</v>
      </c>
      <c r="S61" s="79">
        <v>205329.44046222424</v>
      </c>
      <c r="T61" s="80">
        <f t="shared" si="58"/>
        <v>6.9398476740156617E-3</v>
      </c>
      <c r="U61" s="79">
        <v>210462.67647377984</v>
      </c>
      <c r="V61" s="80">
        <f t="shared" si="59"/>
        <v>6.8102998314481947E-3</v>
      </c>
      <c r="X61" s="200"/>
    </row>
    <row r="62" spans="1:24" ht="12.75" customHeight="1">
      <c r="A62" s="2" t="s">
        <v>393</v>
      </c>
      <c r="B62" s="35"/>
      <c r="C62" s="238">
        <v>352608.2728988931</v>
      </c>
      <c r="D62" s="80">
        <f t="shared" si="50"/>
        <v>1.5757782151353209E-2</v>
      </c>
      <c r="E62" s="238">
        <v>447209.56820365239</v>
      </c>
      <c r="F62" s="80">
        <f t="shared" si="51"/>
        <v>1.8793257478316859E-2</v>
      </c>
      <c r="G62" s="238">
        <v>996596.43437386514</v>
      </c>
      <c r="H62" s="80">
        <f t="shared" si="52"/>
        <v>3.8407000440986439E-2</v>
      </c>
      <c r="I62" s="238">
        <v>497341.5022738651</v>
      </c>
      <c r="J62" s="80">
        <f t="shared" si="53"/>
        <v>1.8610633822594407E-2</v>
      </c>
      <c r="K62" s="238">
        <v>503999.09462465806</v>
      </c>
      <c r="L62" s="80">
        <f t="shared" si="54"/>
        <v>1.834018421972607E-2</v>
      </c>
      <c r="M62" s="238">
        <v>1064215.9837114925</v>
      </c>
      <c r="N62" s="80">
        <f t="shared" si="55"/>
        <v>3.8017036044117644E-2</v>
      </c>
      <c r="O62" s="238">
        <v>514483.77602265566</v>
      </c>
      <c r="P62" s="80">
        <f t="shared" si="56"/>
        <v>1.8043016799466786E-2</v>
      </c>
      <c r="Q62" s="238">
        <v>514759.60210315394</v>
      </c>
      <c r="R62" s="80">
        <f t="shared" si="57"/>
        <v>1.7722707607409533E-2</v>
      </c>
      <c r="S62" s="238">
        <v>1115043.702966067</v>
      </c>
      <c r="T62" s="80">
        <f t="shared" si="58"/>
        <v>3.7686916357610796E-2</v>
      </c>
      <c r="U62" s="238">
        <v>470013.93352002196</v>
      </c>
      <c r="V62" s="80">
        <f t="shared" si="59"/>
        <v>1.5209042600142416E-2</v>
      </c>
      <c r="X62" s="200"/>
    </row>
    <row r="63" spans="1:24" ht="12.75" customHeight="1">
      <c r="A63" s="2" t="s">
        <v>394</v>
      </c>
      <c r="B63" s="35"/>
      <c r="C63" s="134">
        <v>307063.78933815192</v>
      </c>
      <c r="D63" s="80">
        <f t="shared" si="20"/>
        <v>1.3722435549171149E-2</v>
      </c>
      <c r="E63" s="134">
        <v>184595.34939999998</v>
      </c>
      <c r="F63" s="80">
        <f t="shared" si="21"/>
        <v>7.7573204538286308E-3</v>
      </c>
      <c r="G63" s="134">
        <v>231005.93436799993</v>
      </c>
      <c r="H63" s="80">
        <f t="shared" si="22"/>
        <v>8.9025454207213289E-3</v>
      </c>
      <c r="I63" s="134">
        <v>235825.91425535994</v>
      </c>
      <c r="J63" s="80">
        <f t="shared" si="23"/>
        <v>8.8246601500557732E-3</v>
      </c>
      <c r="K63" s="134">
        <v>239714.0899044672</v>
      </c>
      <c r="L63" s="80">
        <f t="shared" si="24"/>
        <v>8.723032671687685E-3</v>
      </c>
      <c r="M63" s="134">
        <v>243671.74564019646</v>
      </c>
      <c r="N63" s="80">
        <f t="shared" si="25"/>
        <v>8.7046968648497435E-3</v>
      </c>
      <c r="O63" s="134">
        <v>247700.18823001682</v>
      </c>
      <c r="P63" s="80">
        <f t="shared" si="26"/>
        <v>8.686879675810168E-3</v>
      </c>
      <c r="Q63" s="134">
        <v>251800.74974840373</v>
      </c>
      <c r="R63" s="80">
        <f t="shared" si="27"/>
        <v>8.6692721124281037E-3</v>
      </c>
      <c r="S63" s="134">
        <v>255974.78807469626</v>
      </c>
      <c r="T63" s="80">
        <f t="shared" si="28"/>
        <v>8.6515895315735451E-3</v>
      </c>
      <c r="U63" s="134">
        <v>277024.48229518806</v>
      </c>
      <c r="V63" s="80">
        <f t="shared" si="29"/>
        <v>8.9641537240308933E-3</v>
      </c>
      <c r="X63" s="200"/>
    </row>
    <row r="64" spans="1:24" ht="12.75" customHeight="1">
      <c r="A64" s="2" t="s">
        <v>395</v>
      </c>
      <c r="B64" s="35"/>
      <c r="C64" s="134">
        <v>107408.49782399996</v>
      </c>
      <c r="D64" s="80">
        <f t="shared" si="20"/>
        <v>4.7999999999999996E-3</v>
      </c>
      <c r="E64" s="134">
        <v>114222.13151999998</v>
      </c>
      <c r="F64" s="80">
        <f t="shared" si="21"/>
        <v>4.7999999999999996E-3</v>
      </c>
      <c r="G64" s="134">
        <v>124551.84810239999</v>
      </c>
      <c r="H64" s="80">
        <f t="shared" si="22"/>
        <v>4.7999999999999996E-3</v>
      </c>
      <c r="I64" s="134">
        <v>128272.859144448</v>
      </c>
      <c r="J64" s="80">
        <f t="shared" si="23"/>
        <v>4.7999999999999996E-3</v>
      </c>
      <c r="K64" s="134">
        <v>131906.83502493694</v>
      </c>
      <c r="L64" s="80">
        <f t="shared" si="24"/>
        <v>4.7999999999999996E-3</v>
      </c>
      <c r="M64" s="134">
        <v>134367.04313001168</v>
      </c>
      <c r="N64" s="80">
        <f t="shared" si="25"/>
        <v>4.7999999999999996E-3</v>
      </c>
      <c r="O64" s="134">
        <v>136868.58203123367</v>
      </c>
      <c r="P64" s="80">
        <f t="shared" si="26"/>
        <v>4.7999999999999996E-3</v>
      </c>
      <c r="Q64" s="134">
        <v>139416.96409086633</v>
      </c>
      <c r="R64" s="80">
        <f t="shared" si="27"/>
        <v>4.7999999999999996E-3</v>
      </c>
      <c r="S64" s="134">
        <v>142017.71573588173</v>
      </c>
      <c r="T64" s="80">
        <f t="shared" si="28"/>
        <v>4.7999999999999996E-3</v>
      </c>
      <c r="U64" s="134">
        <v>148337.20571438072</v>
      </c>
      <c r="V64" s="80">
        <f t="shared" si="29"/>
        <v>4.7999999999999996E-3</v>
      </c>
      <c r="X64" s="200"/>
    </row>
    <row r="65" spans="1:24" ht="12.75" customHeight="1">
      <c r="A65" s="2" t="s">
        <v>396</v>
      </c>
      <c r="B65" s="35"/>
      <c r="C65" s="134">
        <v>11188.385189999997</v>
      </c>
      <c r="D65" s="80">
        <f t="shared" si="20"/>
        <v>5.0000000000000001E-4</v>
      </c>
      <c r="E65" s="134">
        <v>11898.1387</v>
      </c>
      <c r="F65" s="80">
        <f t="shared" si="21"/>
        <v>5.0000000000000001E-4</v>
      </c>
      <c r="G65" s="134">
        <v>12974.150844000002</v>
      </c>
      <c r="H65" s="80">
        <f t="shared" si="22"/>
        <v>5.0000000000000001E-4</v>
      </c>
      <c r="I65" s="134">
        <v>13361.756160880002</v>
      </c>
      <c r="J65" s="80">
        <f t="shared" si="23"/>
        <v>5.0000000000000001E-4</v>
      </c>
      <c r="K65" s="134">
        <v>13740.295315097601</v>
      </c>
      <c r="L65" s="80">
        <f t="shared" si="24"/>
        <v>5.0000000000000001E-4</v>
      </c>
      <c r="M65" s="134">
        <v>13996.566992709551</v>
      </c>
      <c r="N65" s="80">
        <f t="shared" si="25"/>
        <v>5.0000000000000001E-4</v>
      </c>
      <c r="O65" s="134">
        <v>14257.143961586842</v>
      </c>
      <c r="P65" s="80">
        <f t="shared" si="26"/>
        <v>5.0000000000000001E-4</v>
      </c>
      <c r="Q65" s="134">
        <v>14522.600426131912</v>
      </c>
      <c r="R65" s="80">
        <f t="shared" si="27"/>
        <v>5.0000000000000001E-4</v>
      </c>
      <c r="S65" s="134">
        <v>14793.512055821015</v>
      </c>
      <c r="T65" s="80">
        <f t="shared" si="28"/>
        <v>5.0000000000000001E-4</v>
      </c>
      <c r="U65" s="134">
        <v>15451.792261914659</v>
      </c>
      <c r="V65" s="80">
        <f t="shared" si="29"/>
        <v>5.0000000000000001E-4</v>
      </c>
      <c r="X65" s="200"/>
    </row>
    <row r="66" spans="1:24" ht="12.75" customHeight="1">
      <c r="A66" s="2" t="s">
        <v>397</v>
      </c>
      <c r="B66" s="35"/>
      <c r="C66" s="134">
        <v>62654.957063999987</v>
      </c>
      <c r="D66" s="80">
        <f t="shared" si="20"/>
        <v>2.8E-3</v>
      </c>
      <c r="E66" s="134">
        <v>66629.576719999997</v>
      </c>
      <c r="F66" s="80">
        <f t="shared" si="21"/>
        <v>2.8E-3</v>
      </c>
      <c r="G66" s="134">
        <v>72655.244726400007</v>
      </c>
      <c r="H66" s="80">
        <f t="shared" si="22"/>
        <v>2.8E-3</v>
      </c>
      <c r="I66" s="134">
        <v>74825.834500928002</v>
      </c>
      <c r="J66" s="80">
        <f t="shared" si="23"/>
        <v>2.8E-3</v>
      </c>
      <c r="K66" s="134">
        <v>76945.653764546558</v>
      </c>
      <c r="L66" s="80">
        <f t="shared" si="24"/>
        <v>2.8E-3</v>
      </c>
      <c r="M66" s="134">
        <v>78380.775159173485</v>
      </c>
      <c r="N66" s="80">
        <f t="shared" si="25"/>
        <v>2.8E-3</v>
      </c>
      <c r="O66" s="134">
        <v>79840.006184886312</v>
      </c>
      <c r="P66" s="80">
        <f t="shared" si="26"/>
        <v>2.8E-3</v>
      </c>
      <c r="Q66" s="134">
        <v>81326.562386338701</v>
      </c>
      <c r="R66" s="80">
        <f t="shared" si="27"/>
        <v>2.8E-3</v>
      </c>
      <c r="S66" s="134">
        <v>82843.667512597676</v>
      </c>
      <c r="T66" s="80">
        <f t="shared" si="28"/>
        <v>2.8E-3</v>
      </c>
      <c r="U66" s="134">
        <v>86530.036666722095</v>
      </c>
      <c r="V66" s="80">
        <f t="shared" si="29"/>
        <v>2.8E-3</v>
      </c>
      <c r="X66" s="200"/>
    </row>
    <row r="67" spans="1:24" ht="12.75" customHeight="1">
      <c r="A67" s="2" t="s">
        <v>398</v>
      </c>
      <c r="B67" s="35"/>
      <c r="C67" s="134">
        <v>335651.55569999991</v>
      </c>
      <c r="D67" s="80">
        <f t="shared" si="20"/>
        <v>1.4999999999999999E-2</v>
      </c>
      <c r="E67" s="134">
        <v>356944.16099999996</v>
      </c>
      <c r="F67" s="80">
        <f t="shared" si="21"/>
        <v>1.4999999999999999E-2</v>
      </c>
      <c r="G67" s="134">
        <v>389224.52532000002</v>
      </c>
      <c r="H67" s="80">
        <f t="shared" si="22"/>
        <v>1.4999999999999999E-2</v>
      </c>
      <c r="I67" s="134">
        <v>400852.68482640001</v>
      </c>
      <c r="J67" s="80">
        <f t="shared" si="23"/>
        <v>1.4999999999999999E-2</v>
      </c>
      <c r="K67" s="134">
        <v>412208.85945292801</v>
      </c>
      <c r="L67" s="80">
        <f t="shared" si="24"/>
        <v>1.4999999999999999E-2</v>
      </c>
      <c r="M67" s="134">
        <v>419897.00978128653</v>
      </c>
      <c r="N67" s="80">
        <f t="shared" si="25"/>
        <v>1.4999999999999999E-2</v>
      </c>
      <c r="O67" s="134">
        <v>427714.31884760526</v>
      </c>
      <c r="P67" s="80">
        <f t="shared" si="26"/>
        <v>1.4999999999999999E-2</v>
      </c>
      <c r="Q67" s="134">
        <v>435678.01278395735</v>
      </c>
      <c r="R67" s="80">
        <f t="shared" si="27"/>
        <v>1.4999999999999999E-2</v>
      </c>
      <c r="S67" s="134">
        <v>443805.36167463043</v>
      </c>
      <c r="T67" s="80">
        <f t="shared" si="28"/>
        <v>1.4999999999999999E-2</v>
      </c>
      <c r="U67" s="134">
        <v>463553.76785743976</v>
      </c>
      <c r="V67" s="80">
        <f t="shared" si="29"/>
        <v>1.4999999999999999E-2</v>
      </c>
      <c r="X67" s="200"/>
    </row>
    <row r="68" spans="1:24" ht="12.75" customHeight="1">
      <c r="A68" s="2" t="s">
        <v>399</v>
      </c>
      <c r="B68" s="35"/>
      <c r="C68" s="134">
        <v>38040.509645999991</v>
      </c>
      <c r="D68" s="80">
        <f t="shared" si="20"/>
        <v>1.6999999999999999E-3</v>
      </c>
      <c r="E68" s="134">
        <v>40453.671579999995</v>
      </c>
      <c r="F68" s="80">
        <f t="shared" si="21"/>
        <v>1.6999999999999999E-3</v>
      </c>
      <c r="G68" s="134">
        <v>44112.112869600001</v>
      </c>
      <c r="H68" s="80">
        <f t="shared" si="22"/>
        <v>1.6999999999999999E-3</v>
      </c>
      <c r="I68" s="134">
        <v>45429.970946992005</v>
      </c>
      <c r="J68" s="80">
        <f t="shared" si="23"/>
        <v>1.7000000000000001E-3</v>
      </c>
      <c r="K68" s="134">
        <v>46717.004071331838</v>
      </c>
      <c r="L68" s="80">
        <f t="shared" si="24"/>
        <v>1.6999999999999999E-3</v>
      </c>
      <c r="M68" s="134">
        <v>47588.32777521247</v>
      </c>
      <c r="N68" s="80">
        <f t="shared" si="25"/>
        <v>1.6999999999999999E-3</v>
      </c>
      <c r="O68" s="134">
        <v>48474.289469395262</v>
      </c>
      <c r="P68" s="80">
        <f t="shared" si="26"/>
        <v>1.6999999999999999E-3</v>
      </c>
      <c r="Q68" s="134">
        <v>49376.8414488485</v>
      </c>
      <c r="R68" s="80">
        <f t="shared" si="27"/>
        <v>1.6999999999999999E-3</v>
      </c>
      <c r="S68" s="134">
        <v>50297.940989791445</v>
      </c>
      <c r="T68" s="80">
        <f t="shared" si="28"/>
        <v>1.6999999999999999E-3</v>
      </c>
      <c r="U68" s="134">
        <v>52536.093690509835</v>
      </c>
      <c r="V68" s="80">
        <f t="shared" si="29"/>
        <v>1.6999999999999997E-3</v>
      </c>
      <c r="X68" s="200"/>
    </row>
    <row r="69" spans="1:24" ht="12.75" customHeight="1">
      <c r="A69" s="2" t="s">
        <v>400</v>
      </c>
      <c r="B69" s="35"/>
      <c r="C69" s="79">
        <v>12588</v>
      </c>
      <c r="D69" s="80">
        <f t="shared" si="20"/>
        <v>5.6254766823951303E-4</v>
      </c>
      <c r="E69" s="79">
        <v>13846.800000000001</v>
      </c>
      <c r="F69" s="80">
        <f t="shared" si="21"/>
        <v>5.8188933366527329E-4</v>
      </c>
      <c r="G69" s="79">
        <v>14539.140000000001</v>
      </c>
      <c r="H69" s="80">
        <f t="shared" si="22"/>
        <v>5.603118144230511E-4</v>
      </c>
      <c r="I69" s="79">
        <v>14902.6185</v>
      </c>
      <c r="J69" s="80">
        <f t="shared" si="23"/>
        <v>5.5765942442623196E-4</v>
      </c>
      <c r="K69" s="79">
        <v>15275.183962499999</v>
      </c>
      <c r="L69" s="80">
        <f t="shared" si="24"/>
        <v>5.5585355380665985E-4</v>
      </c>
      <c r="M69" s="79">
        <v>15657.063561562498</v>
      </c>
      <c r="N69" s="80">
        <f t="shared" si="25"/>
        <v>5.5931799453815554E-4</v>
      </c>
      <c r="O69" s="79">
        <v>16048.490150601559</v>
      </c>
      <c r="P69" s="80">
        <f t="shared" si="26"/>
        <v>5.6282275727316631E-4</v>
      </c>
      <c r="Q69" s="79">
        <v>16449.702404366599</v>
      </c>
      <c r="R69" s="80">
        <f t="shared" si="27"/>
        <v>5.6634837844767342E-4</v>
      </c>
      <c r="S69" s="79">
        <v>16860.944964475762</v>
      </c>
      <c r="T69" s="80">
        <f t="shared" si="28"/>
        <v>5.6987633838582791E-4</v>
      </c>
      <c r="U69" s="79">
        <v>17282.468588587653</v>
      </c>
      <c r="V69" s="80">
        <f t="shared" si="29"/>
        <v>5.5923831668334089E-4</v>
      </c>
      <c r="X69" s="200"/>
    </row>
    <row r="70" spans="1:24" ht="12.75" customHeight="1">
      <c r="A70" s="2" t="s">
        <v>401</v>
      </c>
      <c r="B70" s="35"/>
      <c r="C70" s="134">
        <v>2237.6770379999998</v>
      </c>
      <c r="D70" s="80">
        <f t="shared" si="20"/>
        <v>1.0000000000000002E-4</v>
      </c>
      <c r="E70" s="134">
        <v>2379.6277399999999</v>
      </c>
      <c r="F70" s="80">
        <f t="shared" si="21"/>
        <v>1E-4</v>
      </c>
      <c r="G70" s="134">
        <v>2594.8301688000001</v>
      </c>
      <c r="H70" s="80">
        <f t="shared" si="22"/>
        <v>1E-4</v>
      </c>
      <c r="I70" s="134">
        <v>2672.3512321760004</v>
      </c>
      <c r="J70" s="80">
        <f t="shared" si="23"/>
        <v>1E-4</v>
      </c>
      <c r="K70" s="134">
        <v>2748.0590630195202</v>
      </c>
      <c r="L70" s="80">
        <f t="shared" si="24"/>
        <v>1E-4</v>
      </c>
      <c r="M70" s="134">
        <v>2799.3133985419104</v>
      </c>
      <c r="N70" s="80">
        <f t="shared" si="25"/>
        <v>1E-4</v>
      </c>
      <c r="O70" s="134">
        <v>2851.4287923173688</v>
      </c>
      <c r="P70" s="80">
        <f t="shared" si="26"/>
        <v>1E-4</v>
      </c>
      <c r="Q70" s="134">
        <v>2904.5200852263824</v>
      </c>
      <c r="R70" s="80">
        <f t="shared" si="27"/>
        <v>1E-4</v>
      </c>
      <c r="S70" s="134">
        <v>2958.7024111642031</v>
      </c>
      <c r="T70" s="80">
        <f t="shared" si="28"/>
        <v>1E-4</v>
      </c>
      <c r="U70" s="134">
        <v>3090.3584523829322</v>
      </c>
      <c r="V70" s="80">
        <f t="shared" si="29"/>
        <v>1.0000000000000002E-4</v>
      </c>
      <c r="X70" s="200"/>
    </row>
    <row r="71" spans="1:24" ht="12.75" customHeight="1">
      <c r="A71" s="2" t="s">
        <v>402</v>
      </c>
      <c r="B71" s="35"/>
      <c r="C71" s="79">
        <v>78522</v>
      </c>
      <c r="D71" s="80">
        <f t="shared" si="20"/>
        <v>3.509085478670404E-3</v>
      </c>
      <c r="E71" s="79">
        <v>86374.200000000012</v>
      </c>
      <c r="F71" s="80">
        <f t="shared" si="21"/>
        <v>3.6297358006088807E-3</v>
      </c>
      <c r="G71" s="79">
        <v>90692.910000000018</v>
      </c>
      <c r="H71" s="80">
        <f t="shared" si="22"/>
        <v>3.4951385678524648E-3</v>
      </c>
      <c r="I71" s="79">
        <v>92960.23275000001</v>
      </c>
      <c r="J71" s="80">
        <f t="shared" si="23"/>
        <v>3.4785933686683024E-3</v>
      </c>
      <c r="K71" s="79">
        <v>95284.238568750006</v>
      </c>
      <c r="L71" s="80">
        <f t="shared" si="24"/>
        <v>3.4673286266290551E-3</v>
      </c>
      <c r="M71" s="79">
        <v>97666.344532968753</v>
      </c>
      <c r="N71" s="80">
        <f t="shared" si="25"/>
        <v>3.4889392728888668E-3</v>
      </c>
      <c r="O71" s="79">
        <v>100108.00314629296</v>
      </c>
      <c r="P71" s="80">
        <f t="shared" si="26"/>
        <v>3.5108014415795655E-3</v>
      </c>
      <c r="Q71" s="79">
        <v>102610.70322495028</v>
      </c>
      <c r="R71" s="80">
        <f t="shared" si="27"/>
        <v>3.5327937219946154E-3</v>
      </c>
      <c r="S71" s="79">
        <v>105175.97080557403</v>
      </c>
      <c r="T71" s="80">
        <f t="shared" si="28"/>
        <v>3.5548005912561156E-3</v>
      </c>
      <c r="U71" s="79">
        <v>107805.37007571338</v>
      </c>
      <c r="V71" s="80">
        <f t="shared" si="29"/>
        <v>3.4884422547354068E-3</v>
      </c>
      <c r="X71" s="200"/>
    </row>
    <row r="72" spans="1:24" ht="12.75" customHeight="1">
      <c r="A72" s="2" t="s">
        <v>403</v>
      </c>
      <c r="B72" s="35"/>
      <c r="C72" s="79">
        <v>5200</v>
      </c>
      <c r="D72" s="80">
        <f t="shared" si="20"/>
        <v>2.3238384769983062E-4</v>
      </c>
      <c r="E72" s="79">
        <v>5720.0000000000009</v>
      </c>
      <c r="F72" s="80">
        <f t="shared" si="21"/>
        <v>2.4037373173335091E-4</v>
      </c>
      <c r="G72" s="79">
        <v>6006.0000000000009</v>
      </c>
      <c r="H72" s="80">
        <f t="shared" si="22"/>
        <v>2.3146023474736782E-4</v>
      </c>
      <c r="I72" s="79">
        <v>6156.1500000000005</v>
      </c>
      <c r="J72" s="80">
        <f t="shared" si="23"/>
        <v>2.3036455410044537E-4</v>
      </c>
      <c r="K72" s="79">
        <v>6310.05375</v>
      </c>
      <c r="L72" s="80">
        <f t="shared" si="24"/>
        <v>2.2961856369515659E-4</v>
      </c>
      <c r="M72" s="79">
        <v>6467.8050937499993</v>
      </c>
      <c r="N72" s="80">
        <f t="shared" si="25"/>
        <v>2.3104969586895528E-4</v>
      </c>
      <c r="O72" s="79">
        <v>6629.5002210937491</v>
      </c>
      <c r="P72" s="80">
        <f t="shared" si="26"/>
        <v>2.3249748473311605E-4</v>
      </c>
      <c r="Q72" s="79">
        <v>6795.2377266210924</v>
      </c>
      <c r="R72" s="80">
        <f t="shared" si="27"/>
        <v>2.3395389004829216E-4</v>
      </c>
      <c r="S72" s="79">
        <v>6965.1186697866187</v>
      </c>
      <c r="T72" s="80">
        <f t="shared" si="28"/>
        <v>2.3541126148763147E-4</v>
      </c>
      <c r="U72" s="79">
        <v>7139.2466365312839</v>
      </c>
      <c r="V72" s="80">
        <f t="shared" si="29"/>
        <v>2.3101678159782117E-4</v>
      </c>
      <c r="X72" s="200"/>
    </row>
    <row r="73" spans="1:24" ht="12.75" customHeight="1">
      <c r="A73" s="2" t="s">
        <v>404</v>
      </c>
      <c r="B73" s="35"/>
      <c r="C73" s="79">
        <v>105000</v>
      </c>
      <c r="D73" s="80">
        <f t="shared" si="20"/>
        <v>4.6923661554773488E-3</v>
      </c>
      <c r="E73" s="79">
        <v>108150</v>
      </c>
      <c r="F73" s="80">
        <f t="shared" si="21"/>
        <v>4.5448285117066257E-3</v>
      </c>
      <c r="G73" s="79">
        <v>111394.5</v>
      </c>
      <c r="H73" s="80">
        <f t="shared" si="22"/>
        <v>4.2929399133475963E-3</v>
      </c>
      <c r="I73" s="79">
        <v>114736.33500000001</v>
      </c>
      <c r="J73" s="80">
        <f t="shared" si="23"/>
        <v>4.2934601417110247E-3</v>
      </c>
      <c r="K73" s="79">
        <v>118178.42505000001</v>
      </c>
      <c r="L73" s="80">
        <f t="shared" si="24"/>
        <v>4.3004324994437198E-3</v>
      </c>
      <c r="M73" s="79">
        <v>121723.77780150001</v>
      </c>
      <c r="N73" s="80">
        <f t="shared" si="25"/>
        <v>4.3483440569713544E-3</v>
      </c>
      <c r="O73" s="79">
        <v>125375.49113554502</v>
      </c>
      <c r="P73" s="80">
        <f t="shared" si="26"/>
        <v>4.3969357212547402E-3</v>
      </c>
      <c r="Q73" s="79">
        <v>129136.75586961137</v>
      </c>
      <c r="R73" s="80">
        <f t="shared" si="27"/>
        <v>4.4460617272524825E-3</v>
      </c>
      <c r="S73" s="79">
        <v>133010.85854569971</v>
      </c>
      <c r="T73" s="80">
        <f t="shared" si="28"/>
        <v>4.4955808344835204E-3</v>
      </c>
      <c r="U73" s="79">
        <v>137001.1843020707</v>
      </c>
      <c r="V73" s="80">
        <f t="shared" si="29"/>
        <v>4.4331810180929338E-3</v>
      </c>
      <c r="X73" s="200"/>
    </row>
    <row r="74" spans="1:24" ht="12.75" customHeight="1">
      <c r="A74" s="2" t="s">
        <v>405</v>
      </c>
      <c r="B74" s="35"/>
      <c r="C74" s="79">
        <v>0</v>
      </c>
      <c r="D74" s="80">
        <f t="shared" si="20"/>
        <v>0</v>
      </c>
      <c r="E74" s="79">
        <v>0</v>
      </c>
      <c r="F74" s="80">
        <f t="shared" si="21"/>
        <v>0</v>
      </c>
      <c r="G74" s="79">
        <v>0</v>
      </c>
      <c r="H74" s="80">
        <f t="shared" si="22"/>
        <v>0</v>
      </c>
      <c r="I74" s="79">
        <v>0</v>
      </c>
      <c r="J74" s="80">
        <f t="shared" si="23"/>
        <v>0</v>
      </c>
      <c r="K74" s="79">
        <v>0</v>
      </c>
      <c r="L74" s="80">
        <f t="shared" si="24"/>
        <v>0</v>
      </c>
      <c r="M74" s="79">
        <v>0</v>
      </c>
      <c r="N74" s="80">
        <f t="shared" si="25"/>
        <v>0</v>
      </c>
      <c r="O74" s="79">
        <v>0</v>
      </c>
      <c r="P74" s="80">
        <f t="shared" si="26"/>
        <v>0</v>
      </c>
      <c r="Q74" s="79">
        <v>0</v>
      </c>
      <c r="R74" s="80">
        <f t="shared" si="27"/>
        <v>0</v>
      </c>
      <c r="S74" s="79">
        <v>0</v>
      </c>
      <c r="T74" s="80">
        <f t="shared" si="28"/>
        <v>0</v>
      </c>
      <c r="U74" s="79">
        <v>0</v>
      </c>
      <c r="V74" s="80">
        <f t="shared" si="29"/>
        <v>0</v>
      </c>
      <c r="X74" s="200"/>
    </row>
    <row r="75" spans="1:24" ht="12.75" customHeight="1">
      <c r="A75" s="2" t="s">
        <v>406</v>
      </c>
      <c r="B75" s="35"/>
      <c r="C75" s="134">
        <v>111883.85189999998</v>
      </c>
      <c r="D75" s="80">
        <f t="shared" si="20"/>
        <v>5.0000000000000001E-3</v>
      </c>
      <c r="E75" s="134">
        <v>118981.38699999999</v>
      </c>
      <c r="F75" s="80">
        <f t="shared" si="21"/>
        <v>5.0000000000000001E-3</v>
      </c>
      <c r="G75" s="134">
        <v>129741.50844000001</v>
      </c>
      <c r="H75" s="80">
        <f t="shared" si="22"/>
        <v>5.0000000000000001E-3</v>
      </c>
      <c r="I75" s="134">
        <v>133617.56160880002</v>
      </c>
      <c r="J75" s="80">
        <f t="shared" si="23"/>
        <v>5.0000000000000001E-3</v>
      </c>
      <c r="K75" s="134">
        <v>137402.95315097601</v>
      </c>
      <c r="L75" s="80">
        <f t="shared" si="24"/>
        <v>5.0000000000000001E-3</v>
      </c>
      <c r="M75" s="134">
        <v>139965.6699270955</v>
      </c>
      <c r="N75" s="80">
        <f t="shared" si="25"/>
        <v>4.9999999999999992E-3</v>
      </c>
      <c r="O75" s="134">
        <v>142571.43961586844</v>
      </c>
      <c r="P75" s="80">
        <f t="shared" si="26"/>
        <v>5.000000000000001E-3</v>
      </c>
      <c r="Q75" s="134">
        <v>145226.00426131912</v>
      </c>
      <c r="R75" s="80">
        <f t="shared" si="27"/>
        <v>5.0000000000000001E-3</v>
      </c>
      <c r="S75" s="134">
        <v>147935.12055821015</v>
      </c>
      <c r="T75" s="80">
        <f t="shared" si="28"/>
        <v>5.0000000000000001E-3</v>
      </c>
      <c r="U75" s="134">
        <v>154517.92261914659</v>
      </c>
      <c r="V75" s="80">
        <f t="shared" si="29"/>
        <v>5.0000000000000001E-3</v>
      </c>
      <c r="X75" s="200"/>
    </row>
    <row r="76" spans="1:24" ht="12.75" customHeight="1">
      <c r="A76" s="2" t="s">
        <v>407</v>
      </c>
      <c r="B76" s="35"/>
      <c r="C76" s="134">
        <v>8950.7081519999992</v>
      </c>
      <c r="D76" s="80">
        <f t="shared" si="20"/>
        <v>4.0000000000000007E-4</v>
      </c>
      <c r="E76" s="134">
        <v>9518.5109599999996</v>
      </c>
      <c r="F76" s="80">
        <f t="shared" si="21"/>
        <v>4.0000000000000002E-4</v>
      </c>
      <c r="G76" s="134">
        <v>10379.320675200001</v>
      </c>
      <c r="H76" s="80">
        <f t="shared" si="22"/>
        <v>4.0000000000000002E-4</v>
      </c>
      <c r="I76" s="134">
        <v>10689.404928704002</v>
      </c>
      <c r="J76" s="80">
        <f t="shared" si="23"/>
        <v>4.0000000000000002E-4</v>
      </c>
      <c r="K76" s="134">
        <v>10992.236252078081</v>
      </c>
      <c r="L76" s="80">
        <f t="shared" si="24"/>
        <v>4.0000000000000002E-4</v>
      </c>
      <c r="M76" s="134">
        <v>11197.253594167641</v>
      </c>
      <c r="N76" s="80">
        <f t="shared" si="25"/>
        <v>4.0000000000000002E-4</v>
      </c>
      <c r="O76" s="134">
        <v>11405.715169269475</v>
      </c>
      <c r="P76" s="80">
        <f t="shared" si="26"/>
        <v>4.0000000000000002E-4</v>
      </c>
      <c r="Q76" s="134">
        <v>11618.08034090553</v>
      </c>
      <c r="R76" s="80">
        <f t="shared" si="27"/>
        <v>4.0000000000000002E-4</v>
      </c>
      <c r="S76" s="134">
        <v>11834.809644656812</v>
      </c>
      <c r="T76" s="80">
        <f t="shared" si="28"/>
        <v>4.0000000000000002E-4</v>
      </c>
      <c r="U76" s="134">
        <v>12361.433809531729</v>
      </c>
      <c r="V76" s="80">
        <f t="shared" si="29"/>
        <v>4.0000000000000007E-4</v>
      </c>
      <c r="X76" s="200"/>
    </row>
    <row r="77" spans="1:24" ht="12.75" customHeight="1">
      <c r="A77" s="2" t="s">
        <v>408</v>
      </c>
      <c r="B77" s="35"/>
      <c r="C77" s="134">
        <v>29089.801493999992</v>
      </c>
      <c r="D77" s="80">
        <f t="shared" si="20"/>
        <v>1.2999999999999999E-3</v>
      </c>
      <c r="E77" s="134">
        <v>30935.160619999995</v>
      </c>
      <c r="F77" s="80">
        <f t="shared" si="21"/>
        <v>1.2999999999999999E-3</v>
      </c>
      <c r="G77" s="134">
        <v>33732.792194399997</v>
      </c>
      <c r="H77" s="80">
        <f t="shared" si="22"/>
        <v>1.2999999999999999E-3</v>
      </c>
      <c r="I77" s="134">
        <v>34740.566018288002</v>
      </c>
      <c r="J77" s="80">
        <f t="shared" si="23"/>
        <v>1.2999999999999999E-3</v>
      </c>
      <c r="K77" s="134">
        <v>35724.767819253757</v>
      </c>
      <c r="L77" s="80">
        <f t="shared" si="24"/>
        <v>1.2999999999999999E-3</v>
      </c>
      <c r="M77" s="134">
        <v>36391.074181044831</v>
      </c>
      <c r="N77" s="80">
        <f t="shared" si="25"/>
        <v>1.2999999999999999E-3</v>
      </c>
      <c r="O77" s="134">
        <v>37068.574300125787</v>
      </c>
      <c r="P77" s="80">
        <f t="shared" si="26"/>
        <v>1.2999999999999999E-3</v>
      </c>
      <c r="Q77" s="134">
        <v>37758.76110794297</v>
      </c>
      <c r="R77" s="80">
        <f t="shared" si="27"/>
        <v>1.2999999999999999E-3</v>
      </c>
      <c r="S77" s="134">
        <v>38463.131345134636</v>
      </c>
      <c r="T77" s="80">
        <f t="shared" si="28"/>
        <v>1.2999999999999999E-3</v>
      </c>
      <c r="U77" s="134">
        <v>40174.659880978114</v>
      </c>
      <c r="V77" s="80">
        <f t="shared" si="29"/>
        <v>1.2999999999999999E-3</v>
      </c>
      <c r="X77" s="200"/>
    </row>
    <row r="78" spans="1:24" ht="12.75" customHeight="1">
      <c r="A78" s="2" t="s">
        <v>409</v>
      </c>
      <c r="B78" s="35"/>
      <c r="C78" s="134">
        <v>492288.94835999986</v>
      </c>
      <c r="D78" s="80">
        <f t="shared" si="20"/>
        <v>2.1999999999999999E-2</v>
      </c>
      <c r="E78" s="134">
        <v>523518.10279999994</v>
      </c>
      <c r="F78" s="80">
        <f t="shared" si="21"/>
        <v>2.1999999999999999E-2</v>
      </c>
      <c r="G78" s="134">
        <v>570862.63713599998</v>
      </c>
      <c r="H78" s="80">
        <f t="shared" si="22"/>
        <v>2.1999999999999999E-2</v>
      </c>
      <c r="I78" s="134">
        <v>587917.27107871999</v>
      </c>
      <c r="J78" s="80">
        <f t="shared" si="23"/>
        <v>2.1999999999999999E-2</v>
      </c>
      <c r="K78" s="134">
        <v>604572.99386429437</v>
      </c>
      <c r="L78" s="80">
        <f t="shared" si="24"/>
        <v>2.1999999999999999E-2</v>
      </c>
      <c r="M78" s="134">
        <v>615848.94767922023</v>
      </c>
      <c r="N78" s="80">
        <f t="shared" si="25"/>
        <v>2.1999999999999999E-2</v>
      </c>
      <c r="O78" s="134">
        <v>627314.33430982102</v>
      </c>
      <c r="P78" s="80">
        <f t="shared" si="26"/>
        <v>2.1999999999999999E-2</v>
      </c>
      <c r="Q78" s="134">
        <v>638994.41874980403</v>
      </c>
      <c r="R78" s="80">
        <f t="shared" si="27"/>
        <v>2.1999999999999999E-2</v>
      </c>
      <c r="S78" s="134">
        <v>650914.53045612457</v>
      </c>
      <c r="T78" s="80">
        <f t="shared" si="28"/>
        <v>2.1999999999999999E-2</v>
      </c>
      <c r="U78" s="134">
        <v>679878.85952424502</v>
      </c>
      <c r="V78" s="80">
        <f t="shared" si="29"/>
        <v>2.2000000000000002E-2</v>
      </c>
      <c r="X78" s="200"/>
    </row>
    <row r="79" spans="1:24" ht="12.75" customHeight="1">
      <c r="A79" s="2" t="s">
        <v>410</v>
      </c>
      <c r="B79" s="35"/>
      <c r="C79" s="79">
        <v>1200</v>
      </c>
      <c r="D79" s="80">
        <f t="shared" si="20"/>
        <v>5.3627041776883988E-5</v>
      </c>
      <c r="E79" s="79">
        <v>1230</v>
      </c>
      <c r="F79" s="80">
        <f t="shared" si="21"/>
        <v>5.1688756998605168E-5</v>
      </c>
      <c r="G79" s="79">
        <v>1260.75</v>
      </c>
      <c r="H79" s="80">
        <f t="shared" si="22"/>
        <v>4.8586994831459194E-5</v>
      </c>
      <c r="I79" s="79">
        <v>1292.26875</v>
      </c>
      <c r="J79" s="80">
        <f t="shared" si="23"/>
        <v>4.8356994935420654E-5</v>
      </c>
      <c r="K79" s="79">
        <v>1324.5754687499998</v>
      </c>
      <c r="L79" s="80">
        <f t="shared" si="24"/>
        <v>4.8200400296148624E-5</v>
      </c>
      <c r="M79" s="79">
        <v>1357.6898554687498</v>
      </c>
      <c r="N79" s="80">
        <f t="shared" si="25"/>
        <v>4.8500816527936288E-5</v>
      </c>
      <c r="O79" s="79">
        <v>1391.6321018554684</v>
      </c>
      <c r="P79" s="80">
        <f t="shared" si="26"/>
        <v>4.8804729250295705E-5</v>
      </c>
      <c r="Q79" s="79">
        <v>1426.422904401855</v>
      </c>
      <c r="R79" s="80">
        <f t="shared" si="27"/>
        <v>4.9110450695701682E-5</v>
      </c>
      <c r="S79" s="79">
        <v>1462.0834770119013</v>
      </c>
      <c r="T79" s="80">
        <f t="shared" si="28"/>
        <v>4.9416374945143417E-5</v>
      </c>
      <c r="U79" s="79">
        <v>1498.6355639371986</v>
      </c>
      <c r="V79" s="80">
        <f t="shared" si="29"/>
        <v>4.8493907325916248E-5</v>
      </c>
      <c r="X79" s="200"/>
    </row>
    <row r="80" spans="1:24" ht="12.75" customHeight="1">
      <c r="A80" s="2" t="s">
        <v>411</v>
      </c>
      <c r="B80" s="35"/>
      <c r="C80" s="79">
        <v>10000</v>
      </c>
      <c r="D80" s="80">
        <f t="shared" si="20"/>
        <v>4.468920148073666E-4</v>
      </c>
      <c r="E80" s="79">
        <v>10000</v>
      </c>
      <c r="F80" s="80">
        <f t="shared" si="21"/>
        <v>4.2023379673662741E-4</v>
      </c>
      <c r="G80" s="79">
        <v>10000</v>
      </c>
      <c r="H80" s="80">
        <f t="shared" si="22"/>
        <v>3.8538167623604358E-4</v>
      </c>
      <c r="I80" s="79">
        <v>10000</v>
      </c>
      <c r="J80" s="80">
        <f t="shared" si="23"/>
        <v>3.7420230842400744E-4</v>
      </c>
      <c r="K80" s="79">
        <v>10000</v>
      </c>
      <c r="L80" s="80">
        <f t="shared" si="24"/>
        <v>3.6389319773251787E-4</v>
      </c>
      <c r="M80" s="79">
        <v>10000</v>
      </c>
      <c r="N80" s="80">
        <f t="shared" si="25"/>
        <v>3.5723045533982514E-4</v>
      </c>
      <c r="O80" s="79">
        <v>10000</v>
      </c>
      <c r="P80" s="80">
        <f t="shared" si="26"/>
        <v>3.5070137563817462E-4</v>
      </c>
      <c r="Q80" s="79">
        <v>10000</v>
      </c>
      <c r="R80" s="80">
        <f t="shared" si="27"/>
        <v>3.4429095707976784E-4</v>
      </c>
      <c r="S80" s="79">
        <v>10000</v>
      </c>
      <c r="T80" s="80">
        <f t="shared" si="28"/>
        <v>3.379860023186704E-4</v>
      </c>
      <c r="U80" s="79">
        <v>10000</v>
      </c>
      <c r="V80" s="80">
        <f t="shared" si="29"/>
        <v>3.2358705807376944E-4</v>
      </c>
      <c r="X80" s="200"/>
    </row>
    <row r="81" spans="1:24" ht="12.75" customHeight="1">
      <c r="A81" s="2" t="s">
        <v>412</v>
      </c>
      <c r="B81" s="35"/>
      <c r="C81" s="79">
        <v>33500</v>
      </c>
      <c r="D81" s="80">
        <f t="shared" si="20"/>
        <v>1.497088249604678E-3</v>
      </c>
      <c r="E81" s="79">
        <v>36850</v>
      </c>
      <c r="F81" s="80">
        <f t="shared" si="21"/>
        <v>1.548561540974472E-3</v>
      </c>
      <c r="G81" s="79">
        <v>38692.5</v>
      </c>
      <c r="H81" s="80">
        <f t="shared" si="22"/>
        <v>1.4911380507763117E-3</v>
      </c>
      <c r="I81" s="79">
        <v>39659.8125</v>
      </c>
      <c r="J81" s="80">
        <f t="shared" si="23"/>
        <v>1.4840793389163307E-3</v>
      </c>
      <c r="K81" s="79">
        <v>40651.307812499996</v>
      </c>
      <c r="L81" s="80">
        <f t="shared" si="24"/>
        <v>1.479273439189951E-3</v>
      </c>
      <c r="M81" s="79">
        <v>41667.590507812492</v>
      </c>
      <c r="N81" s="80">
        <f t="shared" si="25"/>
        <v>1.4884932330019233E-3</v>
      </c>
      <c r="O81" s="79">
        <v>42709.280270507799</v>
      </c>
      <c r="P81" s="80">
        <f t="shared" si="26"/>
        <v>1.4978203343383434E-3</v>
      </c>
      <c r="Q81" s="79">
        <v>43777.012277270493</v>
      </c>
      <c r="R81" s="80">
        <f t="shared" si="27"/>
        <v>1.5072029455034204E-3</v>
      </c>
      <c r="S81" s="79">
        <v>44871.437584202249</v>
      </c>
      <c r="T81" s="80">
        <f t="shared" si="28"/>
        <v>1.5165917807376257E-3</v>
      </c>
      <c r="U81" s="79">
        <v>45993.223523807304</v>
      </c>
      <c r="V81" s="80">
        <f t="shared" si="29"/>
        <v>1.4882811891398092E-3</v>
      </c>
      <c r="X81" s="200"/>
    </row>
    <row r="82" spans="1:24" ht="12.75" customHeight="1">
      <c r="A82" s="2" t="s">
        <v>413</v>
      </c>
      <c r="B82" s="35"/>
      <c r="C82" s="79">
        <v>0</v>
      </c>
      <c r="D82" s="80">
        <f t="shared" si="20"/>
        <v>0</v>
      </c>
      <c r="E82" s="79">
        <v>0</v>
      </c>
      <c r="F82" s="80">
        <f t="shared" si="21"/>
        <v>0</v>
      </c>
      <c r="G82" s="79">
        <v>0</v>
      </c>
      <c r="H82" s="80">
        <f t="shared" si="22"/>
        <v>0</v>
      </c>
      <c r="I82" s="79">
        <v>0</v>
      </c>
      <c r="J82" s="80">
        <f t="shared" si="23"/>
        <v>0</v>
      </c>
      <c r="K82" s="79">
        <v>0</v>
      </c>
      <c r="L82" s="80">
        <f t="shared" si="24"/>
        <v>0</v>
      </c>
      <c r="M82" s="79">
        <v>0</v>
      </c>
      <c r="N82" s="80">
        <f t="shared" si="25"/>
        <v>0</v>
      </c>
      <c r="O82" s="79">
        <v>0</v>
      </c>
      <c r="P82" s="80">
        <f t="shared" si="26"/>
        <v>0</v>
      </c>
      <c r="Q82" s="79">
        <v>0</v>
      </c>
      <c r="R82" s="80">
        <f t="shared" si="27"/>
        <v>0</v>
      </c>
      <c r="S82" s="79">
        <v>0</v>
      </c>
      <c r="T82" s="80">
        <f t="shared" si="28"/>
        <v>0</v>
      </c>
      <c r="U82" s="79">
        <v>0</v>
      </c>
      <c r="V82" s="80">
        <f t="shared" si="29"/>
        <v>0</v>
      </c>
      <c r="X82" s="200"/>
    </row>
    <row r="83" spans="1:24" ht="12.75" customHeight="1">
      <c r="A83" s="2" t="s">
        <v>414</v>
      </c>
      <c r="B83" s="35"/>
      <c r="C83" s="79">
        <v>2500</v>
      </c>
      <c r="D83" s="80">
        <f t="shared" si="20"/>
        <v>1.1172300370184165E-4</v>
      </c>
      <c r="E83" s="79">
        <v>2500</v>
      </c>
      <c r="F83" s="80">
        <f t="shared" si="21"/>
        <v>1.0505844918415685E-4</v>
      </c>
      <c r="G83" s="79">
        <v>2500</v>
      </c>
      <c r="H83" s="80">
        <f t="shared" si="22"/>
        <v>9.6345419059010894E-5</v>
      </c>
      <c r="I83" s="79">
        <v>2500</v>
      </c>
      <c r="J83" s="80">
        <f t="shared" si="23"/>
        <v>9.3550577106001859E-5</v>
      </c>
      <c r="K83" s="79">
        <v>2500</v>
      </c>
      <c r="L83" s="80">
        <f t="shared" si="24"/>
        <v>9.0973299433129467E-5</v>
      </c>
      <c r="M83" s="79">
        <v>2500</v>
      </c>
      <c r="N83" s="80">
        <f t="shared" si="25"/>
        <v>8.9307613834956284E-5</v>
      </c>
      <c r="O83" s="79">
        <v>2500</v>
      </c>
      <c r="P83" s="80">
        <f t="shared" si="26"/>
        <v>8.7675343909543655E-5</v>
      </c>
      <c r="Q83" s="79">
        <v>2500</v>
      </c>
      <c r="R83" s="80">
        <f t="shared" si="27"/>
        <v>8.607273926994196E-5</v>
      </c>
      <c r="S83" s="79">
        <v>2500</v>
      </c>
      <c r="T83" s="80">
        <f t="shared" si="28"/>
        <v>8.44965005796676E-5</v>
      </c>
      <c r="U83" s="79">
        <v>2500</v>
      </c>
      <c r="V83" s="80">
        <f t="shared" si="29"/>
        <v>8.0896764518442361E-5</v>
      </c>
      <c r="X83" s="200"/>
    </row>
    <row r="84" spans="1:24" ht="12.75" customHeight="1">
      <c r="A84" s="2" t="s">
        <v>415</v>
      </c>
      <c r="B84" s="35"/>
      <c r="C84" s="79">
        <v>50000</v>
      </c>
      <c r="D84" s="80">
        <f t="shared" si="20"/>
        <v>2.2344600740368328E-3</v>
      </c>
      <c r="E84" s="79">
        <v>50000</v>
      </c>
      <c r="F84" s="80">
        <f t="shared" si="21"/>
        <v>2.1011689836831372E-3</v>
      </c>
      <c r="G84" s="79">
        <v>50000</v>
      </c>
      <c r="H84" s="80">
        <f t="shared" si="22"/>
        <v>1.926908381180218E-3</v>
      </c>
      <c r="I84" s="79">
        <v>50000</v>
      </c>
      <c r="J84" s="80">
        <f t="shared" si="23"/>
        <v>1.8710115421200373E-3</v>
      </c>
      <c r="K84" s="79">
        <v>50000</v>
      </c>
      <c r="L84" s="80">
        <f t="shared" si="24"/>
        <v>1.8194659886625894E-3</v>
      </c>
      <c r="M84" s="79">
        <v>50000</v>
      </c>
      <c r="N84" s="80">
        <f t="shared" si="25"/>
        <v>1.7861522766991257E-3</v>
      </c>
      <c r="O84" s="79">
        <v>50000</v>
      </c>
      <c r="P84" s="80">
        <f t="shared" si="26"/>
        <v>1.753506878190873E-3</v>
      </c>
      <c r="Q84" s="79">
        <v>50000</v>
      </c>
      <c r="R84" s="80">
        <f t="shared" si="27"/>
        <v>1.7214547853988391E-3</v>
      </c>
      <c r="S84" s="79">
        <v>50000</v>
      </c>
      <c r="T84" s="80">
        <f t="shared" si="28"/>
        <v>1.689930011593352E-3</v>
      </c>
      <c r="U84" s="79">
        <v>50000</v>
      </c>
      <c r="V84" s="80">
        <f t="shared" si="29"/>
        <v>1.6179352903688473E-3</v>
      </c>
      <c r="X84" s="200"/>
    </row>
    <row r="85" spans="1:24" ht="12.75" customHeight="1">
      <c r="A85" s="2" t="s">
        <v>416</v>
      </c>
      <c r="B85" s="35"/>
      <c r="C85" s="79">
        <v>5500</v>
      </c>
      <c r="D85" s="80">
        <f t="shared" si="20"/>
        <v>2.4579060814405163E-4</v>
      </c>
      <c r="E85" s="79">
        <v>5582.4999999999991</v>
      </c>
      <c r="F85" s="80">
        <f t="shared" si="21"/>
        <v>2.3459551702822222E-4</v>
      </c>
      <c r="G85" s="79">
        <v>5666.2374999999984</v>
      </c>
      <c r="H85" s="80">
        <f t="shared" si="22"/>
        <v>2.1836641057015286E-4</v>
      </c>
      <c r="I85" s="79">
        <v>5751.2310624999982</v>
      </c>
      <c r="J85" s="80">
        <f t="shared" si="23"/>
        <v>2.1521239398673565E-4</v>
      </c>
      <c r="K85" s="79">
        <v>5837.4995284374972</v>
      </c>
      <c r="L85" s="80">
        <f t="shared" si="24"/>
        <v>2.1242263701651862E-4</v>
      </c>
      <c r="M85" s="79">
        <v>5925.0620213640595</v>
      </c>
      <c r="N85" s="80">
        <f t="shared" si="25"/>
        <v>2.1166126038085878E-4</v>
      </c>
      <c r="O85" s="79">
        <v>6013.9379516845202</v>
      </c>
      <c r="P85" s="80">
        <f t="shared" si="26"/>
        <v>2.1090963126583874E-4</v>
      </c>
      <c r="Q85" s="79">
        <v>6104.1470209597874</v>
      </c>
      <c r="R85" s="80">
        <f t="shared" si="27"/>
        <v>2.1016026200018588E-4</v>
      </c>
      <c r="S85" s="79">
        <v>6195.7092262741835</v>
      </c>
      <c r="T85" s="80">
        <f t="shared" si="28"/>
        <v>2.0940629929173138E-4</v>
      </c>
      <c r="U85" s="79">
        <v>6288.6448646682957</v>
      </c>
      <c r="V85" s="80">
        <f t="shared" si="29"/>
        <v>2.0349240910287318E-4</v>
      </c>
      <c r="X85" s="200"/>
    </row>
    <row r="86" spans="1:24" ht="12.75" customHeight="1">
      <c r="A86" s="2" t="s">
        <v>417</v>
      </c>
      <c r="B86" s="35"/>
      <c r="C86" s="134">
        <v>89507.081519999978</v>
      </c>
      <c r="D86" s="80">
        <f t="shared" ref="D86:D105" si="60">IFERROR(C86/C$28,0)</f>
        <v>4.0000000000000001E-3</v>
      </c>
      <c r="E86" s="134">
        <v>95185.109599999996</v>
      </c>
      <c r="F86" s="80">
        <f t="shared" ref="F86:F105" si="61">IFERROR(E86/E$28,0)</f>
        <v>4.0000000000000001E-3</v>
      </c>
      <c r="G86" s="134">
        <v>103793.20675200001</v>
      </c>
      <c r="H86" s="80">
        <f t="shared" ref="H86:H105" si="62">IFERROR(G86/G$28,0)</f>
        <v>4.0000000000000001E-3</v>
      </c>
      <c r="I86" s="134">
        <v>106894.04928704002</v>
      </c>
      <c r="J86" s="80">
        <f t="shared" ref="J86:J105" si="63">IFERROR(I86/I$28,0)</f>
        <v>4.0000000000000001E-3</v>
      </c>
      <c r="K86" s="134">
        <v>109922.36252078081</v>
      </c>
      <c r="L86" s="80">
        <f t="shared" ref="L86:L105" si="64">IFERROR(K86/K$28,0)</f>
        <v>4.0000000000000001E-3</v>
      </c>
      <c r="M86" s="134">
        <v>111972.53594167641</v>
      </c>
      <c r="N86" s="80">
        <f t="shared" ref="N86:N105" si="65">IFERROR(M86/M$28,0)</f>
        <v>4.0000000000000001E-3</v>
      </c>
      <c r="O86" s="134">
        <v>114057.15169269474</v>
      </c>
      <c r="P86" s="80">
        <f t="shared" ref="P86:P105" si="66">IFERROR(O86/O$28,0)</f>
        <v>4.0000000000000001E-3</v>
      </c>
      <c r="Q86" s="134">
        <v>116180.8034090553</v>
      </c>
      <c r="R86" s="80">
        <f t="shared" ref="R86:R105" si="67">IFERROR(Q86/Q$28,0)</f>
        <v>4.0000000000000001E-3</v>
      </c>
      <c r="S86" s="134">
        <v>118348.09644656812</v>
      </c>
      <c r="T86" s="80">
        <f t="shared" ref="T86:T105" si="68">IFERROR(S86/S$28,0)</f>
        <v>4.0000000000000001E-3</v>
      </c>
      <c r="U86" s="134">
        <v>123614.33809531727</v>
      </c>
      <c r="V86" s="80">
        <f t="shared" si="29"/>
        <v>4.0000000000000001E-3</v>
      </c>
      <c r="X86" s="200"/>
    </row>
    <row r="87" spans="1:24" ht="12.75" customHeight="1">
      <c r="A87" s="2" t="s">
        <v>418</v>
      </c>
      <c r="B87" s="35"/>
      <c r="C87" s="79">
        <v>77899</v>
      </c>
      <c r="D87" s="80">
        <f t="shared" si="60"/>
        <v>3.4812441061479048E-3</v>
      </c>
      <c r="E87" s="79">
        <v>85688.900000000009</v>
      </c>
      <c r="F87" s="80">
        <f t="shared" si="61"/>
        <v>3.6009371785185196E-3</v>
      </c>
      <c r="G87" s="79">
        <v>94257.790000000023</v>
      </c>
      <c r="H87" s="80">
        <f t="shared" si="62"/>
        <v>3.6325225108504995E-3</v>
      </c>
      <c r="I87" s="79">
        <v>96614.234750000018</v>
      </c>
      <c r="J87" s="80">
        <f t="shared" si="63"/>
        <v>3.6153269670068967E-3</v>
      </c>
      <c r="K87" s="79">
        <v>99029.590618750008</v>
      </c>
      <c r="L87" s="80">
        <f t="shared" si="64"/>
        <v>3.6036194400399092E-3</v>
      </c>
      <c r="M87" s="79">
        <v>101505.33038421875</v>
      </c>
      <c r="N87" s="80">
        <f t="shared" si="65"/>
        <v>3.6260795392573852E-3</v>
      </c>
      <c r="O87" s="79">
        <v>104042.9636438242</v>
      </c>
      <c r="P87" s="80">
        <f t="shared" si="66"/>
        <v>3.6488010475361735E-3</v>
      </c>
      <c r="Q87" s="79">
        <v>106644.0377349198</v>
      </c>
      <c r="R87" s="80">
        <f t="shared" si="67"/>
        <v>3.6716577818606414E-3</v>
      </c>
      <c r="S87" s="79">
        <v>109310.13867829279</v>
      </c>
      <c r="T87" s="80">
        <f t="shared" si="68"/>
        <v>3.6945296784775651E-3</v>
      </c>
      <c r="U87" s="79">
        <v>112042.89214525009</v>
      </c>
      <c r="V87" s="80">
        <f t="shared" si="29"/>
        <v>3.6255629847358126E-3</v>
      </c>
      <c r="X87" s="200"/>
    </row>
    <row r="88" spans="1:24" ht="12.75" customHeight="1">
      <c r="A88" s="2" t="s">
        <v>419</v>
      </c>
      <c r="B88" s="35"/>
      <c r="C88" s="134">
        <v>114121.52893799999</v>
      </c>
      <c r="D88" s="80">
        <f t="shared" si="60"/>
        <v>5.1000000000000004E-3</v>
      </c>
      <c r="E88" s="134">
        <v>121361.01474</v>
      </c>
      <c r="F88" s="80">
        <f t="shared" si="61"/>
        <v>5.1000000000000004E-3</v>
      </c>
      <c r="G88" s="134">
        <v>132336.33860880003</v>
      </c>
      <c r="H88" s="80">
        <f t="shared" si="62"/>
        <v>5.1000000000000012E-3</v>
      </c>
      <c r="I88" s="134">
        <v>136289.91284097603</v>
      </c>
      <c r="J88" s="80">
        <f t="shared" si="63"/>
        <v>5.1000000000000004E-3</v>
      </c>
      <c r="K88" s="134">
        <v>140151.01221399553</v>
      </c>
      <c r="L88" s="80">
        <f t="shared" si="64"/>
        <v>5.1000000000000004E-3</v>
      </c>
      <c r="M88" s="134">
        <v>142764.98332563744</v>
      </c>
      <c r="N88" s="80">
        <f t="shared" si="65"/>
        <v>5.1000000000000004E-3</v>
      </c>
      <c r="O88" s="134">
        <v>145422.86840818581</v>
      </c>
      <c r="P88" s="80">
        <f t="shared" si="66"/>
        <v>5.1000000000000004E-3</v>
      </c>
      <c r="Q88" s="134">
        <v>148130.52434654551</v>
      </c>
      <c r="R88" s="80">
        <f t="shared" si="67"/>
        <v>5.1000000000000004E-3</v>
      </c>
      <c r="S88" s="134">
        <v>150893.82296937436</v>
      </c>
      <c r="T88" s="80">
        <f t="shared" si="68"/>
        <v>5.1000000000000004E-3</v>
      </c>
      <c r="U88" s="134">
        <v>157608.28107152955</v>
      </c>
      <c r="V88" s="80">
        <f t="shared" si="29"/>
        <v>5.1000000000000004E-3</v>
      </c>
      <c r="X88" s="200"/>
    </row>
    <row r="89" spans="1:24" ht="12.75" customHeight="1">
      <c r="A89" s="2" t="s">
        <v>420</v>
      </c>
      <c r="B89" s="35"/>
      <c r="C89" s="79">
        <v>33024</v>
      </c>
      <c r="D89" s="80">
        <f t="shared" si="60"/>
        <v>1.4758161896998474E-3</v>
      </c>
      <c r="E89" s="79">
        <v>34675.200000000004</v>
      </c>
      <c r="F89" s="80">
        <f t="shared" si="61"/>
        <v>1.4571690948601904E-3</v>
      </c>
      <c r="G89" s="79">
        <v>35542.080000000002</v>
      </c>
      <c r="H89" s="80">
        <f t="shared" si="62"/>
        <v>1.3697266367315561E-3</v>
      </c>
      <c r="I89" s="79">
        <v>36430.631999999998</v>
      </c>
      <c r="J89" s="80">
        <f t="shared" si="63"/>
        <v>1.3632426591745515E-3</v>
      </c>
      <c r="K89" s="79">
        <v>37341.397799999992</v>
      </c>
      <c r="L89" s="80">
        <f t="shared" si="64"/>
        <v>1.3588280653244005E-3</v>
      </c>
      <c r="M89" s="79">
        <v>38274.932744999991</v>
      </c>
      <c r="N89" s="80">
        <f t="shared" si="65"/>
        <v>1.3672971652597531E-3</v>
      </c>
      <c r="O89" s="79">
        <v>39231.806063624987</v>
      </c>
      <c r="P89" s="80">
        <f t="shared" si="66"/>
        <v>1.3758648355283363E-3</v>
      </c>
      <c r="Q89" s="79">
        <v>40212.601215215611</v>
      </c>
      <c r="R89" s="80">
        <f t="shared" si="67"/>
        <v>1.3844834959053619E-3</v>
      </c>
      <c r="S89" s="79">
        <v>41217.916245595996</v>
      </c>
      <c r="T89" s="80">
        <f t="shared" si="68"/>
        <v>1.3931078735754771E-3</v>
      </c>
      <c r="U89" s="79">
        <v>42248.364151735892</v>
      </c>
      <c r="V89" s="80">
        <f t="shared" si="29"/>
        <v>1.367102386428952E-3</v>
      </c>
      <c r="X89" s="200"/>
    </row>
    <row r="90" spans="1:24" ht="12.75" customHeight="1">
      <c r="A90" s="2" t="s">
        <v>421</v>
      </c>
      <c r="B90" s="35"/>
      <c r="C90" s="134">
        <v>4475.3540759999996</v>
      </c>
      <c r="D90" s="80">
        <f t="shared" si="60"/>
        <v>2.0000000000000004E-4</v>
      </c>
      <c r="E90" s="134">
        <v>4759.2554799999998</v>
      </c>
      <c r="F90" s="80">
        <f t="shared" si="61"/>
        <v>2.0000000000000001E-4</v>
      </c>
      <c r="G90" s="134">
        <v>5189.6603376000003</v>
      </c>
      <c r="H90" s="80">
        <f t="shared" si="62"/>
        <v>2.0000000000000001E-4</v>
      </c>
      <c r="I90" s="134">
        <v>5344.7024643520008</v>
      </c>
      <c r="J90" s="80">
        <f t="shared" si="63"/>
        <v>2.0000000000000001E-4</v>
      </c>
      <c r="K90" s="134">
        <v>5496.1181260390404</v>
      </c>
      <c r="L90" s="80">
        <f t="shared" si="64"/>
        <v>2.0000000000000001E-4</v>
      </c>
      <c r="M90" s="134">
        <v>5598.6267970838207</v>
      </c>
      <c r="N90" s="80">
        <f t="shared" si="65"/>
        <v>2.0000000000000001E-4</v>
      </c>
      <c r="O90" s="134">
        <v>5702.8575846347376</v>
      </c>
      <c r="P90" s="80">
        <f t="shared" si="66"/>
        <v>2.0000000000000001E-4</v>
      </c>
      <c r="Q90" s="134">
        <v>5809.0401704527649</v>
      </c>
      <c r="R90" s="80">
        <f t="shared" si="67"/>
        <v>2.0000000000000001E-4</v>
      </c>
      <c r="S90" s="134">
        <v>5917.4048223284062</v>
      </c>
      <c r="T90" s="80">
        <f t="shared" si="68"/>
        <v>2.0000000000000001E-4</v>
      </c>
      <c r="U90" s="134">
        <v>6180.7169047658645</v>
      </c>
      <c r="V90" s="80">
        <f t="shared" si="29"/>
        <v>2.0000000000000004E-4</v>
      </c>
      <c r="X90" s="200"/>
    </row>
    <row r="91" spans="1:24" ht="12.75" customHeight="1">
      <c r="A91" s="2" t="s">
        <v>422</v>
      </c>
      <c r="C91" s="79">
        <v>34000</v>
      </c>
      <c r="D91" s="80">
        <f t="shared" si="60"/>
        <v>1.5194328503450464E-3</v>
      </c>
      <c r="E91" s="79">
        <v>37400</v>
      </c>
      <c r="F91" s="80">
        <f t="shared" si="61"/>
        <v>1.5716743997949865E-3</v>
      </c>
      <c r="G91" s="79">
        <v>39270</v>
      </c>
      <c r="H91" s="80">
        <f t="shared" si="62"/>
        <v>1.5133938425789433E-3</v>
      </c>
      <c r="I91" s="79">
        <v>40251.75</v>
      </c>
      <c r="J91" s="80">
        <f t="shared" si="63"/>
        <v>1.5062297768106041E-3</v>
      </c>
      <c r="K91" s="79">
        <v>41258.043749999997</v>
      </c>
      <c r="L91" s="80">
        <f t="shared" si="64"/>
        <v>1.5013521472375623E-3</v>
      </c>
      <c r="M91" s="79">
        <v>42289.494843749992</v>
      </c>
      <c r="N91" s="80">
        <f t="shared" si="65"/>
        <v>1.5107095499123997E-3</v>
      </c>
      <c r="O91" s="79">
        <v>43346.732214843738</v>
      </c>
      <c r="P91" s="80">
        <f t="shared" si="66"/>
        <v>1.5201758617165279E-3</v>
      </c>
      <c r="Q91" s="79">
        <v>44430.400520214826</v>
      </c>
      <c r="R91" s="80">
        <f t="shared" si="67"/>
        <v>1.5296985118542178E-3</v>
      </c>
      <c r="S91" s="79">
        <v>45541.160533220194</v>
      </c>
      <c r="T91" s="80">
        <f t="shared" si="68"/>
        <v>1.5392274789575902E-3</v>
      </c>
      <c r="U91" s="79">
        <v>46679.689546550697</v>
      </c>
      <c r="V91" s="80">
        <f t="shared" si="29"/>
        <v>1.5104943412165227E-3</v>
      </c>
      <c r="X91" s="200"/>
    </row>
    <row r="92" spans="1:24" ht="12.75" customHeight="1">
      <c r="A92" s="2" t="s">
        <v>423</v>
      </c>
      <c r="B92" s="35"/>
      <c r="C92" s="134">
        <v>116359.20597599997</v>
      </c>
      <c r="D92" s="80">
        <f t="shared" si="60"/>
        <v>5.1999999999999998E-3</v>
      </c>
      <c r="E92" s="134">
        <v>123740.64247999998</v>
      </c>
      <c r="F92" s="80">
        <f t="shared" si="61"/>
        <v>5.1999999999999998E-3</v>
      </c>
      <c r="G92" s="134">
        <v>134931.16877759999</v>
      </c>
      <c r="H92" s="80">
        <f t="shared" si="62"/>
        <v>5.1999999999999998E-3</v>
      </c>
      <c r="I92" s="134">
        <v>138962.26407315201</v>
      </c>
      <c r="J92" s="80">
        <f t="shared" si="63"/>
        <v>5.1999999999999998E-3</v>
      </c>
      <c r="K92" s="134">
        <v>142899.07127701503</v>
      </c>
      <c r="L92" s="80">
        <f t="shared" si="64"/>
        <v>5.1999999999999998E-3</v>
      </c>
      <c r="M92" s="134">
        <v>145564.29672417932</v>
      </c>
      <c r="N92" s="80">
        <f t="shared" si="65"/>
        <v>5.1999999999999998E-3</v>
      </c>
      <c r="O92" s="134">
        <v>148274.29720050315</v>
      </c>
      <c r="P92" s="80">
        <f t="shared" si="66"/>
        <v>5.1999999999999998E-3</v>
      </c>
      <c r="Q92" s="134">
        <v>151035.04443177188</v>
      </c>
      <c r="R92" s="80">
        <f t="shared" si="67"/>
        <v>5.1999999999999998E-3</v>
      </c>
      <c r="S92" s="134">
        <v>153852.52538053854</v>
      </c>
      <c r="T92" s="80">
        <f t="shared" si="68"/>
        <v>5.1999999999999998E-3</v>
      </c>
      <c r="U92" s="134">
        <v>160698.63952391245</v>
      </c>
      <c r="V92" s="80">
        <f t="shared" si="29"/>
        <v>5.1999999999999998E-3</v>
      </c>
      <c r="X92" s="200"/>
    </row>
    <row r="93" spans="1:24" ht="12.75" customHeight="1">
      <c r="A93" s="2" t="s">
        <v>424</v>
      </c>
      <c r="B93" s="35"/>
      <c r="C93" s="79">
        <v>24534</v>
      </c>
      <c r="D93" s="80">
        <f t="shared" si="60"/>
        <v>1.0964048691283932E-3</v>
      </c>
      <c r="E93" s="79">
        <v>25024.68</v>
      </c>
      <c r="F93" s="80">
        <f t="shared" si="61"/>
        <v>1.0516216288519145E-3</v>
      </c>
      <c r="G93" s="79">
        <v>25525.173600000002</v>
      </c>
      <c r="H93" s="80">
        <f t="shared" si="62"/>
        <v>9.8369341881840086E-4</v>
      </c>
      <c r="I93" s="79">
        <v>26035.677072000002</v>
      </c>
      <c r="J93" s="80">
        <f t="shared" si="63"/>
        <v>9.7426104617244047E-4</v>
      </c>
      <c r="K93" s="79">
        <v>26556.390613440002</v>
      </c>
      <c r="L93" s="80">
        <f t="shared" si="64"/>
        <v>9.6636899005585046E-4</v>
      </c>
      <c r="M93" s="79">
        <v>27087.518425708804</v>
      </c>
      <c r="N93" s="80">
        <f t="shared" si="65"/>
        <v>9.6764865412418601E-4</v>
      </c>
      <c r="O93" s="79">
        <v>27629.268794222982</v>
      </c>
      <c r="P93" s="80">
        <f t="shared" si="66"/>
        <v>9.6896225740108891E-4</v>
      </c>
      <c r="Q93" s="79">
        <v>28181.854170107443</v>
      </c>
      <c r="R93" s="80">
        <f t="shared" si="67"/>
        <v>9.7027575445087378E-4</v>
      </c>
      <c r="S93" s="79">
        <v>28745.491253509594</v>
      </c>
      <c r="T93" s="80">
        <f t="shared" si="68"/>
        <v>9.7155736734600134E-4</v>
      </c>
      <c r="U93" s="79">
        <v>29320.401078579787</v>
      </c>
      <c r="V93" s="80">
        <f t="shared" si="29"/>
        <v>9.4877023265606091E-4</v>
      </c>
      <c r="X93" s="200"/>
    </row>
    <row r="94" spans="1:24" ht="12.75" customHeight="1">
      <c r="A94" s="2" t="s">
        <v>425</v>
      </c>
      <c r="B94" s="35"/>
      <c r="C94" s="79">
        <v>12000</v>
      </c>
      <c r="D94" s="80">
        <f t="shared" si="60"/>
        <v>5.3627041776883996E-4</v>
      </c>
      <c r="E94" s="79">
        <v>12240</v>
      </c>
      <c r="F94" s="80">
        <f t="shared" si="61"/>
        <v>5.1436616720563198E-4</v>
      </c>
      <c r="G94" s="79">
        <v>12484.800000000001</v>
      </c>
      <c r="H94" s="80">
        <f t="shared" si="62"/>
        <v>4.8114131514717575E-4</v>
      </c>
      <c r="I94" s="79">
        <v>12734.496000000001</v>
      </c>
      <c r="J94" s="80">
        <f t="shared" si="63"/>
        <v>4.7652777998162895E-4</v>
      </c>
      <c r="K94" s="79">
        <v>12989.185920000002</v>
      </c>
      <c r="L94" s="80">
        <f t="shared" si="64"/>
        <v>4.7266764003709978E-4</v>
      </c>
      <c r="M94" s="79">
        <v>13248.969638400002</v>
      </c>
      <c r="N94" s="80">
        <f t="shared" si="65"/>
        <v>4.7329354567091509E-4</v>
      </c>
      <c r="O94" s="79">
        <v>13513.949031168002</v>
      </c>
      <c r="P94" s="80">
        <f t="shared" si="66"/>
        <v>4.7393605155347953E-4</v>
      </c>
      <c r="Q94" s="79">
        <v>13784.228011791361</v>
      </c>
      <c r="R94" s="80">
        <f t="shared" si="67"/>
        <v>4.7457850547853931E-4</v>
      </c>
      <c r="S94" s="79">
        <v>14059.91257202719</v>
      </c>
      <c r="T94" s="80">
        <f t="shared" si="68"/>
        <v>4.7520536431694849E-4</v>
      </c>
      <c r="U94" s="79">
        <v>14341.110823467734</v>
      </c>
      <c r="V94" s="80">
        <f t="shared" si="29"/>
        <v>4.640597860875817E-4</v>
      </c>
      <c r="X94" s="200"/>
    </row>
    <row r="95" spans="1:24" ht="12.75" customHeight="1">
      <c r="A95" s="2" t="s">
        <v>426</v>
      </c>
      <c r="B95" s="35"/>
      <c r="C95" s="79">
        <v>447535.40759999992</v>
      </c>
      <c r="D95" s="80">
        <f t="shared" si="60"/>
        <v>0.02</v>
      </c>
      <c r="E95" s="79">
        <v>475925.54799999995</v>
      </c>
      <c r="F95" s="80">
        <f t="shared" si="61"/>
        <v>0.02</v>
      </c>
      <c r="G95" s="79">
        <v>518966.03376000002</v>
      </c>
      <c r="H95" s="80">
        <f t="shared" si="62"/>
        <v>0.02</v>
      </c>
      <c r="I95" s="79">
        <v>534470.2464352001</v>
      </c>
      <c r="J95" s="80">
        <f t="shared" si="63"/>
        <v>0.02</v>
      </c>
      <c r="K95" s="79">
        <v>549611.81260390405</v>
      </c>
      <c r="L95" s="80">
        <f t="shared" si="64"/>
        <v>0.02</v>
      </c>
      <c r="M95" s="79">
        <v>559862.679708382</v>
      </c>
      <c r="N95" s="80">
        <f t="shared" si="65"/>
        <v>1.9999999999999997E-2</v>
      </c>
      <c r="O95" s="79">
        <v>570285.75846347376</v>
      </c>
      <c r="P95" s="80">
        <f t="shared" si="66"/>
        <v>2.0000000000000004E-2</v>
      </c>
      <c r="Q95" s="79">
        <v>580904.01704527647</v>
      </c>
      <c r="R95" s="80">
        <f t="shared" si="67"/>
        <v>0.02</v>
      </c>
      <c r="S95" s="79">
        <v>591740.48223284062</v>
      </c>
      <c r="T95" s="80">
        <f t="shared" si="68"/>
        <v>0.02</v>
      </c>
      <c r="U95" s="79">
        <v>618071.69047658634</v>
      </c>
      <c r="V95" s="80">
        <f t="shared" si="29"/>
        <v>0.02</v>
      </c>
      <c r="X95" s="200"/>
    </row>
    <row r="96" spans="1:24" ht="12.75" customHeight="1">
      <c r="A96" s="2" t="s">
        <v>427</v>
      </c>
      <c r="B96" s="35"/>
      <c r="C96" s="79">
        <v>15273</v>
      </c>
      <c r="D96" s="80">
        <f t="shared" si="60"/>
        <v>6.8253817421529096E-4</v>
      </c>
      <c r="E96" s="79">
        <v>15731.19</v>
      </c>
      <c r="F96" s="80">
        <f t="shared" si="61"/>
        <v>6.6107777008852662E-4</v>
      </c>
      <c r="G96" s="79">
        <v>16203.125700000001</v>
      </c>
      <c r="H96" s="80">
        <f t="shared" si="62"/>
        <v>6.2443877425293179E-4</v>
      </c>
      <c r="I96" s="79">
        <v>16689.219471</v>
      </c>
      <c r="J96" s="80">
        <f t="shared" si="63"/>
        <v>6.2451444518430929E-4</v>
      </c>
      <c r="K96" s="79">
        <v>17189.896055130001</v>
      </c>
      <c r="L96" s="80">
        <f t="shared" si="64"/>
        <v>6.2552862441908499E-4</v>
      </c>
      <c r="M96" s="79">
        <v>17705.592936783902</v>
      </c>
      <c r="N96" s="80">
        <f t="shared" si="65"/>
        <v>6.3249770268689054E-4</v>
      </c>
      <c r="O96" s="79">
        <v>18236.760724887419</v>
      </c>
      <c r="P96" s="80">
        <f t="shared" si="66"/>
        <v>6.3956570734022527E-4</v>
      </c>
      <c r="Q96" s="79">
        <v>18783.863546634042</v>
      </c>
      <c r="R96" s="80">
        <f t="shared" si="67"/>
        <v>6.4671143581263967E-4</v>
      </c>
      <c r="S96" s="79">
        <v>19347.379453033063</v>
      </c>
      <c r="T96" s="80">
        <f t="shared" si="68"/>
        <v>6.5391434366730285E-4</v>
      </c>
      <c r="U96" s="79">
        <v>19927.800836624057</v>
      </c>
      <c r="V96" s="80">
        <f t="shared" si="29"/>
        <v>6.4483784466031803E-4</v>
      </c>
      <c r="X96" s="200"/>
    </row>
    <row r="97" spans="1:24" ht="12.75" customHeight="1">
      <c r="A97" s="2" t="s">
        <v>428</v>
      </c>
      <c r="B97" s="35"/>
      <c r="C97" s="79">
        <v>280489.8357</v>
      </c>
      <c r="D97" s="80">
        <f t="shared" ref="D97" si="69">IFERROR(C97/C$28,0)</f>
        <v>1.2534866780896022E-2</v>
      </c>
      <c r="E97" s="79">
        <v>297490.27667583519</v>
      </c>
      <c r="F97" s="80">
        <f t="shared" ref="F97" si="70">IFERROR(E97/E$28,0)</f>
        <v>1.2501546845971597E-2</v>
      </c>
      <c r="G97" s="79">
        <v>321723.57616905519</v>
      </c>
      <c r="H97" s="80">
        <f t="shared" ref="H97" si="71">IFERROR(G97/G$28,0)</f>
        <v>1.2398637106868494E-2</v>
      </c>
      <c r="I97" s="79">
        <v>331078.8394262502</v>
      </c>
      <c r="J97" s="80">
        <f t="shared" ref="J97" si="72">IFERROR(I97/I$28,0)</f>
        <v>1.2389046598364411E-2</v>
      </c>
      <c r="K97" s="79">
        <v>339171.71446697938</v>
      </c>
      <c r="L97" s="80">
        <f t="shared" ref="L97" si="73">IFERROR(K97/K$28,0)</f>
        <v>1.2342227975780962E-2</v>
      </c>
      <c r="M97" s="79">
        <v>347464.35255842825</v>
      </c>
      <c r="N97" s="80">
        <f t="shared" ref="N97" si="74">IFERROR(M97/M$28,0)</f>
        <v>1.2412484887880486E-2</v>
      </c>
      <c r="O97" s="79">
        <v>355961.6966003587</v>
      </c>
      <c r="P97" s="80">
        <f t="shared" ref="P97" si="75">IFERROR(O97/O$28,0)</f>
        <v>1.2483625667224434E-2</v>
      </c>
      <c r="Q97" s="79">
        <v>364668.81204149692</v>
      </c>
      <c r="R97" s="80">
        <f t="shared" ref="R97" si="76">IFERROR(Q97/Q$28,0)</f>
        <v>1.2555217431490894E-2</v>
      </c>
      <c r="S97" s="79">
        <v>373590.88992278627</v>
      </c>
      <c r="T97" s="80">
        <f t="shared" ref="T97" si="77">IFERROR(S97/S$28,0)</f>
        <v>1.2626849138767698E-2</v>
      </c>
      <c r="U97" s="79">
        <v>382733.24999631266</v>
      </c>
      <c r="V97" s="80">
        <f t="shared" ref="V97" si="78">IFERROR(U97/U$28,0)</f>
        <v>1.2384752639331933E-2</v>
      </c>
      <c r="X97" s="200"/>
    </row>
    <row r="98" spans="1:24" ht="12.75" customHeight="1">
      <c r="A98" s="117" t="s">
        <v>429</v>
      </c>
      <c r="B98" s="35"/>
      <c r="C98" s="134">
        <v>26852.12445599999</v>
      </c>
      <c r="D98" s="80">
        <f t="shared" si="60"/>
        <v>1.1999999999999999E-3</v>
      </c>
      <c r="E98" s="134">
        <v>28555.532879999995</v>
      </c>
      <c r="F98" s="80">
        <f t="shared" si="61"/>
        <v>1.1999999999999999E-3</v>
      </c>
      <c r="G98" s="134">
        <v>31137.962025599998</v>
      </c>
      <c r="H98" s="80">
        <f t="shared" si="62"/>
        <v>1.1999999999999999E-3</v>
      </c>
      <c r="I98" s="134">
        <v>32068.214786111999</v>
      </c>
      <c r="J98" s="80">
        <f t="shared" si="63"/>
        <v>1.1999999999999999E-3</v>
      </c>
      <c r="K98" s="134">
        <v>32976.708756234235</v>
      </c>
      <c r="L98" s="80">
        <f t="shared" si="64"/>
        <v>1.1999999999999999E-3</v>
      </c>
      <c r="M98" s="134">
        <v>33591.760782502919</v>
      </c>
      <c r="N98" s="80">
        <f t="shared" si="65"/>
        <v>1.1999999999999999E-3</v>
      </c>
      <c r="O98" s="134">
        <v>34217.145507808418</v>
      </c>
      <c r="P98" s="80">
        <f t="shared" si="66"/>
        <v>1.1999999999999999E-3</v>
      </c>
      <c r="Q98" s="134">
        <v>34854.241022716582</v>
      </c>
      <c r="R98" s="80">
        <f t="shared" si="67"/>
        <v>1.1999999999999999E-3</v>
      </c>
      <c r="S98" s="134">
        <v>35504.428933970434</v>
      </c>
      <c r="T98" s="80">
        <f t="shared" si="68"/>
        <v>1.1999999999999999E-3</v>
      </c>
      <c r="U98" s="134">
        <v>37084.301428595179</v>
      </c>
      <c r="V98" s="80">
        <f t="shared" si="29"/>
        <v>1.1999999999999999E-3</v>
      </c>
      <c r="X98" s="200"/>
    </row>
    <row r="99" spans="1:24" ht="12.75" customHeight="1">
      <c r="A99" s="117" t="s">
        <v>430</v>
      </c>
      <c r="B99" s="35"/>
      <c r="C99" s="134">
        <v>0</v>
      </c>
      <c r="D99" s="80">
        <f t="shared" si="60"/>
        <v>0</v>
      </c>
      <c r="E99" s="134">
        <v>0</v>
      </c>
      <c r="F99" s="80">
        <f t="shared" si="61"/>
        <v>0</v>
      </c>
      <c r="G99" s="134">
        <v>0</v>
      </c>
      <c r="H99" s="80">
        <f t="shared" si="62"/>
        <v>0</v>
      </c>
      <c r="I99" s="134">
        <v>0</v>
      </c>
      <c r="J99" s="80">
        <f t="shared" si="63"/>
        <v>0</v>
      </c>
      <c r="K99" s="134">
        <v>0</v>
      </c>
      <c r="L99" s="80">
        <f t="shared" si="64"/>
        <v>0</v>
      </c>
      <c r="M99" s="134">
        <v>0</v>
      </c>
      <c r="N99" s="80">
        <f t="shared" si="65"/>
        <v>0</v>
      </c>
      <c r="O99" s="134">
        <v>0</v>
      </c>
      <c r="P99" s="80">
        <f t="shared" si="66"/>
        <v>0</v>
      </c>
      <c r="Q99" s="134">
        <v>0</v>
      </c>
      <c r="R99" s="80">
        <f t="shared" si="67"/>
        <v>0</v>
      </c>
      <c r="S99" s="134">
        <v>0</v>
      </c>
      <c r="T99" s="80">
        <f t="shared" si="68"/>
        <v>0</v>
      </c>
      <c r="U99" s="134">
        <v>0</v>
      </c>
      <c r="V99" s="80">
        <f t="shared" si="29"/>
        <v>0</v>
      </c>
      <c r="X99" s="200"/>
    </row>
    <row r="100" spans="1:24" ht="12.75" customHeight="1">
      <c r="A100" s="117" t="s">
        <v>431</v>
      </c>
      <c r="B100" s="35"/>
      <c r="C100" s="134">
        <v>0</v>
      </c>
      <c r="D100" s="80">
        <f t="shared" si="60"/>
        <v>0</v>
      </c>
      <c r="E100" s="134">
        <v>0</v>
      </c>
      <c r="F100" s="80">
        <f t="shared" si="61"/>
        <v>0</v>
      </c>
      <c r="G100" s="134">
        <v>0</v>
      </c>
      <c r="H100" s="80">
        <f t="shared" si="62"/>
        <v>0</v>
      </c>
      <c r="I100" s="134">
        <v>0</v>
      </c>
      <c r="J100" s="80">
        <f t="shared" si="63"/>
        <v>0</v>
      </c>
      <c r="K100" s="134">
        <v>0</v>
      </c>
      <c r="L100" s="80">
        <f t="shared" si="64"/>
        <v>0</v>
      </c>
      <c r="M100" s="134">
        <v>0</v>
      </c>
      <c r="N100" s="80">
        <f t="shared" si="65"/>
        <v>0</v>
      </c>
      <c r="O100" s="134">
        <v>0</v>
      </c>
      <c r="P100" s="80">
        <f t="shared" si="66"/>
        <v>0</v>
      </c>
      <c r="Q100" s="134">
        <v>0</v>
      </c>
      <c r="R100" s="80">
        <f t="shared" si="67"/>
        <v>0</v>
      </c>
      <c r="S100" s="134">
        <v>0</v>
      </c>
      <c r="T100" s="80">
        <f t="shared" si="68"/>
        <v>0</v>
      </c>
      <c r="U100" s="134">
        <v>0</v>
      </c>
      <c r="V100" s="80">
        <f t="shared" si="29"/>
        <v>0</v>
      </c>
      <c r="X100" s="200"/>
    </row>
    <row r="101" spans="1:24" ht="12.75" customHeight="1">
      <c r="A101" s="2" t="s">
        <v>432</v>
      </c>
      <c r="B101" s="35"/>
      <c r="C101" s="79">
        <v>25000</v>
      </c>
      <c r="D101" s="80">
        <f t="shared" si="60"/>
        <v>1.1172300370184164E-3</v>
      </c>
      <c r="E101" s="79">
        <v>148000</v>
      </c>
      <c r="F101" s="80">
        <f t="shared" si="61"/>
        <v>6.2194601917020861E-3</v>
      </c>
      <c r="G101" s="79">
        <v>103000</v>
      </c>
      <c r="H101" s="80">
        <f t="shared" si="62"/>
        <v>3.9694312652312491E-3</v>
      </c>
      <c r="I101" s="79">
        <v>0</v>
      </c>
      <c r="J101" s="80">
        <f t="shared" si="63"/>
        <v>0</v>
      </c>
      <c r="K101" s="79">
        <v>0</v>
      </c>
      <c r="L101" s="80">
        <f t="shared" si="64"/>
        <v>0</v>
      </c>
      <c r="M101" s="79">
        <v>0</v>
      </c>
      <c r="N101" s="80">
        <f t="shared" si="65"/>
        <v>0</v>
      </c>
      <c r="O101" s="79">
        <v>0</v>
      </c>
      <c r="P101" s="80">
        <f t="shared" si="66"/>
        <v>0</v>
      </c>
      <c r="Q101" s="79">
        <v>0</v>
      </c>
      <c r="R101" s="80">
        <f t="shared" si="67"/>
        <v>0</v>
      </c>
      <c r="S101" s="79">
        <v>0</v>
      </c>
      <c r="T101" s="80">
        <f t="shared" si="68"/>
        <v>0</v>
      </c>
      <c r="U101" s="79">
        <v>0</v>
      </c>
      <c r="V101" s="80">
        <f t="shared" si="29"/>
        <v>0</v>
      </c>
      <c r="X101" s="200"/>
    </row>
    <row r="102" spans="1:24" ht="12.75" customHeight="1">
      <c r="A102" s="117" t="str">
        <f>+'G&amp;A'!A102</f>
        <v xml:space="preserve">Other G&amp;A </v>
      </c>
      <c r="B102" s="35"/>
      <c r="C102" s="79">
        <v>223767.70379999996</v>
      </c>
      <c r="D102" s="80">
        <f t="shared" si="60"/>
        <v>0.01</v>
      </c>
      <c r="E102" s="79">
        <v>237962.77399999998</v>
      </c>
      <c r="F102" s="80">
        <f t="shared" si="61"/>
        <v>0.01</v>
      </c>
      <c r="G102" s="79">
        <v>259483.01688000001</v>
      </c>
      <c r="H102" s="80">
        <f t="shared" si="62"/>
        <v>0.01</v>
      </c>
      <c r="I102" s="79">
        <v>267235.12321760005</v>
      </c>
      <c r="J102" s="80">
        <f t="shared" si="63"/>
        <v>0.01</v>
      </c>
      <c r="K102" s="79">
        <v>274805.90630195203</v>
      </c>
      <c r="L102" s="80">
        <f t="shared" si="64"/>
        <v>0.01</v>
      </c>
      <c r="M102" s="79">
        <v>279931.339854191</v>
      </c>
      <c r="N102" s="80">
        <f t="shared" si="65"/>
        <v>9.9999999999999985E-3</v>
      </c>
      <c r="O102" s="79">
        <v>285142.87923173688</v>
      </c>
      <c r="P102" s="80">
        <f t="shared" si="66"/>
        <v>1.0000000000000002E-2</v>
      </c>
      <c r="Q102" s="79">
        <v>290452.00852263824</v>
      </c>
      <c r="R102" s="80">
        <f t="shared" si="67"/>
        <v>0.01</v>
      </c>
      <c r="S102" s="79">
        <v>295870.24111642031</v>
      </c>
      <c r="T102" s="80">
        <f t="shared" si="68"/>
        <v>0.01</v>
      </c>
      <c r="U102" s="79">
        <v>309035.84523829317</v>
      </c>
      <c r="V102" s="80">
        <f t="shared" si="29"/>
        <v>0.01</v>
      </c>
      <c r="X102" s="231"/>
    </row>
    <row r="103" spans="1:24" ht="12.75" customHeight="1">
      <c r="A103" s="117" t="s">
        <v>433</v>
      </c>
      <c r="B103" s="35"/>
      <c r="C103" s="134">
        <v>0</v>
      </c>
      <c r="D103" s="80">
        <f t="shared" si="60"/>
        <v>0</v>
      </c>
      <c r="E103" s="134">
        <v>0</v>
      </c>
      <c r="F103" s="80">
        <f t="shared" si="61"/>
        <v>0</v>
      </c>
      <c r="G103" s="134">
        <v>0</v>
      </c>
      <c r="H103" s="80">
        <f t="shared" si="62"/>
        <v>0</v>
      </c>
      <c r="I103" s="134">
        <v>0</v>
      </c>
      <c r="J103" s="80">
        <f t="shared" si="63"/>
        <v>0</v>
      </c>
      <c r="K103" s="134">
        <v>0</v>
      </c>
      <c r="L103" s="80">
        <f t="shared" si="64"/>
        <v>0</v>
      </c>
      <c r="M103" s="134">
        <v>0</v>
      </c>
      <c r="N103" s="80">
        <f t="shared" si="65"/>
        <v>0</v>
      </c>
      <c r="O103" s="134">
        <v>0</v>
      </c>
      <c r="P103" s="80">
        <f t="shared" si="66"/>
        <v>0</v>
      </c>
      <c r="Q103" s="134">
        <v>0</v>
      </c>
      <c r="R103" s="80">
        <f t="shared" si="67"/>
        <v>0</v>
      </c>
      <c r="S103" s="134">
        <v>0</v>
      </c>
      <c r="T103" s="80">
        <f t="shared" si="68"/>
        <v>0</v>
      </c>
      <c r="U103" s="134">
        <v>0</v>
      </c>
      <c r="V103" s="80">
        <f t="shared" si="29"/>
        <v>0</v>
      </c>
      <c r="X103" s="200"/>
    </row>
    <row r="104" spans="1:24" ht="12.75" customHeight="1">
      <c r="A104" s="117" t="s">
        <v>433</v>
      </c>
      <c r="B104" s="1"/>
      <c r="C104" s="134">
        <v>0</v>
      </c>
      <c r="D104" s="80">
        <f t="shared" si="60"/>
        <v>0</v>
      </c>
      <c r="E104" s="134">
        <v>0</v>
      </c>
      <c r="F104" s="80">
        <f t="shared" si="61"/>
        <v>0</v>
      </c>
      <c r="G104" s="134">
        <v>0</v>
      </c>
      <c r="H104" s="80">
        <f t="shared" si="62"/>
        <v>0</v>
      </c>
      <c r="I104" s="134">
        <v>0</v>
      </c>
      <c r="J104" s="80">
        <f t="shared" si="63"/>
        <v>0</v>
      </c>
      <c r="K104" s="134">
        <v>0</v>
      </c>
      <c r="L104" s="80">
        <f t="shared" si="64"/>
        <v>0</v>
      </c>
      <c r="M104" s="134">
        <v>0</v>
      </c>
      <c r="N104" s="80">
        <f t="shared" si="65"/>
        <v>0</v>
      </c>
      <c r="O104" s="134">
        <v>0</v>
      </c>
      <c r="P104" s="80">
        <f t="shared" si="66"/>
        <v>0</v>
      </c>
      <c r="Q104" s="134">
        <v>0</v>
      </c>
      <c r="R104" s="80">
        <f t="shared" si="67"/>
        <v>0</v>
      </c>
      <c r="S104" s="134">
        <v>0</v>
      </c>
      <c r="T104" s="80">
        <f t="shared" si="68"/>
        <v>0</v>
      </c>
      <c r="U104" s="134">
        <v>0</v>
      </c>
      <c r="V104" s="80">
        <f t="shared" si="29"/>
        <v>0</v>
      </c>
      <c r="X104" s="200"/>
    </row>
    <row r="105" spans="1:24" ht="12.75" customHeight="1">
      <c r="A105" s="1" t="s">
        <v>434</v>
      </c>
      <c r="B105" s="53"/>
      <c r="C105" s="82">
        <f>SUM(C52:C104)</f>
        <v>7182112.4962721737</v>
      </c>
      <c r="D105" s="83">
        <f t="shared" si="60"/>
        <v>0.32096287240322369</v>
      </c>
      <c r="E105" s="82">
        <f>SUM(E52:E104)</f>
        <v>8801192.1743770931</v>
      </c>
      <c r="F105" s="83">
        <f t="shared" si="61"/>
        <v>0.36985584032471791</v>
      </c>
      <c r="G105" s="82">
        <f>SUM(G52:G104)</f>
        <v>10392000.434319874</v>
      </c>
      <c r="H105" s="83">
        <f t="shared" si="62"/>
        <v>0.40048865468238865</v>
      </c>
      <c r="I105" s="82">
        <f>SUM(I52:I104)</f>
        <v>9927257.5696557518</v>
      </c>
      <c r="J105" s="83">
        <f t="shared" si="63"/>
        <v>0.37148026988848842</v>
      </c>
      <c r="K105" s="82">
        <f>SUM(K52:K104)</f>
        <v>10152197.072490243</v>
      </c>
      <c r="L105" s="83">
        <f t="shared" si="64"/>
        <v>0.3694315456719181</v>
      </c>
      <c r="M105" s="82">
        <f>SUM(M52:M104)</f>
        <v>10958001.803271979</v>
      </c>
      <c r="N105" s="83">
        <f t="shared" si="65"/>
        <v>0.39145319737974743</v>
      </c>
      <c r="O105" s="82">
        <f>SUM(O52:O104)</f>
        <v>10513653.315035108</v>
      </c>
      <c r="P105" s="83">
        <f t="shared" si="66"/>
        <v>0.36871526805656674</v>
      </c>
      <c r="Q105" s="82">
        <f>SUM(Q52:Q104)</f>
        <v>10621492.76008613</v>
      </c>
      <c r="R105" s="83">
        <f t="shared" si="67"/>
        <v>0.36568839079858789</v>
      </c>
      <c r="S105" s="82">
        <f>SUM(S52:S104)</f>
        <v>11331663.963291474</v>
      </c>
      <c r="T105" s="83">
        <f t="shared" si="68"/>
        <v>0.38299438025714261</v>
      </c>
      <c r="U105" s="82">
        <f>SUM(U52:U104)</f>
        <v>10243862.130306216</v>
      </c>
      <c r="V105" s="83">
        <f t="shared" si="29"/>
        <v>0.33147812100590851</v>
      </c>
      <c r="X105" s="231"/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130"/>
      <c r="X106" s="231"/>
    </row>
    <row r="107" spans="1:24" ht="12.75" customHeight="1">
      <c r="A107" s="1" t="s">
        <v>435</v>
      </c>
      <c r="B107" s="53"/>
      <c r="C107" s="82">
        <f>C28-C33-C46-C105</f>
        <v>1231163.8723078212</v>
      </c>
      <c r="D107" s="83">
        <f>IFERROR(C107/C$28,0)</f>
        <v>5.501973034536816E-2</v>
      </c>
      <c r="E107" s="82">
        <f>E28-E33-E46-E105</f>
        <v>-263298.43005835079</v>
      </c>
      <c r="F107" s="83">
        <f>IFERROR(E107/E$28,0)</f>
        <v>-1.106468989382141E-2</v>
      </c>
      <c r="G107" s="82">
        <f>G28-G33-G46-G105</f>
        <v>-1143697.8218469936</v>
      </c>
      <c r="H107" s="83">
        <f>IFERROR(G107/G$28,0)</f>
        <v>-4.4076018369090635E-2</v>
      </c>
      <c r="I107" s="82">
        <f>I28-I33-I46-I105</f>
        <v>-217334.22831200622</v>
      </c>
      <c r="J107" s="83">
        <f>IFERROR(I107/I$28,0)</f>
        <v>-8.1326969933903006E-3</v>
      </c>
      <c r="K107" s="82">
        <f>K28-K33-K46-K105</f>
        <v>-105837.83389762789</v>
      </c>
      <c r="L107" s="83">
        <f>IFERROR(K107/K$28,0)</f>
        <v>-3.851366781809089E-3</v>
      </c>
      <c r="M107" s="82">
        <f>M28-M33-M46-M105</f>
        <v>-774621.24550255015</v>
      </c>
      <c r="N107" s="83">
        <f>IFERROR(M107/M$28,0)</f>
        <v>-2.7671830024677848E-2</v>
      </c>
      <c r="O107" s="82">
        <f>O28-O33-O46-O105</f>
        <v>-292181.85167496651</v>
      </c>
      <c r="P107" s="83">
        <f>IFERROR(O107/O$28,0)</f>
        <v>-1.0246857731891984E-2</v>
      </c>
      <c r="Q107" s="82">
        <f>Q28-Q33-Q46-Q105</f>
        <v>-263385.40430973843</v>
      </c>
      <c r="R107" s="83">
        <f>IFERROR(Q107/Q$28,0)</f>
        <v>-9.0681212930641443E-3</v>
      </c>
      <c r="S107" s="82">
        <f>S28-S33-S46-S105</f>
        <v>-835045.86666937172</v>
      </c>
      <c r="T107" s="83">
        <f>IFERROR(S107/S$28,0)</f>
        <v>-2.822338142283104E-2</v>
      </c>
      <c r="U107" s="82">
        <f>U28-U33-U46-U105</f>
        <v>869617.30151184462</v>
      </c>
      <c r="V107" s="83">
        <f>IFERROR(U107/U$28,0)</f>
        <v>2.8139690424626794E-2</v>
      </c>
      <c r="X107" s="231"/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436</v>
      </c>
      <c r="B110" s="40"/>
      <c r="C110" s="86" t="str">
        <f>C50</f>
        <v>FY 2018-19</v>
      </c>
      <c r="D110" s="86" t="s">
        <v>353</v>
      </c>
      <c r="E110" s="86" t="str">
        <f>E50</f>
        <v>FY 2019-20</v>
      </c>
      <c r="F110" s="86" t="s">
        <v>353</v>
      </c>
      <c r="G110" s="86" t="str">
        <f>G50</f>
        <v>FY 2020-21</v>
      </c>
      <c r="H110" s="86" t="s">
        <v>353</v>
      </c>
      <c r="I110" s="86" t="str">
        <f>I50</f>
        <v>FY 2021-22</v>
      </c>
      <c r="J110" s="86" t="s">
        <v>353</v>
      </c>
      <c r="K110" s="86" t="str">
        <f>K50</f>
        <v>FY 2022-23</v>
      </c>
      <c r="L110" s="86" t="s">
        <v>353</v>
      </c>
      <c r="M110" s="86" t="str">
        <f>M50</f>
        <v>FY 2023-24</v>
      </c>
      <c r="N110" s="86" t="s">
        <v>353</v>
      </c>
      <c r="O110" s="86" t="str">
        <f>O50</f>
        <v>FY 2024-25</v>
      </c>
      <c r="P110" s="86" t="s">
        <v>353</v>
      </c>
      <c r="Q110" s="86" t="str">
        <f>Q50</f>
        <v>FY 2025-26</v>
      </c>
      <c r="R110" s="86" t="s">
        <v>353</v>
      </c>
      <c r="S110" s="86" t="str">
        <f>S50</f>
        <v>FY 2026-27</v>
      </c>
      <c r="T110" s="86" t="s">
        <v>353</v>
      </c>
      <c r="U110" s="86" t="str">
        <f>U50</f>
        <v>FY 2027-28</v>
      </c>
      <c r="V110" s="86" t="s">
        <v>353</v>
      </c>
    </row>
    <row r="111" spans="1:24" ht="12.75" customHeight="1">
      <c r="A111" s="2" t="s">
        <v>390</v>
      </c>
      <c r="B111" s="35"/>
      <c r="C111" s="79">
        <f>'Fresh Food Co.'!C111+'Retail Roll Up'!C111+'Catering Roll Up'!C111+'G&amp;A'!C111</f>
        <v>2000000</v>
      </c>
      <c r="D111" s="80">
        <f t="shared" ref="D111:D116" si="79">IFERROR(C111/C$28,0)</f>
        <v>8.9378402961473313E-2</v>
      </c>
      <c r="E111" s="79">
        <f>'Fresh Food Co.'!E111+'Retail Roll Up'!E111+'Catering Roll Up'!E111+'G&amp;A'!E111</f>
        <v>2000000</v>
      </c>
      <c r="F111" s="80">
        <f t="shared" ref="F111:F116" si="80">IFERROR(E111/E$28,0)</f>
        <v>8.4046759347325486E-2</v>
      </c>
      <c r="G111" s="79">
        <f>'Fresh Food Co.'!G111+'Retail Roll Up'!G111+'Catering Roll Up'!G111+'G&amp;A'!G111</f>
        <v>2000000</v>
      </c>
      <c r="H111" s="80">
        <f t="shared" ref="H111:H116" si="81">IFERROR(G111/G$28,0)</f>
        <v>7.7076335247208722E-2</v>
      </c>
      <c r="I111" s="79">
        <f>'Fresh Food Co.'!I111+'Retail Roll Up'!I111+'Catering Roll Up'!I111+'G&amp;A'!I111</f>
        <v>2000000</v>
      </c>
      <c r="J111" s="80">
        <f t="shared" ref="J111:J116" si="82">IFERROR(I111/I$28,0)</f>
        <v>7.484046168480149E-2</v>
      </c>
      <c r="K111" s="79">
        <f>'Fresh Food Co.'!K111+'Retail Roll Up'!K111+'Catering Roll Up'!K111+'G&amp;A'!K111</f>
        <v>2000000</v>
      </c>
      <c r="L111" s="80">
        <f t="shared" ref="L111:L116" si="83">IFERROR(K111/K$28,0)</f>
        <v>7.2778639546503571E-2</v>
      </c>
      <c r="M111" s="79">
        <f>'Fresh Food Co.'!M111+'Retail Roll Up'!M111+'Catering Roll Up'!M111+'G&amp;A'!M111</f>
        <v>2000000</v>
      </c>
      <c r="N111" s="80">
        <f t="shared" ref="N111:N116" si="84">IFERROR(M111/M$28,0)</f>
        <v>7.1446091067965026E-2</v>
      </c>
      <c r="O111" s="79">
        <f>'Fresh Food Co.'!O111+'Retail Roll Up'!O111+'Catering Roll Up'!O111+'G&amp;A'!O111</f>
        <v>2000000</v>
      </c>
      <c r="P111" s="80">
        <f t="shared" ref="P111:P116" si="85">IFERROR(O111/O$28,0)</f>
        <v>7.0140275127634918E-2</v>
      </c>
      <c r="Q111" s="79">
        <f>'Fresh Food Co.'!Q111+'Retail Roll Up'!Q111+'Catering Roll Up'!Q111+'G&amp;A'!Q111</f>
        <v>2000000</v>
      </c>
      <c r="R111" s="80">
        <f t="shared" ref="R111:R116" si="86">IFERROR(Q111/Q$28,0)</f>
        <v>6.8858191415953562E-2</v>
      </c>
      <c r="S111" s="79">
        <f>'Fresh Food Co.'!S111+'Retail Roll Up'!S111+'Catering Roll Up'!S111+'G&amp;A'!S111</f>
        <v>2000000</v>
      </c>
      <c r="T111" s="80">
        <f t="shared" ref="T111:T116" si="87">IFERROR(S111/S$28,0)</f>
        <v>6.7597200463734075E-2</v>
      </c>
      <c r="U111" s="79">
        <f>'Fresh Food Co.'!U111+'Retail Roll Up'!U111+'Catering Roll Up'!U111+'G&amp;A'!U111</f>
        <v>2000000</v>
      </c>
      <c r="V111" s="80">
        <f t="shared" ref="V111:V116" si="88">IFERROR(U111/U$28,0)</f>
        <v>6.4717411614753889E-2</v>
      </c>
    </row>
    <row r="112" spans="1:24" ht="12.75" customHeight="1">
      <c r="A112" s="2" t="s">
        <v>437</v>
      </c>
      <c r="B112" s="35"/>
      <c r="C112" s="79">
        <f>'Fresh Food Co.'!C112+'Retail Roll Up'!C112+'Catering Roll Up'!C112+'G&amp;A'!C112</f>
        <v>727608.2728988931</v>
      </c>
      <c r="D112" s="80">
        <f t="shared" si="79"/>
        <v>3.2516232706629455E-2</v>
      </c>
      <c r="E112" s="79">
        <f>'Fresh Food Co.'!E112+'Retail Roll Up'!E112+'Catering Roll Up'!E112+'G&amp;A'!E112</f>
        <v>830459.56820365239</v>
      </c>
      <c r="F112" s="80">
        <f t="shared" si="80"/>
        <v>3.4898717738248104E-2</v>
      </c>
      <c r="G112" s="79">
        <f>'Fresh Food Co.'!G112+'Retail Roll Up'!G112+'Catering Roll Up'!G112+'G&amp;A'!G112</f>
        <v>1388343.9343738651</v>
      </c>
      <c r="H112" s="80">
        <f t="shared" si="81"/>
        <v>5.3504231262114385E-2</v>
      </c>
      <c r="I112" s="79">
        <f>'Fresh Food Co.'!I112+'Retail Roll Up'!I112+'Catering Roll Up'!I112+'G&amp;A'!I112</f>
        <v>897841.42727386509</v>
      </c>
      <c r="J112" s="80">
        <f t="shared" si="82"/>
        <v>3.3597433468458594E-2</v>
      </c>
      <c r="K112" s="79">
        <f>'Fresh Food Co.'!K112+'Retail Roll Up'!K112+'Catering Roll Up'!K112+'G&amp;A'!K112</f>
        <v>913514.01737465803</v>
      </c>
      <c r="L112" s="80">
        <f t="shared" si="83"/>
        <v>3.3242153695594322E-2</v>
      </c>
      <c r="M112" s="79">
        <f>'Fresh Food Co.'!M112+'Retail Roll Up'!M112+'Catering Roll Up'!M112+'G&amp;A'!M112</f>
        <v>1483016.3541439925</v>
      </c>
      <c r="N112" s="80">
        <f t="shared" si="84"/>
        <v>5.2977860746726585E-2</v>
      </c>
      <c r="O112" s="79">
        <f>'Fresh Food Co.'!O112+'Retail Roll Up'!O112+'Catering Roll Up'!O112+'G&amp;A'!O112</f>
        <v>942848.15756813064</v>
      </c>
      <c r="P112" s="80">
        <f t="shared" si="85"/>
        <v>3.3065814587706181E-2</v>
      </c>
      <c r="Q112" s="79">
        <f>'Fresh Food Co.'!Q112+'Retail Roll Up'!Q112+'Catering Roll Up'!Q112+'G&amp;A'!Q112</f>
        <v>952974.91509499319</v>
      </c>
      <c r="R112" s="80">
        <f t="shared" si="86"/>
        <v>3.2810064559106566E-2</v>
      </c>
      <c r="S112" s="79">
        <f>'Fresh Food Co.'!S112+'Retail Roll Up'!S112+'Catering Roll Up'!S112+'G&amp;A'!S112</f>
        <v>1563405.4753476614</v>
      </c>
      <c r="T112" s="80">
        <f t="shared" si="87"/>
        <v>5.2840916661587668E-2</v>
      </c>
      <c r="U112" s="79">
        <f>'Fresh Food Co.'!U112+'Retail Roll Up'!U112+'Catering Roll Up'!U112+'G&amp;A'!U112</f>
        <v>928826.55907306424</v>
      </c>
      <c r="V112" s="80">
        <f t="shared" si="88"/>
        <v>3.0055625371123506E-2</v>
      </c>
    </row>
    <row r="113" spans="1:24" ht="12.75" customHeight="1">
      <c r="A113" s="117" t="s">
        <v>509</v>
      </c>
      <c r="B113" s="41"/>
      <c r="C113" s="79">
        <f>+C52</f>
        <v>298689.61284133</v>
      </c>
      <c r="D113" s="80">
        <f t="shared" si="79"/>
        <v>1.3348200288469425E-2</v>
      </c>
      <c r="E113" s="79">
        <f>+E52</f>
        <v>1646836.6886236048</v>
      </c>
      <c r="F113" s="80">
        <f t="shared" si="80"/>
        <v>6.9205643426547253E-2</v>
      </c>
      <c r="G113" s="79">
        <f>+G52</f>
        <v>2348964.348198073</v>
      </c>
      <c r="H113" s="80">
        <f t="shared" si="81"/>
        <v>9.0524781792727896E-2</v>
      </c>
      <c r="I113" s="79">
        <f>+I52</f>
        <v>2356107.2053409303</v>
      </c>
      <c r="J113" s="80">
        <f t="shared" si="82"/>
        <v>8.8166075513301301E-2</v>
      </c>
      <c r="K113" s="79">
        <f>+K52</f>
        <v>2447609.6683951169</v>
      </c>
      <c r="L113" s="80">
        <f t="shared" si="83"/>
        <v>8.9066850903332676E-2</v>
      </c>
      <c r="M113" s="79">
        <f>+M52</f>
        <v>2589851.0477054617</v>
      </c>
      <c r="N113" s="80">
        <f t="shared" si="84"/>
        <v>9.2517366903414527E-2</v>
      </c>
      <c r="O113" s="79">
        <f>+O52</f>
        <v>2589851.0477054617</v>
      </c>
      <c r="P113" s="80">
        <f t="shared" si="85"/>
        <v>9.0826432512827321E-2</v>
      </c>
      <c r="Q113" s="79">
        <f>+Q52</f>
        <v>2589851.0477054617</v>
      </c>
      <c r="R113" s="80">
        <f t="shared" si="86"/>
        <v>8.9166229590855295E-2</v>
      </c>
      <c r="S113" s="79">
        <f>+S52</f>
        <v>2589851.0477054617</v>
      </c>
      <c r="T113" s="80">
        <f t="shared" si="87"/>
        <v>8.753334022147892E-2</v>
      </c>
      <c r="U113" s="79">
        <f>+U52</f>
        <v>1942388.2857790967</v>
      </c>
      <c r="V113" s="80">
        <f t="shared" si="88"/>
        <v>6.2853171103221001E-2</v>
      </c>
    </row>
    <row r="114" spans="1:24" ht="12.75" customHeight="1">
      <c r="A114" s="117" t="s">
        <v>510</v>
      </c>
      <c r="B114" s="41"/>
      <c r="C114" s="79">
        <f>+C75</f>
        <v>111883.85189999998</v>
      </c>
      <c r="D114" s="80">
        <f t="shared" si="79"/>
        <v>5.0000000000000001E-3</v>
      </c>
      <c r="E114" s="79">
        <f>+E75</f>
        <v>118981.38699999999</v>
      </c>
      <c r="F114" s="80">
        <f t="shared" si="80"/>
        <v>5.0000000000000001E-3</v>
      </c>
      <c r="G114" s="79">
        <f>+G75</f>
        <v>129741.50844000001</v>
      </c>
      <c r="H114" s="80">
        <f t="shared" si="81"/>
        <v>5.0000000000000001E-3</v>
      </c>
      <c r="I114" s="79">
        <f>+I75</f>
        <v>133617.56160880002</v>
      </c>
      <c r="J114" s="80">
        <f t="shared" si="82"/>
        <v>5.0000000000000001E-3</v>
      </c>
      <c r="K114" s="79">
        <f>+K75</f>
        <v>137402.95315097601</v>
      </c>
      <c r="L114" s="80">
        <f t="shared" si="83"/>
        <v>5.0000000000000001E-3</v>
      </c>
      <c r="M114" s="79">
        <f>+M75</f>
        <v>139965.6699270955</v>
      </c>
      <c r="N114" s="80">
        <f t="shared" si="84"/>
        <v>4.9999999999999992E-3</v>
      </c>
      <c r="O114" s="79">
        <f>+O75</f>
        <v>142571.43961586844</v>
      </c>
      <c r="P114" s="80">
        <f t="shared" si="85"/>
        <v>5.000000000000001E-3</v>
      </c>
      <c r="Q114" s="79">
        <f>+Q75</f>
        <v>145226.00426131912</v>
      </c>
      <c r="R114" s="80">
        <f t="shared" si="86"/>
        <v>5.0000000000000001E-3</v>
      </c>
      <c r="S114" s="79">
        <f>+S75</f>
        <v>147935.12055821015</v>
      </c>
      <c r="T114" s="80">
        <f t="shared" si="87"/>
        <v>5.0000000000000001E-3</v>
      </c>
      <c r="U114" s="79">
        <f>+U75</f>
        <v>154517.92261914659</v>
      </c>
      <c r="V114" s="80">
        <f t="shared" si="88"/>
        <v>5.0000000000000001E-3</v>
      </c>
    </row>
    <row r="115" spans="1:24" ht="12.75" customHeight="1">
      <c r="A115" s="117" t="s">
        <v>511</v>
      </c>
      <c r="B115" s="41"/>
      <c r="C115" s="79">
        <f>+C81+C95+C89+C84+C73+C71+C67+C60</f>
        <v>1083232.9632999999</v>
      </c>
      <c r="D115" s="80">
        <f t="shared" si="79"/>
        <v>4.8408816147489118E-2</v>
      </c>
      <c r="E115" s="79">
        <f>+E81+E95+E89+E84+E73+E71+E67+E60</f>
        <v>1148919.1089999997</v>
      </c>
      <c r="F115" s="80">
        <f t="shared" si="80"/>
        <v>4.8281463931833295E-2</v>
      </c>
      <c r="G115" s="79">
        <f>+G81+G95+G89+G84+G73+G71+G67+G60</f>
        <v>1234512.54908</v>
      </c>
      <c r="H115" s="80">
        <f t="shared" si="81"/>
        <v>4.7575851549888144E-2</v>
      </c>
      <c r="I115" s="79">
        <f>+I81+I95+I89+I84+I73+I71+I67+I60</f>
        <v>1269109.9435116001</v>
      </c>
      <c r="J115" s="80">
        <f t="shared" si="82"/>
        <v>4.7490387050590249E-2</v>
      </c>
      <c r="K115" s="79">
        <f>+K81+K95+K89+K84+K73+K71+K67+K60</f>
        <v>1303276.041288082</v>
      </c>
      <c r="L115" s="80">
        <f t="shared" si="83"/>
        <v>4.7425328619249717E-2</v>
      </c>
      <c r="M115" s="79">
        <f>+M81+M95+M89+M84+M73+M71+M67+M60</f>
        <v>1329092.3350769498</v>
      </c>
      <c r="N115" s="80">
        <f t="shared" si="84"/>
        <v>4.7479226004821025E-2</v>
      </c>
      <c r="O115" s="79">
        <f>+O81+O95+O89+O84+O73+O71+O67+O60</f>
        <v>1355424.6579270498</v>
      </c>
      <c r="P115" s="80">
        <f t="shared" si="85"/>
        <v>4.7534929210891863E-2</v>
      </c>
      <c r="Q115" s="79">
        <f>+Q81+Q95+Q89+Q84+Q73+Q71+Q67+Q60</f>
        <v>1382319.1024162816</v>
      </c>
      <c r="R115" s="80">
        <f t="shared" si="86"/>
        <v>4.7591996676054717E-2</v>
      </c>
      <c r="S115" s="79">
        <f>+S81+S95+S89+S84+S73+S71+S67+S60</f>
        <v>1409822.0270885429</v>
      </c>
      <c r="T115" s="80">
        <f t="shared" si="87"/>
        <v>4.7650011091646086E-2</v>
      </c>
      <c r="U115" s="79">
        <f>+U81+U95+U89+U84+U73+U71+U67+U60</f>
        <v>1464673.6003873535</v>
      </c>
      <c r="V115" s="80">
        <f t="shared" si="88"/>
        <v>4.7394942138765953E-2</v>
      </c>
    </row>
    <row r="116" spans="1:24" ht="12.75" customHeight="1">
      <c r="A116" s="40" t="s">
        <v>438</v>
      </c>
      <c r="B116" s="42"/>
      <c r="C116" s="85">
        <f>SUM(C111:C115)</f>
        <v>4221414.7009402234</v>
      </c>
      <c r="D116" s="83">
        <f t="shared" si="79"/>
        <v>0.18865165210406135</v>
      </c>
      <c r="E116" s="85">
        <f>SUM(E111:E115)</f>
        <v>5745196.7528272569</v>
      </c>
      <c r="F116" s="83">
        <f t="shared" si="80"/>
        <v>0.24143258444395413</v>
      </c>
      <c r="G116" s="85">
        <f>SUM(G111:G115)</f>
        <v>7101562.3400919382</v>
      </c>
      <c r="H116" s="83">
        <f t="shared" si="81"/>
        <v>0.27368119985193917</v>
      </c>
      <c r="I116" s="85">
        <f>SUM(I111:I115)</f>
        <v>6656676.1377351955</v>
      </c>
      <c r="J116" s="83">
        <f t="shared" si="82"/>
        <v>0.24909435771715163</v>
      </c>
      <c r="K116" s="85">
        <f>SUM(K111:K115)</f>
        <v>6801802.6802088339</v>
      </c>
      <c r="L116" s="83">
        <f t="shared" si="83"/>
        <v>0.24751297276468032</v>
      </c>
      <c r="M116" s="85">
        <f>SUM(M111:M115)</f>
        <v>7541925.4068534989</v>
      </c>
      <c r="N116" s="83">
        <f t="shared" si="84"/>
        <v>0.26942054472292715</v>
      </c>
      <c r="O116" s="85">
        <f>SUM(O111:O115)</f>
        <v>7030695.3028165102</v>
      </c>
      <c r="P116" s="83">
        <f t="shared" si="85"/>
        <v>0.24656745143906028</v>
      </c>
      <c r="Q116" s="85">
        <f>SUM(Q111:Q115)</f>
        <v>7070371.0694780555</v>
      </c>
      <c r="R116" s="83">
        <f t="shared" si="86"/>
        <v>0.24342648224197014</v>
      </c>
      <c r="S116" s="85">
        <f>SUM(S111:S115)</f>
        <v>7711013.6706998758</v>
      </c>
      <c r="T116" s="83">
        <f t="shared" si="87"/>
        <v>0.26062146843844675</v>
      </c>
      <c r="U116" s="85">
        <f>SUM(U111:U115)</f>
        <v>6490406.3678586604</v>
      </c>
      <c r="V116" s="83">
        <f t="shared" si="88"/>
        <v>0.21002115022786433</v>
      </c>
      <c r="X116" s="231"/>
    </row>
    <row r="118" spans="1:24" ht="12.75" customHeight="1">
      <c r="A118" s="43" t="s">
        <v>439</v>
      </c>
      <c r="B118" s="43"/>
    </row>
    <row r="119" spans="1:24" ht="12.75" customHeight="1">
      <c r="A119" s="47" t="s">
        <v>440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R47"/>
  <sheetViews>
    <sheetView zoomScale="85" zoomScaleNormal="85" workbookViewId="0" xr3:uid="{78B4E459-6924-5F8B-B7BA-2DD04133E49E}">
      <selection activeCell="I24" sqref="I24"/>
    </sheetView>
  </sheetViews>
  <sheetFormatPr defaultColWidth="9.140625" defaultRowHeight="12.75"/>
  <cols>
    <col min="1" max="1" width="4.5703125" style="2" customWidth="1"/>
    <col min="2" max="2" width="20.28515625" style="2" customWidth="1"/>
    <col min="3" max="3" width="35.5703125" style="2" customWidth="1"/>
    <col min="4" max="14" width="12.7109375" style="2" customWidth="1"/>
    <col min="15" max="15" width="3.7109375" style="2" customWidth="1"/>
    <col min="16" max="18" width="12.7109375" style="2" customWidth="1"/>
    <col min="19" max="16384" width="9.140625" style="2"/>
  </cols>
  <sheetData>
    <row r="1" spans="1:18">
      <c r="A1" s="1" t="s">
        <v>0</v>
      </c>
    </row>
    <row r="2" spans="1:18">
      <c r="A2" s="1" t="s">
        <v>1</v>
      </c>
    </row>
    <row r="3" spans="1:18">
      <c r="A3" s="1" t="s">
        <v>165</v>
      </c>
    </row>
    <row r="4" spans="1:18">
      <c r="C4" s="1"/>
    </row>
    <row r="5" spans="1:18">
      <c r="A5" s="1" t="s">
        <v>16</v>
      </c>
      <c r="C5" s="109" t="s">
        <v>17</v>
      </c>
    </row>
    <row r="6" spans="1:18">
      <c r="C6" s="19"/>
    </row>
    <row r="7" spans="1:18">
      <c r="A7" s="108" t="s">
        <v>18</v>
      </c>
      <c r="B7" s="1" t="s">
        <v>166</v>
      </c>
    </row>
    <row r="8" spans="1:18">
      <c r="B8" s="4" t="s">
        <v>167</v>
      </c>
    </row>
    <row r="9" spans="1:18">
      <c r="B9" s="4" t="s">
        <v>168</v>
      </c>
    </row>
    <row r="10" spans="1:18">
      <c r="B10" s="252" t="s">
        <v>169</v>
      </c>
      <c r="C10" s="252"/>
      <c r="D10" s="86" t="s">
        <v>105</v>
      </c>
      <c r="E10" s="86" t="s">
        <v>124</v>
      </c>
      <c r="F10" s="86" t="s">
        <v>125</v>
      </c>
      <c r="G10" s="86" t="s">
        <v>126</v>
      </c>
      <c r="H10" s="86" t="s">
        <v>127</v>
      </c>
      <c r="I10" s="86" t="s">
        <v>128</v>
      </c>
      <c r="J10" s="86" t="s">
        <v>91</v>
      </c>
      <c r="K10" s="86" t="s">
        <v>92</v>
      </c>
      <c r="L10" s="86" t="s">
        <v>93</v>
      </c>
      <c r="M10" s="86" t="s">
        <v>94</v>
      </c>
      <c r="N10" s="86" t="s">
        <v>170</v>
      </c>
      <c r="P10" s="86" t="s">
        <v>133</v>
      </c>
      <c r="Q10" s="86" t="s">
        <v>133</v>
      </c>
      <c r="R10" s="86" t="s">
        <v>170</v>
      </c>
    </row>
    <row r="11" spans="1:18">
      <c r="B11" s="128" t="s">
        <v>171</v>
      </c>
      <c r="C11" s="128" t="s">
        <v>172</v>
      </c>
      <c r="D11" s="140">
        <v>550000</v>
      </c>
      <c r="E11" s="140"/>
      <c r="F11" s="140"/>
      <c r="G11" s="140"/>
      <c r="H11" s="140"/>
      <c r="I11" s="140"/>
      <c r="J11" s="140"/>
      <c r="K11" s="140"/>
      <c r="L11" s="140"/>
      <c r="M11" s="140"/>
      <c r="N11" s="140">
        <f>SUM(D11:M11)</f>
        <v>550000</v>
      </c>
      <c r="P11" s="140" t="s">
        <v>96</v>
      </c>
      <c r="Q11" s="140"/>
      <c r="R11" s="140">
        <f t="shared" ref="R11:R30" si="0">SUM(P11:Q11)</f>
        <v>0</v>
      </c>
    </row>
    <row r="12" spans="1:18">
      <c r="B12" s="128" t="s">
        <v>173</v>
      </c>
      <c r="C12" s="128" t="s">
        <v>174</v>
      </c>
      <c r="D12" s="140">
        <v>250000</v>
      </c>
      <c r="E12" s="140"/>
      <c r="F12" s="140"/>
      <c r="G12" s="140"/>
      <c r="H12" s="140"/>
      <c r="I12" s="140"/>
      <c r="J12" s="140"/>
      <c r="K12" s="140"/>
      <c r="L12" s="140"/>
      <c r="M12" s="140"/>
      <c r="N12" s="140">
        <f t="shared" ref="N12:N32" si="1">SUM(D12:M12)</f>
        <v>250000</v>
      </c>
      <c r="P12" s="140" t="s">
        <v>96</v>
      </c>
      <c r="Q12" s="140"/>
      <c r="R12" s="140">
        <f t="shared" si="0"/>
        <v>0</v>
      </c>
    </row>
    <row r="13" spans="1:18">
      <c r="B13" s="128" t="s">
        <v>175</v>
      </c>
      <c r="C13" s="128" t="s">
        <v>174</v>
      </c>
      <c r="D13" s="140">
        <v>600000</v>
      </c>
      <c r="E13" s="140"/>
      <c r="F13" s="140"/>
      <c r="G13" s="140"/>
      <c r="H13" s="140"/>
      <c r="I13" s="140"/>
      <c r="J13" s="140"/>
      <c r="K13" s="140"/>
      <c r="L13" s="140"/>
      <c r="M13" s="140"/>
      <c r="N13" s="140">
        <f t="shared" si="1"/>
        <v>600000</v>
      </c>
      <c r="P13" s="140" t="s">
        <v>96</v>
      </c>
      <c r="Q13" s="140"/>
      <c r="R13" s="140">
        <f t="shared" si="0"/>
        <v>0</v>
      </c>
    </row>
    <row r="14" spans="1:18">
      <c r="B14" s="128" t="s">
        <v>176</v>
      </c>
      <c r="C14" s="128" t="s">
        <v>177</v>
      </c>
      <c r="D14" s="140">
        <v>200000</v>
      </c>
      <c r="E14" s="140"/>
      <c r="F14" s="140"/>
      <c r="G14" s="140"/>
      <c r="H14" s="140"/>
      <c r="I14" s="140"/>
      <c r="J14" s="140"/>
      <c r="K14" s="140"/>
      <c r="L14" s="140"/>
      <c r="M14" s="140"/>
      <c r="N14" s="140">
        <f t="shared" si="1"/>
        <v>200000</v>
      </c>
      <c r="P14" s="140" t="s">
        <v>96</v>
      </c>
      <c r="Q14" s="140"/>
      <c r="R14" s="140">
        <f t="shared" si="0"/>
        <v>0</v>
      </c>
    </row>
    <row r="15" spans="1:18">
      <c r="B15" s="128" t="s">
        <v>178</v>
      </c>
      <c r="C15" s="128" t="s">
        <v>179</v>
      </c>
      <c r="D15" s="140">
        <v>250000</v>
      </c>
      <c r="E15" s="140"/>
      <c r="F15" s="140"/>
      <c r="G15" s="140"/>
      <c r="H15" s="140"/>
      <c r="I15" s="140"/>
      <c r="J15" s="140"/>
      <c r="K15" s="140"/>
      <c r="L15" s="140"/>
      <c r="M15" s="140"/>
      <c r="N15" s="140">
        <f t="shared" si="1"/>
        <v>250000</v>
      </c>
      <c r="P15" s="140" t="s">
        <v>96</v>
      </c>
      <c r="Q15" s="140"/>
      <c r="R15" s="140">
        <f t="shared" si="0"/>
        <v>0</v>
      </c>
    </row>
    <row r="16" spans="1:18">
      <c r="B16" s="128" t="s">
        <v>180</v>
      </c>
      <c r="C16" s="128" t="s">
        <v>181</v>
      </c>
      <c r="D16" s="140">
        <v>750000</v>
      </c>
      <c r="E16" s="140"/>
      <c r="F16" s="140"/>
      <c r="G16" s="140"/>
      <c r="H16" s="140"/>
      <c r="I16" s="140"/>
      <c r="J16" s="140"/>
      <c r="K16" s="140"/>
      <c r="L16" s="140"/>
      <c r="M16" s="140"/>
      <c r="N16" s="140">
        <f t="shared" si="1"/>
        <v>750000</v>
      </c>
      <c r="P16" s="140" t="s">
        <v>96</v>
      </c>
      <c r="Q16" s="140"/>
      <c r="R16" s="140">
        <f t="shared" si="0"/>
        <v>0</v>
      </c>
    </row>
    <row r="17" spans="2:18">
      <c r="B17" s="128" t="s">
        <v>182</v>
      </c>
      <c r="C17" s="128" t="s">
        <v>183</v>
      </c>
      <c r="D17" s="140"/>
      <c r="E17" s="140">
        <v>1350000</v>
      </c>
      <c r="F17" s="140"/>
      <c r="G17" s="140"/>
      <c r="H17" s="140"/>
      <c r="I17" s="140"/>
      <c r="J17" s="140"/>
      <c r="K17" s="140"/>
      <c r="L17" s="140"/>
      <c r="M17" s="140"/>
      <c r="N17" s="140">
        <f t="shared" si="1"/>
        <v>1350000</v>
      </c>
      <c r="P17" s="140" t="s">
        <v>96</v>
      </c>
      <c r="Q17" s="140"/>
      <c r="R17" s="140">
        <f t="shared" si="0"/>
        <v>0</v>
      </c>
    </row>
    <row r="18" spans="2:18">
      <c r="B18" s="128" t="s">
        <v>184</v>
      </c>
      <c r="C18" s="128" t="s">
        <v>185</v>
      </c>
      <c r="D18" s="140"/>
      <c r="E18" s="140">
        <v>450000</v>
      </c>
      <c r="F18" s="140"/>
      <c r="G18" s="140"/>
      <c r="H18" s="140"/>
      <c r="I18" s="140"/>
      <c r="J18" s="140"/>
      <c r="K18" s="140"/>
      <c r="L18" s="140"/>
      <c r="M18" s="140"/>
      <c r="N18" s="140">
        <f t="shared" si="1"/>
        <v>450000</v>
      </c>
      <c r="P18" s="140" t="s">
        <v>96</v>
      </c>
      <c r="Q18" s="140"/>
      <c r="R18" s="140">
        <f t="shared" si="0"/>
        <v>0</v>
      </c>
    </row>
    <row r="19" spans="2:18">
      <c r="B19" s="128" t="s">
        <v>186</v>
      </c>
      <c r="C19" s="128" t="s">
        <v>187</v>
      </c>
      <c r="D19" s="140"/>
      <c r="E19" s="140">
        <v>1200000</v>
      </c>
      <c r="F19" s="140"/>
      <c r="G19" s="140"/>
      <c r="H19" s="140"/>
      <c r="I19" s="140"/>
      <c r="J19" s="140"/>
      <c r="K19" s="140"/>
      <c r="L19" s="140"/>
      <c r="M19" s="140"/>
      <c r="N19" s="140">
        <f t="shared" si="1"/>
        <v>1200000</v>
      </c>
      <c r="P19" s="140" t="s">
        <v>96</v>
      </c>
      <c r="Q19" s="140"/>
      <c r="R19" s="140">
        <f t="shared" si="0"/>
        <v>0</v>
      </c>
    </row>
    <row r="20" spans="2:18">
      <c r="B20" s="128" t="s">
        <v>188</v>
      </c>
      <c r="C20" s="128" t="s">
        <v>189</v>
      </c>
      <c r="D20" s="140"/>
      <c r="E20" s="140">
        <v>3500000</v>
      </c>
      <c r="F20" s="140"/>
      <c r="G20" s="140"/>
      <c r="H20" s="140"/>
      <c r="I20" s="140"/>
      <c r="J20" s="140"/>
      <c r="K20" s="140"/>
      <c r="L20" s="140"/>
      <c r="M20" s="140"/>
      <c r="N20" s="140">
        <f t="shared" si="1"/>
        <v>3500000</v>
      </c>
      <c r="P20" s="140" t="s">
        <v>96</v>
      </c>
      <c r="Q20" s="140"/>
      <c r="R20" s="140">
        <f t="shared" si="0"/>
        <v>0</v>
      </c>
    </row>
    <row r="21" spans="2:18">
      <c r="B21" s="128" t="s">
        <v>190</v>
      </c>
      <c r="C21" s="128" t="s">
        <v>191</v>
      </c>
      <c r="D21" s="140"/>
      <c r="E21" s="140">
        <v>1050000</v>
      </c>
      <c r="F21" s="140"/>
      <c r="G21" s="140"/>
      <c r="H21" s="140"/>
      <c r="I21" s="140"/>
      <c r="J21" s="140"/>
      <c r="K21" s="140"/>
      <c r="L21" s="140"/>
      <c r="M21" s="140"/>
      <c r="N21" s="140">
        <f t="shared" si="1"/>
        <v>1050000</v>
      </c>
      <c r="P21" s="140" t="s">
        <v>96</v>
      </c>
      <c r="Q21" s="140"/>
      <c r="R21" s="140">
        <f t="shared" si="0"/>
        <v>0</v>
      </c>
    </row>
    <row r="22" spans="2:18">
      <c r="B22" s="128" t="s">
        <v>192</v>
      </c>
      <c r="C22" s="128" t="s">
        <v>193</v>
      </c>
      <c r="D22" s="140"/>
      <c r="E22" s="140">
        <v>1100000</v>
      </c>
      <c r="F22" s="140"/>
      <c r="G22" s="140"/>
      <c r="H22" s="140"/>
      <c r="I22" s="140"/>
      <c r="J22" s="140"/>
      <c r="K22" s="140"/>
      <c r="L22" s="140"/>
      <c r="M22" s="140"/>
      <c r="N22" s="140">
        <f t="shared" si="1"/>
        <v>1100000</v>
      </c>
      <c r="P22" s="140" t="s">
        <v>96</v>
      </c>
      <c r="Q22" s="140"/>
      <c r="R22" s="140">
        <f t="shared" si="0"/>
        <v>0</v>
      </c>
    </row>
    <row r="23" spans="2:18">
      <c r="B23" s="128" t="s">
        <v>194</v>
      </c>
      <c r="C23" s="128" t="s">
        <v>195</v>
      </c>
      <c r="D23" s="140"/>
      <c r="E23" s="140"/>
      <c r="F23" s="140">
        <v>6000000</v>
      </c>
      <c r="G23" s="140"/>
      <c r="H23" s="140"/>
      <c r="I23" s="140"/>
      <c r="J23" s="140"/>
      <c r="K23" s="140"/>
      <c r="L23" s="140"/>
      <c r="M23" s="140"/>
      <c r="N23" s="140">
        <f t="shared" si="1"/>
        <v>6000000</v>
      </c>
      <c r="P23" s="140" t="s">
        <v>96</v>
      </c>
      <c r="Q23" s="140"/>
      <c r="R23" s="140">
        <f t="shared" si="0"/>
        <v>0</v>
      </c>
    </row>
    <row r="24" spans="2:18">
      <c r="B24" s="128" t="s">
        <v>196</v>
      </c>
      <c r="C24" s="128" t="s">
        <v>197</v>
      </c>
      <c r="D24" s="140"/>
      <c r="E24" s="140"/>
      <c r="F24" s="140"/>
      <c r="G24" s="140">
        <v>500000</v>
      </c>
      <c r="H24" s="140"/>
      <c r="I24" s="140"/>
      <c r="J24" s="140"/>
      <c r="K24" s="140"/>
      <c r="L24" s="140"/>
      <c r="M24" s="140"/>
      <c r="N24" s="140">
        <f t="shared" si="1"/>
        <v>500000</v>
      </c>
      <c r="P24" s="140" t="s">
        <v>96</v>
      </c>
      <c r="Q24" s="140"/>
      <c r="R24" s="140">
        <f t="shared" si="0"/>
        <v>0</v>
      </c>
    </row>
    <row r="25" spans="2:18">
      <c r="B25" s="128" t="s">
        <v>198</v>
      </c>
      <c r="C25" s="128" t="s">
        <v>199</v>
      </c>
      <c r="D25" s="140">
        <v>1200000</v>
      </c>
      <c r="E25" s="140"/>
      <c r="F25" s="140"/>
      <c r="G25" s="140"/>
      <c r="H25" s="140"/>
      <c r="I25" s="140"/>
      <c r="J25" s="140"/>
      <c r="K25" s="140"/>
      <c r="L25" s="140"/>
      <c r="M25" s="140"/>
      <c r="N25" s="140">
        <f t="shared" si="1"/>
        <v>1200000</v>
      </c>
      <c r="P25" s="140" t="s">
        <v>96</v>
      </c>
      <c r="Q25" s="140"/>
      <c r="R25" s="140">
        <f t="shared" si="0"/>
        <v>0</v>
      </c>
    </row>
    <row r="26" spans="2:18">
      <c r="B26" s="128" t="s">
        <v>200</v>
      </c>
      <c r="C26" s="128" t="s">
        <v>201</v>
      </c>
      <c r="D26" s="140"/>
      <c r="E26" s="140"/>
      <c r="F26" s="140">
        <v>1700000</v>
      </c>
      <c r="G26" s="140"/>
      <c r="H26" s="140"/>
      <c r="I26" s="140"/>
      <c r="J26" s="140"/>
      <c r="K26" s="140"/>
      <c r="L26" s="140"/>
      <c r="M26" s="140"/>
      <c r="N26" s="140">
        <f t="shared" si="1"/>
        <v>1700000</v>
      </c>
      <c r="P26" s="140" t="s">
        <v>96</v>
      </c>
      <c r="Q26" s="140"/>
      <c r="R26" s="140">
        <f t="shared" si="0"/>
        <v>0</v>
      </c>
    </row>
    <row r="27" spans="2:18">
      <c r="B27" s="128" t="s">
        <v>202</v>
      </c>
      <c r="C27" s="128" t="s">
        <v>203</v>
      </c>
      <c r="D27" s="140"/>
      <c r="E27" s="140"/>
      <c r="F27" s="140"/>
      <c r="G27" s="140"/>
      <c r="H27" s="140">
        <v>750000</v>
      </c>
      <c r="I27" s="140"/>
      <c r="J27" s="140"/>
      <c r="K27" s="140"/>
      <c r="L27" s="140"/>
      <c r="M27" s="140"/>
      <c r="N27" s="140">
        <f t="shared" si="1"/>
        <v>750000</v>
      </c>
      <c r="P27" s="140" t="s">
        <v>96</v>
      </c>
      <c r="Q27" s="140"/>
      <c r="R27" s="140">
        <f t="shared" si="0"/>
        <v>0</v>
      </c>
    </row>
    <row r="28" spans="2:18">
      <c r="B28" s="128"/>
      <c r="C28" s="128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>
        <f t="shared" si="1"/>
        <v>0</v>
      </c>
      <c r="P28" s="140" t="s">
        <v>96</v>
      </c>
      <c r="Q28" s="140"/>
      <c r="R28" s="140">
        <f t="shared" si="0"/>
        <v>0</v>
      </c>
    </row>
    <row r="29" spans="2:18">
      <c r="B29" s="128"/>
      <c r="C29" s="128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>
        <f t="shared" si="1"/>
        <v>0</v>
      </c>
      <c r="P29" s="140" t="s">
        <v>96</v>
      </c>
      <c r="Q29" s="140"/>
      <c r="R29" s="140">
        <f t="shared" si="0"/>
        <v>0</v>
      </c>
    </row>
    <row r="30" spans="2:18">
      <c r="B30" s="253" t="s">
        <v>204</v>
      </c>
      <c r="C30" s="253"/>
      <c r="D30" s="141">
        <f t="shared" ref="D30:N30" si="2">SUM(D11:D29)</f>
        <v>3800000</v>
      </c>
      <c r="E30" s="141">
        <f t="shared" si="2"/>
        <v>8650000</v>
      </c>
      <c r="F30" s="141">
        <f t="shared" si="2"/>
        <v>7700000</v>
      </c>
      <c r="G30" s="141">
        <f t="shared" si="2"/>
        <v>500000</v>
      </c>
      <c r="H30" s="141">
        <f t="shared" si="2"/>
        <v>750000</v>
      </c>
      <c r="I30" s="141">
        <f t="shared" si="2"/>
        <v>0</v>
      </c>
      <c r="J30" s="141">
        <f t="shared" si="2"/>
        <v>0</v>
      </c>
      <c r="K30" s="141">
        <f t="shared" si="2"/>
        <v>0</v>
      </c>
      <c r="L30" s="141">
        <f t="shared" si="2"/>
        <v>0</v>
      </c>
      <c r="M30" s="141">
        <f t="shared" si="2"/>
        <v>0</v>
      </c>
      <c r="N30" s="141">
        <f t="shared" si="2"/>
        <v>21400000</v>
      </c>
      <c r="P30" s="141">
        <f>SUM(P11:P29)</f>
        <v>0</v>
      </c>
      <c r="Q30" s="141">
        <f>SUM(Q11:Q29)</f>
        <v>0</v>
      </c>
      <c r="R30" s="140">
        <f t="shared" si="0"/>
        <v>0</v>
      </c>
    </row>
    <row r="31" spans="2:18">
      <c r="B31" s="254" t="s">
        <v>205</v>
      </c>
      <c r="C31" s="254"/>
      <c r="D31" s="86" t="s">
        <v>105</v>
      </c>
      <c r="E31" s="86" t="s">
        <v>124</v>
      </c>
      <c r="F31" s="86" t="s">
        <v>125</v>
      </c>
      <c r="G31" s="86" t="s">
        <v>126</v>
      </c>
      <c r="H31" s="86" t="s">
        <v>127</v>
      </c>
      <c r="I31" s="86" t="s">
        <v>128</v>
      </c>
      <c r="J31" s="86" t="s">
        <v>91</v>
      </c>
      <c r="K31" s="86" t="s">
        <v>92</v>
      </c>
      <c r="L31" s="86" t="s">
        <v>93</v>
      </c>
      <c r="M31" s="86" t="s">
        <v>94</v>
      </c>
      <c r="N31" s="86" t="s">
        <v>170</v>
      </c>
      <c r="P31" s="86" t="s">
        <v>133</v>
      </c>
      <c r="Q31" s="86" t="s">
        <v>133</v>
      </c>
      <c r="R31" s="86" t="s">
        <v>170</v>
      </c>
    </row>
    <row r="32" spans="2:18">
      <c r="B32" s="247" t="s">
        <v>206</v>
      </c>
      <c r="C32" s="247"/>
      <c r="D32" s="141">
        <v>298689.61284133</v>
      </c>
      <c r="E32" s="141">
        <v>1646836.6886236048</v>
      </c>
      <c r="F32" s="141">
        <v>2348964.348198073</v>
      </c>
      <c r="G32" s="141">
        <v>2356107.2053409303</v>
      </c>
      <c r="H32" s="141">
        <v>2447609.6683951169</v>
      </c>
      <c r="I32" s="141">
        <v>2589851.0477054617</v>
      </c>
      <c r="J32" s="141">
        <v>2589851.0477054617</v>
      </c>
      <c r="K32" s="141">
        <v>2589851.0477054617</v>
      </c>
      <c r="L32" s="141">
        <v>2589851.0477054617</v>
      </c>
      <c r="M32" s="141">
        <v>1942388.2857790967</v>
      </c>
      <c r="N32" s="140">
        <f t="shared" si="1"/>
        <v>21399999.999999996</v>
      </c>
      <c r="P32" s="141"/>
      <c r="Q32" s="141"/>
      <c r="R32" s="140">
        <f>SUM(P32:Q32)</f>
        <v>0</v>
      </c>
    </row>
    <row r="33" spans="1:18">
      <c r="C33" s="1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  <row r="34" spans="1:18">
      <c r="A34" s="108" t="s">
        <v>82</v>
      </c>
      <c r="B34" s="1" t="s">
        <v>207</v>
      </c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</row>
    <row r="35" spans="1:18">
      <c r="A35" s="107"/>
      <c r="B35" s="4" t="s">
        <v>208</v>
      </c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</row>
    <row r="36" spans="1:18">
      <c r="B36" s="252" t="s">
        <v>209</v>
      </c>
      <c r="C36" s="252"/>
      <c r="D36" s="86" t="s">
        <v>105</v>
      </c>
      <c r="E36" s="86" t="s">
        <v>124</v>
      </c>
      <c r="F36" s="86" t="s">
        <v>125</v>
      </c>
      <c r="G36" s="86" t="s">
        <v>126</v>
      </c>
      <c r="H36" s="86" t="s">
        <v>127</v>
      </c>
      <c r="I36" s="86" t="s">
        <v>128</v>
      </c>
      <c r="J36" s="86" t="s">
        <v>91</v>
      </c>
      <c r="K36" s="86" t="s">
        <v>92</v>
      </c>
      <c r="L36" s="86" t="s">
        <v>93</v>
      </c>
      <c r="M36" s="86" t="s">
        <v>94</v>
      </c>
      <c r="N36" s="86" t="s">
        <v>170</v>
      </c>
      <c r="P36" s="86" t="s">
        <v>133</v>
      </c>
      <c r="Q36" s="86" t="s">
        <v>133</v>
      </c>
      <c r="R36" s="86" t="s">
        <v>170</v>
      </c>
    </row>
    <row r="37" spans="1:18">
      <c r="B37" s="247" t="s">
        <v>210</v>
      </c>
      <c r="C37" s="247"/>
      <c r="D37" s="140">
        <v>275000</v>
      </c>
      <c r="E37" s="140">
        <f>+D37*1.03</f>
        <v>283250</v>
      </c>
      <c r="F37" s="140">
        <f t="shared" ref="F37:M37" si="3">+E37*1.03</f>
        <v>291747.5</v>
      </c>
      <c r="G37" s="140">
        <f t="shared" si="3"/>
        <v>300499.92499999999</v>
      </c>
      <c r="H37" s="140">
        <f t="shared" si="3"/>
        <v>309514.92274999997</v>
      </c>
      <c r="I37" s="140">
        <f t="shared" si="3"/>
        <v>318800.37043249997</v>
      </c>
      <c r="J37" s="140">
        <f t="shared" si="3"/>
        <v>328364.38154547499</v>
      </c>
      <c r="K37" s="140">
        <f t="shared" si="3"/>
        <v>338215.31299183925</v>
      </c>
      <c r="L37" s="140">
        <f t="shared" si="3"/>
        <v>348361.77238159446</v>
      </c>
      <c r="M37" s="140">
        <f t="shared" si="3"/>
        <v>358812.62555304228</v>
      </c>
      <c r="N37" s="140">
        <f t="shared" ref="N37:N45" si="4">SUM(D37:M37)</f>
        <v>3152566.8106544511</v>
      </c>
      <c r="P37" s="140" t="s">
        <v>96</v>
      </c>
      <c r="Q37" s="140"/>
      <c r="R37" s="140">
        <f t="shared" ref="R37:R46" si="5">SUM(P37:Q37)</f>
        <v>0</v>
      </c>
    </row>
    <row r="38" spans="1:18">
      <c r="B38" s="216" t="s">
        <v>211</v>
      </c>
      <c r="C38" s="217"/>
      <c r="D38" s="140">
        <v>0</v>
      </c>
      <c r="E38" s="140">
        <v>0</v>
      </c>
      <c r="F38" s="140">
        <v>500000</v>
      </c>
      <c r="G38" s="140"/>
      <c r="H38" s="140"/>
      <c r="I38" s="140">
        <v>550000</v>
      </c>
      <c r="J38" s="140"/>
      <c r="K38" s="140"/>
      <c r="L38" s="140">
        <v>600000</v>
      </c>
      <c r="M38" s="140"/>
      <c r="N38" s="140">
        <f t="shared" si="4"/>
        <v>1650000</v>
      </c>
      <c r="P38" s="140" t="s">
        <v>96</v>
      </c>
      <c r="Q38" s="140"/>
      <c r="R38" s="140">
        <f t="shared" si="5"/>
        <v>0</v>
      </c>
    </row>
    <row r="39" spans="1:18">
      <c r="B39" s="216" t="s">
        <v>212</v>
      </c>
      <c r="C39" s="217"/>
      <c r="D39" s="140">
        <v>100000</v>
      </c>
      <c r="E39" s="140">
        <v>100000</v>
      </c>
      <c r="F39" s="140">
        <v>100000</v>
      </c>
      <c r="G39" s="140">
        <v>100000</v>
      </c>
      <c r="H39" s="140">
        <v>100000</v>
      </c>
      <c r="I39" s="140">
        <v>100000</v>
      </c>
      <c r="J39" s="140">
        <v>100000</v>
      </c>
      <c r="K39" s="140">
        <v>100000</v>
      </c>
      <c r="L39" s="140">
        <v>100000</v>
      </c>
      <c r="M39" s="140">
        <v>100000</v>
      </c>
      <c r="N39" s="140">
        <f t="shared" si="4"/>
        <v>1000000</v>
      </c>
      <c r="P39" s="140" t="s">
        <v>96</v>
      </c>
      <c r="Q39" s="140"/>
      <c r="R39" s="140">
        <f t="shared" si="5"/>
        <v>0</v>
      </c>
    </row>
    <row r="40" spans="1:18">
      <c r="B40" s="216" t="s">
        <v>213</v>
      </c>
      <c r="C40" s="217"/>
      <c r="D40" s="140">
        <v>10000</v>
      </c>
      <c r="E40" s="140">
        <v>10000</v>
      </c>
      <c r="F40" s="140">
        <v>10000</v>
      </c>
      <c r="G40" s="140">
        <v>10000</v>
      </c>
      <c r="H40" s="140">
        <v>10000</v>
      </c>
      <c r="I40" s="140">
        <v>10000</v>
      </c>
      <c r="J40" s="140">
        <v>10000</v>
      </c>
      <c r="K40" s="140">
        <v>10000</v>
      </c>
      <c r="L40" s="140">
        <v>10000</v>
      </c>
      <c r="M40" s="140">
        <v>10000</v>
      </c>
      <c r="N40" s="140">
        <f t="shared" si="4"/>
        <v>100000</v>
      </c>
      <c r="P40" s="140" t="s">
        <v>96</v>
      </c>
      <c r="Q40" s="140"/>
      <c r="R40" s="140">
        <f t="shared" si="5"/>
        <v>0</v>
      </c>
    </row>
    <row r="41" spans="1:18">
      <c r="B41" s="250" t="s">
        <v>214</v>
      </c>
      <c r="C41" s="251"/>
      <c r="D41" s="140">
        <v>10000</v>
      </c>
      <c r="E41" s="140">
        <v>10000</v>
      </c>
      <c r="F41" s="140">
        <v>10000</v>
      </c>
      <c r="G41" s="140">
        <v>10000</v>
      </c>
      <c r="H41" s="140">
        <v>10000</v>
      </c>
      <c r="I41" s="140">
        <v>10000</v>
      </c>
      <c r="J41" s="140">
        <v>10000</v>
      </c>
      <c r="K41" s="140">
        <v>10000</v>
      </c>
      <c r="L41" s="140">
        <v>10000</v>
      </c>
      <c r="M41" s="140">
        <v>10000</v>
      </c>
      <c r="N41" s="140">
        <f t="shared" si="4"/>
        <v>100000</v>
      </c>
      <c r="P41" s="140" t="s">
        <v>96</v>
      </c>
      <c r="Q41" s="140"/>
      <c r="R41" s="140">
        <f t="shared" si="5"/>
        <v>0</v>
      </c>
    </row>
    <row r="42" spans="1:18">
      <c r="B42" s="247" t="s">
        <v>215</v>
      </c>
      <c r="C42" s="247"/>
      <c r="D42" s="140">
        <v>100000</v>
      </c>
      <c r="E42" s="140">
        <v>100000</v>
      </c>
      <c r="F42" s="140">
        <v>100000</v>
      </c>
      <c r="G42" s="140">
        <v>100000</v>
      </c>
      <c r="H42" s="140">
        <v>100000</v>
      </c>
      <c r="I42" s="140">
        <v>100000</v>
      </c>
      <c r="J42" s="140">
        <v>100000</v>
      </c>
      <c r="K42" s="140">
        <v>100000</v>
      </c>
      <c r="L42" s="140">
        <v>100000</v>
      </c>
      <c r="M42" s="140">
        <v>100000</v>
      </c>
      <c r="N42" s="140">
        <f t="shared" si="4"/>
        <v>1000000</v>
      </c>
      <c r="P42" s="140" t="s">
        <v>96</v>
      </c>
      <c r="Q42" s="140"/>
      <c r="R42" s="140">
        <f t="shared" si="5"/>
        <v>0</v>
      </c>
    </row>
    <row r="43" spans="1:18">
      <c r="B43" s="247" t="s">
        <v>216</v>
      </c>
      <c r="C43" s="247"/>
      <c r="D43" s="140">
        <v>50000</v>
      </c>
      <c r="E43" s="140">
        <v>50000</v>
      </c>
      <c r="F43" s="140">
        <v>50000</v>
      </c>
      <c r="G43" s="140">
        <v>50000</v>
      </c>
      <c r="H43" s="140">
        <v>50000</v>
      </c>
      <c r="I43" s="140">
        <v>50000</v>
      </c>
      <c r="J43" s="140">
        <v>50000</v>
      </c>
      <c r="K43" s="140">
        <v>50000</v>
      </c>
      <c r="L43" s="140">
        <v>50000</v>
      </c>
      <c r="M43" s="140">
        <v>50000</v>
      </c>
      <c r="N43" s="140">
        <f t="shared" si="4"/>
        <v>500000</v>
      </c>
      <c r="P43" s="140" t="s">
        <v>96</v>
      </c>
      <c r="Q43" s="140"/>
      <c r="R43" s="140">
        <f t="shared" si="5"/>
        <v>0</v>
      </c>
    </row>
    <row r="44" spans="1:18">
      <c r="B44" s="247" t="s">
        <v>217</v>
      </c>
      <c r="C44" s="247"/>
      <c r="D44" s="140">
        <v>182608.2728988931</v>
      </c>
      <c r="E44" s="140">
        <v>277209.56820365239</v>
      </c>
      <c r="F44" s="140">
        <v>326596.43437386514</v>
      </c>
      <c r="G44" s="140">
        <v>327341.5022738651</v>
      </c>
      <c r="H44" s="140">
        <v>333999.09462465812</v>
      </c>
      <c r="I44" s="140">
        <v>344215.98371149239</v>
      </c>
      <c r="J44" s="140">
        <v>344483.77602265571</v>
      </c>
      <c r="K44" s="140">
        <v>344759.60210315394</v>
      </c>
      <c r="L44" s="140">
        <v>345043.70296606707</v>
      </c>
      <c r="M44" s="140">
        <v>300013.93352002196</v>
      </c>
      <c r="N44" s="140">
        <f t="shared" si="4"/>
        <v>3126271.8706983253</v>
      </c>
      <c r="P44" s="140" t="s">
        <v>96</v>
      </c>
      <c r="Q44" s="140"/>
      <c r="R44" s="140">
        <f t="shared" si="5"/>
        <v>0</v>
      </c>
    </row>
    <row r="45" spans="1:18">
      <c r="B45" s="247"/>
      <c r="C45" s="247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>
        <f t="shared" si="4"/>
        <v>0</v>
      </c>
      <c r="P45" s="140"/>
      <c r="Q45" s="140"/>
      <c r="R45" s="140">
        <f t="shared" si="5"/>
        <v>0</v>
      </c>
    </row>
    <row r="46" spans="1:18">
      <c r="B46" s="248" t="s">
        <v>204</v>
      </c>
      <c r="C46" s="249"/>
      <c r="D46" s="141">
        <f t="shared" ref="D46:N46" si="6">SUM(D37:D45)</f>
        <v>727608.2728988931</v>
      </c>
      <c r="E46" s="141">
        <f t="shared" si="6"/>
        <v>830459.56820365239</v>
      </c>
      <c r="F46" s="141">
        <f t="shared" si="6"/>
        <v>1388343.9343738651</v>
      </c>
      <c r="G46" s="141">
        <f t="shared" si="6"/>
        <v>897841.42727386509</v>
      </c>
      <c r="H46" s="141">
        <f t="shared" si="6"/>
        <v>913514.01737465803</v>
      </c>
      <c r="I46" s="141">
        <f t="shared" si="6"/>
        <v>1483016.3541439925</v>
      </c>
      <c r="J46" s="141">
        <f t="shared" si="6"/>
        <v>942848.15756813064</v>
      </c>
      <c r="K46" s="141">
        <f t="shared" si="6"/>
        <v>952974.91509499319</v>
      </c>
      <c r="L46" s="141">
        <f t="shared" si="6"/>
        <v>1563405.4753476614</v>
      </c>
      <c r="M46" s="141">
        <f t="shared" si="6"/>
        <v>928826.55907306424</v>
      </c>
      <c r="N46" s="141">
        <f t="shared" si="6"/>
        <v>10628838.681352776</v>
      </c>
      <c r="P46" s="141">
        <f>SUM(P37:P45)</f>
        <v>0</v>
      </c>
      <c r="Q46" s="141">
        <f>SUM(Q37:Q45)</f>
        <v>0</v>
      </c>
      <c r="R46" s="140">
        <f t="shared" si="5"/>
        <v>0</v>
      </c>
    </row>
    <row r="47" spans="1:18">
      <c r="C47" s="1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</row>
  </sheetData>
  <mergeCells count="12">
    <mergeCell ref="B36:C36"/>
    <mergeCell ref="B30:C30"/>
    <mergeCell ref="B31:C31"/>
    <mergeCell ref="B32:C32"/>
    <mergeCell ref="B10:C10"/>
    <mergeCell ref="B43:C43"/>
    <mergeCell ref="B44:C44"/>
    <mergeCell ref="B45:C45"/>
    <mergeCell ref="B46:C46"/>
    <mergeCell ref="B37:C37"/>
    <mergeCell ref="B42:C42"/>
    <mergeCell ref="B41:C41"/>
  </mergeCells>
  <pageMargins left="0.45" right="0" top="0.5" bottom="0" header="0.3" footer="0.3"/>
  <pageSetup scale="7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1:P274"/>
  <sheetViews>
    <sheetView zoomScale="70" zoomScaleNormal="70" workbookViewId="0" xr3:uid="{9B253EF2-77E0-53E3-AE26-4D66ECD923F3}">
      <selection activeCell="O209" sqref="O209"/>
    </sheetView>
  </sheetViews>
  <sheetFormatPr defaultRowHeight="12.75"/>
  <cols>
    <col min="1" max="1" width="9.5703125" style="2" customWidth="1"/>
    <col min="2" max="2" width="30" style="2" customWidth="1"/>
    <col min="3" max="3" width="13.5703125" style="7" customWidth="1"/>
    <col min="4" max="10" width="13.5703125" style="2" customWidth="1"/>
    <col min="11" max="11" width="25.5703125" style="2" customWidth="1"/>
    <col min="12" max="13" width="18.7109375" style="2" bestFit="1" customWidth="1"/>
    <col min="14" max="15" width="15.7109375" style="2" customWidth="1"/>
    <col min="16" max="211" width="9.140625" style="2"/>
    <col min="212" max="212" width="50.7109375" style="2" customWidth="1"/>
    <col min="213" max="214" width="12.7109375" style="2" customWidth="1"/>
    <col min="215" max="215" width="14.7109375" style="2" customWidth="1"/>
    <col min="216" max="216" width="4.7109375" style="2" customWidth="1"/>
    <col min="217" max="218" width="12.7109375" style="2" customWidth="1"/>
    <col min="219" max="219" width="14.7109375" style="2" customWidth="1"/>
    <col min="220" max="220" width="4.7109375" style="2" customWidth="1"/>
    <col min="221" max="222" width="12.7109375" style="2" customWidth="1"/>
    <col min="223" max="223" width="14.7109375" style="2" customWidth="1"/>
    <col min="224" max="467" width="9.140625" style="2"/>
    <col min="468" max="468" width="50.7109375" style="2" customWidth="1"/>
    <col min="469" max="470" width="12.7109375" style="2" customWidth="1"/>
    <col min="471" max="471" width="14.7109375" style="2" customWidth="1"/>
    <col min="472" max="472" width="4.7109375" style="2" customWidth="1"/>
    <col min="473" max="474" width="12.7109375" style="2" customWidth="1"/>
    <col min="475" max="475" width="14.7109375" style="2" customWidth="1"/>
    <col min="476" max="476" width="4.7109375" style="2" customWidth="1"/>
    <col min="477" max="478" width="12.7109375" style="2" customWidth="1"/>
    <col min="479" max="479" width="14.7109375" style="2" customWidth="1"/>
    <col min="480" max="723" width="9.140625" style="2"/>
    <col min="724" max="724" width="50.7109375" style="2" customWidth="1"/>
    <col min="725" max="726" width="12.7109375" style="2" customWidth="1"/>
    <col min="727" max="727" width="14.7109375" style="2" customWidth="1"/>
    <col min="728" max="728" width="4.7109375" style="2" customWidth="1"/>
    <col min="729" max="730" width="12.7109375" style="2" customWidth="1"/>
    <col min="731" max="731" width="14.7109375" style="2" customWidth="1"/>
    <col min="732" max="732" width="4.7109375" style="2" customWidth="1"/>
    <col min="733" max="734" width="12.7109375" style="2" customWidth="1"/>
    <col min="735" max="735" width="14.7109375" style="2" customWidth="1"/>
    <col min="736" max="979" width="9.140625" style="2"/>
    <col min="980" max="980" width="50.7109375" style="2" customWidth="1"/>
    <col min="981" max="982" width="12.7109375" style="2" customWidth="1"/>
    <col min="983" max="983" width="14.7109375" style="2" customWidth="1"/>
    <col min="984" max="984" width="4.7109375" style="2" customWidth="1"/>
    <col min="985" max="986" width="12.7109375" style="2" customWidth="1"/>
    <col min="987" max="987" width="14.7109375" style="2" customWidth="1"/>
    <col min="988" max="988" width="4.7109375" style="2" customWidth="1"/>
    <col min="989" max="990" width="12.7109375" style="2" customWidth="1"/>
    <col min="991" max="991" width="14.7109375" style="2" customWidth="1"/>
    <col min="992" max="1235" width="9.140625" style="2"/>
    <col min="1236" max="1236" width="50.7109375" style="2" customWidth="1"/>
    <col min="1237" max="1238" width="12.7109375" style="2" customWidth="1"/>
    <col min="1239" max="1239" width="14.7109375" style="2" customWidth="1"/>
    <col min="1240" max="1240" width="4.7109375" style="2" customWidth="1"/>
    <col min="1241" max="1242" width="12.7109375" style="2" customWidth="1"/>
    <col min="1243" max="1243" width="14.7109375" style="2" customWidth="1"/>
    <col min="1244" max="1244" width="4.7109375" style="2" customWidth="1"/>
    <col min="1245" max="1246" width="12.7109375" style="2" customWidth="1"/>
    <col min="1247" max="1247" width="14.7109375" style="2" customWidth="1"/>
    <col min="1248" max="1491" width="9.140625" style="2"/>
    <col min="1492" max="1492" width="50.7109375" style="2" customWidth="1"/>
    <col min="1493" max="1494" width="12.7109375" style="2" customWidth="1"/>
    <col min="1495" max="1495" width="14.7109375" style="2" customWidth="1"/>
    <col min="1496" max="1496" width="4.7109375" style="2" customWidth="1"/>
    <col min="1497" max="1498" width="12.7109375" style="2" customWidth="1"/>
    <col min="1499" max="1499" width="14.7109375" style="2" customWidth="1"/>
    <col min="1500" max="1500" width="4.7109375" style="2" customWidth="1"/>
    <col min="1501" max="1502" width="12.7109375" style="2" customWidth="1"/>
    <col min="1503" max="1503" width="14.7109375" style="2" customWidth="1"/>
    <col min="1504" max="1747" width="9.140625" style="2"/>
    <col min="1748" max="1748" width="50.7109375" style="2" customWidth="1"/>
    <col min="1749" max="1750" width="12.7109375" style="2" customWidth="1"/>
    <col min="1751" max="1751" width="14.7109375" style="2" customWidth="1"/>
    <col min="1752" max="1752" width="4.7109375" style="2" customWidth="1"/>
    <col min="1753" max="1754" width="12.7109375" style="2" customWidth="1"/>
    <col min="1755" max="1755" width="14.7109375" style="2" customWidth="1"/>
    <col min="1756" max="1756" width="4.7109375" style="2" customWidth="1"/>
    <col min="1757" max="1758" width="12.7109375" style="2" customWidth="1"/>
    <col min="1759" max="1759" width="14.7109375" style="2" customWidth="1"/>
    <col min="1760" max="2003" width="9.140625" style="2"/>
    <col min="2004" max="2004" width="50.7109375" style="2" customWidth="1"/>
    <col min="2005" max="2006" width="12.7109375" style="2" customWidth="1"/>
    <col min="2007" max="2007" width="14.7109375" style="2" customWidth="1"/>
    <col min="2008" max="2008" width="4.7109375" style="2" customWidth="1"/>
    <col min="2009" max="2010" width="12.7109375" style="2" customWidth="1"/>
    <col min="2011" max="2011" width="14.7109375" style="2" customWidth="1"/>
    <col min="2012" max="2012" width="4.7109375" style="2" customWidth="1"/>
    <col min="2013" max="2014" width="12.7109375" style="2" customWidth="1"/>
    <col min="2015" max="2015" width="14.7109375" style="2" customWidth="1"/>
    <col min="2016" max="2259" width="9.140625" style="2"/>
    <col min="2260" max="2260" width="50.7109375" style="2" customWidth="1"/>
    <col min="2261" max="2262" width="12.7109375" style="2" customWidth="1"/>
    <col min="2263" max="2263" width="14.7109375" style="2" customWidth="1"/>
    <col min="2264" max="2264" width="4.7109375" style="2" customWidth="1"/>
    <col min="2265" max="2266" width="12.7109375" style="2" customWidth="1"/>
    <col min="2267" max="2267" width="14.7109375" style="2" customWidth="1"/>
    <col min="2268" max="2268" width="4.7109375" style="2" customWidth="1"/>
    <col min="2269" max="2270" width="12.7109375" style="2" customWidth="1"/>
    <col min="2271" max="2271" width="14.7109375" style="2" customWidth="1"/>
    <col min="2272" max="2515" width="9.140625" style="2"/>
    <col min="2516" max="2516" width="50.7109375" style="2" customWidth="1"/>
    <col min="2517" max="2518" width="12.7109375" style="2" customWidth="1"/>
    <col min="2519" max="2519" width="14.7109375" style="2" customWidth="1"/>
    <col min="2520" max="2520" width="4.7109375" style="2" customWidth="1"/>
    <col min="2521" max="2522" width="12.7109375" style="2" customWidth="1"/>
    <col min="2523" max="2523" width="14.7109375" style="2" customWidth="1"/>
    <col min="2524" max="2524" width="4.7109375" style="2" customWidth="1"/>
    <col min="2525" max="2526" width="12.7109375" style="2" customWidth="1"/>
    <col min="2527" max="2527" width="14.7109375" style="2" customWidth="1"/>
    <col min="2528" max="2771" width="9.140625" style="2"/>
    <col min="2772" max="2772" width="50.7109375" style="2" customWidth="1"/>
    <col min="2773" max="2774" width="12.7109375" style="2" customWidth="1"/>
    <col min="2775" max="2775" width="14.7109375" style="2" customWidth="1"/>
    <col min="2776" max="2776" width="4.7109375" style="2" customWidth="1"/>
    <col min="2777" max="2778" width="12.7109375" style="2" customWidth="1"/>
    <col min="2779" max="2779" width="14.7109375" style="2" customWidth="1"/>
    <col min="2780" max="2780" width="4.7109375" style="2" customWidth="1"/>
    <col min="2781" max="2782" width="12.7109375" style="2" customWidth="1"/>
    <col min="2783" max="2783" width="14.7109375" style="2" customWidth="1"/>
    <col min="2784" max="3027" width="9.140625" style="2"/>
    <col min="3028" max="3028" width="50.7109375" style="2" customWidth="1"/>
    <col min="3029" max="3030" width="12.7109375" style="2" customWidth="1"/>
    <col min="3031" max="3031" width="14.7109375" style="2" customWidth="1"/>
    <col min="3032" max="3032" width="4.7109375" style="2" customWidth="1"/>
    <col min="3033" max="3034" width="12.7109375" style="2" customWidth="1"/>
    <col min="3035" max="3035" width="14.7109375" style="2" customWidth="1"/>
    <col min="3036" max="3036" width="4.7109375" style="2" customWidth="1"/>
    <col min="3037" max="3038" width="12.7109375" style="2" customWidth="1"/>
    <col min="3039" max="3039" width="14.7109375" style="2" customWidth="1"/>
    <col min="3040" max="3283" width="9.140625" style="2"/>
    <col min="3284" max="3284" width="50.7109375" style="2" customWidth="1"/>
    <col min="3285" max="3286" width="12.7109375" style="2" customWidth="1"/>
    <col min="3287" max="3287" width="14.7109375" style="2" customWidth="1"/>
    <col min="3288" max="3288" width="4.7109375" style="2" customWidth="1"/>
    <col min="3289" max="3290" width="12.7109375" style="2" customWidth="1"/>
    <col min="3291" max="3291" width="14.7109375" style="2" customWidth="1"/>
    <col min="3292" max="3292" width="4.7109375" style="2" customWidth="1"/>
    <col min="3293" max="3294" width="12.7109375" style="2" customWidth="1"/>
    <col min="3295" max="3295" width="14.7109375" style="2" customWidth="1"/>
    <col min="3296" max="3539" width="9.140625" style="2"/>
    <col min="3540" max="3540" width="50.7109375" style="2" customWidth="1"/>
    <col min="3541" max="3542" width="12.7109375" style="2" customWidth="1"/>
    <col min="3543" max="3543" width="14.7109375" style="2" customWidth="1"/>
    <col min="3544" max="3544" width="4.7109375" style="2" customWidth="1"/>
    <col min="3545" max="3546" width="12.7109375" style="2" customWidth="1"/>
    <col min="3547" max="3547" width="14.7109375" style="2" customWidth="1"/>
    <col min="3548" max="3548" width="4.7109375" style="2" customWidth="1"/>
    <col min="3549" max="3550" width="12.7109375" style="2" customWidth="1"/>
    <col min="3551" max="3551" width="14.7109375" style="2" customWidth="1"/>
    <col min="3552" max="3795" width="9.140625" style="2"/>
    <col min="3796" max="3796" width="50.7109375" style="2" customWidth="1"/>
    <col min="3797" max="3798" width="12.7109375" style="2" customWidth="1"/>
    <col min="3799" max="3799" width="14.7109375" style="2" customWidth="1"/>
    <col min="3800" max="3800" width="4.7109375" style="2" customWidth="1"/>
    <col min="3801" max="3802" width="12.7109375" style="2" customWidth="1"/>
    <col min="3803" max="3803" width="14.7109375" style="2" customWidth="1"/>
    <col min="3804" max="3804" width="4.7109375" style="2" customWidth="1"/>
    <col min="3805" max="3806" width="12.7109375" style="2" customWidth="1"/>
    <col min="3807" max="3807" width="14.7109375" style="2" customWidth="1"/>
    <col min="3808" max="4051" width="9.140625" style="2"/>
    <col min="4052" max="4052" width="50.7109375" style="2" customWidth="1"/>
    <col min="4053" max="4054" width="12.7109375" style="2" customWidth="1"/>
    <col min="4055" max="4055" width="14.7109375" style="2" customWidth="1"/>
    <col min="4056" max="4056" width="4.7109375" style="2" customWidth="1"/>
    <col min="4057" max="4058" width="12.7109375" style="2" customWidth="1"/>
    <col min="4059" max="4059" width="14.7109375" style="2" customWidth="1"/>
    <col min="4060" max="4060" width="4.7109375" style="2" customWidth="1"/>
    <col min="4061" max="4062" width="12.7109375" style="2" customWidth="1"/>
    <col min="4063" max="4063" width="14.7109375" style="2" customWidth="1"/>
    <col min="4064" max="4307" width="9.140625" style="2"/>
    <col min="4308" max="4308" width="50.7109375" style="2" customWidth="1"/>
    <col min="4309" max="4310" width="12.7109375" style="2" customWidth="1"/>
    <col min="4311" max="4311" width="14.7109375" style="2" customWidth="1"/>
    <col min="4312" max="4312" width="4.7109375" style="2" customWidth="1"/>
    <col min="4313" max="4314" width="12.7109375" style="2" customWidth="1"/>
    <col min="4315" max="4315" width="14.7109375" style="2" customWidth="1"/>
    <col min="4316" max="4316" width="4.7109375" style="2" customWidth="1"/>
    <col min="4317" max="4318" width="12.7109375" style="2" customWidth="1"/>
    <col min="4319" max="4319" width="14.7109375" style="2" customWidth="1"/>
    <col min="4320" max="4563" width="9.140625" style="2"/>
    <col min="4564" max="4564" width="50.7109375" style="2" customWidth="1"/>
    <col min="4565" max="4566" width="12.7109375" style="2" customWidth="1"/>
    <col min="4567" max="4567" width="14.7109375" style="2" customWidth="1"/>
    <col min="4568" max="4568" width="4.7109375" style="2" customWidth="1"/>
    <col min="4569" max="4570" width="12.7109375" style="2" customWidth="1"/>
    <col min="4571" max="4571" width="14.7109375" style="2" customWidth="1"/>
    <col min="4572" max="4572" width="4.7109375" style="2" customWidth="1"/>
    <col min="4573" max="4574" width="12.7109375" style="2" customWidth="1"/>
    <col min="4575" max="4575" width="14.7109375" style="2" customWidth="1"/>
    <col min="4576" max="4819" width="9.140625" style="2"/>
    <col min="4820" max="4820" width="50.7109375" style="2" customWidth="1"/>
    <col min="4821" max="4822" width="12.7109375" style="2" customWidth="1"/>
    <col min="4823" max="4823" width="14.7109375" style="2" customWidth="1"/>
    <col min="4824" max="4824" width="4.7109375" style="2" customWidth="1"/>
    <col min="4825" max="4826" width="12.7109375" style="2" customWidth="1"/>
    <col min="4827" max="4827" width="14.7109375" style="2" customWidth="1"/>
    <col min="4828" max="4828" width="4.7109375" style="2" customWidth="1"/>
    <col min="4829" max="4830" width="12.7109375" style="2" customWidth="1"/>
    <col min="4831" max="4831" width="14.7109375" style="2" customWidth="1"/>
    <col min="4832" max="5075" width="9.140625" style="2"/>
    <col min="5076" max="5076" width="50.7109375" style="2" customWidth="1"/>
    <col min="5077" max="5078" width="12.7109375" style="2" customWidth="1"/>
    <col min="5079" max="5079" width="14.7109375" style="2" customWidth="1"/>
    <col min="5080" max="5080" width="4.7109375" style="2" customWidth="1"/>
    <col min="5081" max="5082" width="12.7109375" style="2" customWidth="1"/>
    <col min="5083" max="5083" width="14.7109375" style="2" customWidth="1"/>
    <col min="5084" max="5084" width="4.7109375" style="2" customWidth="1"/>
    <col min="5085" max="5086" width="12.7109375" style="2" customWidth="1"/>
    <col min="5087" max="5087" width="14.7109375" style="2" customWidth="1"/>
    <col min="5088" max="5331" width="9.140625" style="2"/>
    <col min="5332" max="5332" width="50.7109375" style="2" customWidth="1"/>
    <col min="5333" max="5334" width="12.7109375" style="2" customWidth="1"/>
    <col min="5335" max="5335" width="14.7109375" style="2" customWidth="1"/>
    <col min="5336" max="5336" width="4.7109375" style="2" customWidth="1"/>
    <col min="5337" max="5338" width="12.7109375" style="2" customWidth="1"/>
    <col min="5339" max="5339" width="14.7109375" style="2" customWidth="1"/>
    <col min="5340" max="5340" width="4.7109375" style="2" customWidth="1"/>
    <col min="5341" max="5342" width="12.7109375" style="2" customWidth="1"/>
    <col min="5343" max="5343" width="14.7109375" style="2" customWidth="1"/>
    <col min="5344" max="5587" width="9.140625" style="2"/>
    <col min="5588" max="5588" width="50.7109375" style="2" customWidth="1"/>
    <col min="5589" max="5590" width="12.7109375" style="2" customWidth="1"/>
    <col min="5591" max="5591" width="14.7109375" style="2" customWidth="1"/>
    <col min="5592" max="5592" width="4.7109375" style="2" customWidth="1"/>
    <col min="5593" max="5594" width="12.7109375" style="2" customWidth="1"/>
    <col min="5595" max="5595" width="14.7109375" style="2" customWidth="1"/>
    <col min="5596" max="5596" width="4.7109375" style="2" customWidth="1"/>
    <col min="5597" max="5598" width="12.7109375" style="2" customWidth="1"/>
    <col min="5599" max="5599" width="14.7109375" style="2" customWidth="1"/>
    <col min="5600" max="5843" width="9.140625" style="2"/>
    <col min="5844" max="5844" width="50.7109375" style="2" customWidth="1"/>
    <col min="5845" max="5846" width="12.7109375" style="2" customWidth="1"/>
    <col min="5847" max="5847" width="14.7109375" style="2" customWidth="1"/>
    <col min="5848" max="5848" width="4.7109375" style="2" customWidth="1"/>
    <col min="5849" max="5850" width="12.7109375" style="2" customWidth="1"/>
    <col min="5851" max="5851" width="14.7109375" style="2" customWidth="1"/>
    <col min="5852" max="5852" width="4.7109375" style="2" customWidth="1"/>
    <col min="5853" max="5854" width="12.7109375" style="2" customWidth="1"/>
    <col min="5855" max="5855" width="14.7109375" style="2" customWidth="1"/>
    <col min="5856" max="6099" width="9.140625" style="2"/>
    <col min="6100" max="6100" width="50.7109375" style="2" customWidth="1"/>
    <col min="6101" max="6102" width="12.7109375" style="2" customWidth="1"/>
    <col min="6103" max="6103" width="14.7109375" style="2" customWidth="1"/>
    <col min="6104" max="6104" width="4.7109375" style="2" customWidth="1"/>
    <col min="6105" max="6106" width="12.7109375" style="2" customWidth="1"/>
    <col min="6107" max="6107" width="14.7109375" style="2" customWidth="1"/>
    <col min="6108" max="6108" width="4.7109375" style="2" customWidth="1"/>
    <col min="6109" max="6110" width="12.7109375" style="2" customWidth="1"/>
    <col min="6111" max="6111" width="14.7109375" style="2" customWidth="1"/>
    <col min="6112" max="6355" width="9.140625" style="2"/>
    <col min="6356" max="6356" width="50.7109375" style="2" customWidth="1"/>
    <col min="6357" max="6358" width="12.7109375" style="2" customWidth="1"/>
    <col min="6359" max="6359" width="14.7109375" style="2" customWidth="1"/>
    <col min="6360" max="6360" width="4.7109375" style="2" customWidth="1"/>
    <col min="6361" max="6362" width="12.7109375" style="2" customWidth="1"/>
    <col min="6363" max="6363" width="14.7109375" style="2" customWidth="1"/>
    <col min="6364" max="6364" width="4.7109375" style="2" customWidth="1"/>
    <col min="6365" max="6366" width="12.7109375" style="2" customWidth="1"/>
    <col min="6367" max="6367" width="14.7109375" style="2" customWidth="1"/>
    <col min="6368" max="6611" width="9.140625" style="2"/>
    <col min="6612" max="6612" width="50.7109375" style="2" customWidth="1"/>
    <col min="6613" max="6614" width="12.7109375" style="2" customWidth="1"/>
    <col min="6615" max="6615" width="14.7109375" style="2" customWidth="1"/>
    <col min="6616" max="6616" width="4.7109375" style="2" customWidth="1"/>
    <col min="6617" max="6618" width="12.7109375" style="2" customWidth="1"/>
    <col min="6619" max="6619" width="14.7109375" style="2" customWidth="1"/>
    <col min="6620" max="6620" width="4.7109375" style="2" customWidth="1"/>
    <col min="6621" max="6622" width="12.7109375" style="2" customWidth="1"/>
    <col min="6623" max="6623" width="14.7109375" style="2" customWidth="1"/>
    <col min="6624" max="6867" width="9.140625" style="2"/>
    <col min="6868" max="6868" width="50.7109375" style="2" customWidth="1"/>
    <col min="6869" max="6870" width="12.7109375" style="2" customWidth="1"/>
    <col min="6871" max="6871" width="14.7109375" style="2" customWidth="1"/>
    <col min="6872" max="6872" width="4.7109375" style="2" customWidth="1"/>
    <col min="6873" max="6874" width="12.7109375" style="2" customWidth="1"/>
    <col min="6875" max="6875" width="14.7109375" style="2" customWidth="1"/>
    <col min="6876" max="6876" width="4.7109375" style="2" customWidth="1"/>
    <col min="6877" max="6878" width="12.7109375" style="2" customWidth="1"/>
    <col min="6879" max="6879" width="14.7109375" style="2" customWidth="1"/>
    <col min="6880" max="7123" width="9.140625" style="2"/>
    <col min="7124" max="7124" width="50.7109375" style="2" customWidth="1"/>
    <col min="7125" max="7126" width="12.7109375" style="2" customWidth="1"/>
    <col min="7127" max="7127" width="14.7109375" style="2" customWidth="1"/>
    <col min="7128" max="7128" width="4.7109375" style="2" customWidth="1"/>
    <col min="7129" max="7130" width="12.7109375" style="2" customWidth="1"/>
    <col min="7131" max="7131" width="14.7109375" style="2" customWidth="1"/>
    <col min="7132" max="7132" width="4.7109375" style="2" customWidth="1"/>
    <col min="7133" max="7134" width="12.7109375" style="2" customWidth="1"/>
    <col min="7135" max="7135" width="14.7109375" style="2" customWidth="1"/>
    <col min="7136" max="7379" width="9.140625" style="2"/>
    <col min="7380" max="7380" width="50.7109375" style="2" customWidth="1"/>
    <col min="7381" max="7382" width="12.7109375" style="2" customWidth="1"/>
    <col min="7383" max="7383" width="14.7109375" style="2" customWidth="1"/>
    <col min="7384" max="7384" width="4.7109375" style="2" customWidth="1"/>
    <col min="7385" max="7386" width="12.7109375" style="2" customWidth="1"/>
    <col min="7387" max="7387" width="14.7109375" style="2" customWidth="1"/>
    <col min="7388" max="7388" width="4.7109375" style="2" customWidth="1"/>
    <col min="7389" max="7390" width="12.7109375" style="2" customWidth="1"/>
    <col min="7391" max="7391" width="14.7109375" style="2" customWidth="1"/>
    <col min="7392" max="7635" width="9.140625" style="2"/>
    <col min="7636" max="7636" width="50.7109375" style="2" customWidth="1"/>
    <col min="7637" max="7638" width="12.7109375" style="2" customWidth="1"/>
    <col min="7639" max="7639" width="14.7109375" style="2" customWidth="1"/>
    <col min="7640" max="7640" width="4.7109375" style="2" customWidth="1"/>
    <col min="7641" max="7642" width="12.7109375" style="2" customWidth="1"/>
    <col min="7643" max="7643" width="14.7109375" style="2" customWidth="1"/>
    <col min="7644" max="7644" width="4.7109375" style="2" customWidth="1"/>
    <col min="7645" max="7646" width="12.7109375" style="2" customWidth="1"/>
    <col min="7647" max="7647" width="14.7109375" style="2" customWidth="1"/>
    <col min="7648" max="7891" width="9.140625" style="2"/>
    <col min="7892" max="7892" width="50.7109375" style="2" customWidth="1"/>
    <col min="7893" max="7894" width="12.7109375" style="2" customWidth="1"/>
    <col min="7895" max="7895" width="14.7109375" style="2" customWidth="1"/>
    <col min="7896" max="7896" width="4.7109375" style="2" customWidth="1"/>
    <col min="7897" max="7898" width="12.7109375" style="2" customWidth="1"/>
    <col min="7899" max="7899" width="14.7109375" style="2" customWidth="1"/>
    <col min="7900" max="7900" width="4.7109375" style="2" customWidth="1"/>
    <col min="7901" max="7902" width="12.7109375" style="2" customWidth="1"/>
    <col min="7903" max="7903" width="14.7109375" style="2" customWidth="1"/>
    <col min="7904" max="8147" width="9.140625" style="2"/>
    <col min="8148" max="8148" width="50.7109375" style="2" customWidth="1"/>
    <col min="8149" max="8150" width="12.7109375" style="2" customWidth="1"/>
    <col min="8151" max="8151" width="14.7109375" style="2" customWidth="1"/>
    <col min="8152" max="8152" width="4.7109375" style="2" customWidth="1"/>
    <col min="8153" max="8154" width="12.7109375" style="2" customWidth="1"/>
    <col min="8155" max="8155" width="14.7109375" style="2" customWidth="1"/>
    <col min="8156" max="8156" width="4.7109375" style="2" customWidth="1"/>
    <col min="8157" max="8158" width="12.7109375" style="2" customWidth="1"/>
    <col min="8159" max="8159" width="14.7109375" style="2" customWidth="1"/>
    <col min="8160" max="8403" width="9.140625" style="2"/>
    <col min="8404" max="8404" width="50.7109375" style="2" customWidth="1"/>
    <col min="8405" max="8406" width="12.7109375" style="2" customWidth="1"/>
    <col min="8407" max="8407" width="14.7109375" style="2" customWidth="1"/>
    <col min="8408" max="8408" width="4.7109375" style="2" customWidth="1"/>
    <col min="8409" max="8410" width="12.7109375" style="2" customWidth="1"/>
    <col min="8411" max="8411" width="14.7109375" style="2" customWidth="1"/>
    <col min="8412" max="8412" width="4.7109375" style="2" customWidth="1"/>
    <col min="8413" max="8414" width="12.7109375" style="2" customWidth="1"/>
    <col min="8415" max="8415" width="14.7109375" style="2" customWidth="1"/>
    <col min="8416" max="8659" width="9.140625" style="2"/>
    <col min="8660" max="8660" width="50.7109375" style="2" customWidth="1"/>
    <col min="8661" max="8662" width="12.7109375" style="2" customWidth="1"/>
    <col min="8663" max="8663" width="14.7109375" style="2" customWidth="1"/>
    <col min="8664" max="8664" width="4.7109375" style="2" customWidth="1"/>
    <col min="8665" max="8666" width="12.7109375" style="2" customWidth="1"/>
    <col min="8667" max="8667" width="14.7109375" style="2" customWidth="1"/>
    <col min="8668" max="8668" width="4.7109375" style="2" customWidth="1"/>
    <col min="8669" max="8670" width="12.7109375" style="2" customWidth="1"/>
    <col min="8671" max="8671" width="14.7109375" style="2" customWidth="1"/>
    <col min="8672" max="8915" width="9.140625" style="2"/>
    <col min="8916" max="8916" width="50.7109375" style="2" customWidth="1"/>
    <col min="8917" max="8918" width="12.7109375" style="2" customWidth="1"/>
    <col min="8919" max="8919" width="14.7109375" style="2" customWidth="1"/>
    <col min="8920" max="8920" width="4.7109375" style="2" customWidth="1"/>
    <col min="8921" max="8922" width="12.7109375" style="2" customWidth="1"/>
    <col min="8923" max="8923" width="14.7109375" style="2" customWidth="1"/>
    <col min="8924" max="8924" width="4.7109375" style="2" customWidth="1"/>
    <col min="8925" max="8926" width="12.7109375" style="2" customWidth="1"/>
    <col min="8927" max="8927" width="14.7109375" style="2" customWidth="1"/>
    <col min="8928" max="9171" width="9.140625" style="2"/>
    <col min="9172" max="9172" width="50.7109375" style="2" customWidth="1"/>
    <col min="9173" max="9174" width="12.7109375" style="2" customWidth="1"/>
    <col min="9175" max="9175" width="14.7109375" style="2" customWidth="1"/>
    <col min="9176" max="9176" width="4.7109375" style="2" customWidth="1"/>
    <col min="9177" max="9178" width="12.7109375" style="2" customWidth="1"/>
    <col min="9179" max="9179" width="14.7109375" style="2" customWidth="1"/>
    <col min="9180" max="9180" width="4.7109375" style="2" customWidth="1"/>
    <col min="9181" max="9182" width="12.7109375" style="2" customWidth="1"/>
    <col min="9183" max="9183" width="14.7109375" style="2" customWidth="1"/>
    <col min="9184" max="9427" width="9.140625" style="2"/>
    <col min="9428" max="9428" width="50.7109375" style="2" customWidth="1"/>
    <col min="9429" max="9430" width="12.7109375" style="2" customWidth="1"/>
    <col min="9431" max="9431" width="14.7109375" style="2" customWidth="1"/>
    <col min="9432" max="9432" width="4.7109375" style="2" customWidth="1"/>
    <col min="9433" max="9434" width="12.7109375" style="2" customWidth="1"/>
    <col min="9435" max="9435" width="14.7109375" style="2" customWidth="1"/>
    <col min="9436" max="9436" width="4.7109375" style="2" customWidth="1"/>
    <col min="9437" max="9438" width="12.7109375" style="2" customWidth="1"/>
    <col min="9439" max="9439" width="14.7109375" style="2" customWidth="1"/>
    <col min="9440" max="9683" width="9.140625" style="2"/>
    <col min="9684" max="9684" width="50.7109375" style="2" customWidth="1"/>
    <col min="9685" max="9686" width="12.7109375" style="2" customWidth="1"/>
    <col min="9687" max="9687" width="14.7109375" style="2" customWidth="1"/>
    <col min="9688" max="9688" width="4.7109375" style="2" customWidth="1"/>
    <col min="9689" max="9690" width="12.7109375" style="2" customWidth="1"/>
    <col min="9691" max="9691" width="14.7109375" style="2" customWidth="1"/>
    <col min="9692" max="9692" width="4.7109375" style="2" customWidth="1"/>
    <col min="9693" max="9694" width="12.7109375" style="2" customWidth="1"/>
    <col min="9695" max="9695" width="14.7109375" style="2" customWidth="1"/>
    <col min="9696" max="9939" width="9.140625" style="2"/>
    <col min="9940" max="9940" width="50.7109375" style="2" customWidth="1"/>
    <col min="9941" max="9942" width="12.7109375" style="2" customWidth="1"/>
    <col min="9943" max="9943" width="14.7109375" style="2" customWidth="1"/>
    <col min="9944" max="9944" width="4.7109375" style="2" customWidth="1"/>
    <col min="9945" max="9946" width="12.7109375" style="2" customWidth="1"/>
    <col min="9947" max="9947" width="14.7109375" style="2" customWidth="1"/>
    <col min="9948" max="9948" width="4.7109375" style="2" customWidth="1"/>
    <col min="9949" max="9950" width="12.7109375" style="2" customWidth="1"/>
    <col min="9951" max="9951" width="14.7109375" style="2" customWidth="1"/>
    <col min="9952" max="10195" width="9.140625" style="2"/>
    <col min="10196" max="10196" width="50.7109375" style="2" customWidth="1"/>
    <col min="10197" max="10198" width="12.7109375" style="2" customWidth="1"/>
    <col min="10199" max="10199" width="14.7109375" style="2" customWidth="1"/>
    <col min="10200" max="10200" width="4.7109375" style="2" customWidth="1"/>
    <col min="10201" max="10202" width="12.7109375" style="2" customWidth="1"/>
    <col min="10203" max="10203" width="14.7109375" style="2" customWidth="1"/>
    <col min="10204" max="10204" width="4.7109375" style="2" customWidth="1"/>
    <col min="10205" max="10206" width="12.7109375" style="2" customWidth="1"/>
    <col min="10207" max="10207" width="14.7109375" style="2" customWidth="1"/>
    <col min="10208" max="10451" width="9.140625" style="2"/>
    <col min="10452" max="10452" width="50.7109375" style="2" customWidth="1"/>
    <col min="10453" max="10454" width="12.7109375" style="2" customWidth="1"/>
    <col min="10455" max="10455" width="14.7109375" style="2" customWidth="1"/>
    <col min="10456" max="10456" width="4.7109375" style="2" customWidth="1"/>
    <col min="10457" max="10458" width="12.7109375" style="2" customWidth="1"/>
    <col min="10459" max="10459" width="14.7109375" style="2" customWidth="1"/>
    <col min="10460" max="10460" width="4.7109375" style="2" customWidth="1"/>
    <col min="10461" max="10462" width="12.7109375" style="2" customWidth="1"/>
    <col min="10463" max="10463" width="14.7109375" style="2" customWidth="1"/>
    <col min="10464" max="10707" width="9.140625" style="2"/>
    <col min="10708" max="10708" width="50.7109375" style="2" customWidth="1"/>
    <col min="10709" max="10710" width="12.7109375" style="2" customWidth="1"/>
    <col min="10711" max="10711" width="14.7109375" style="2" customWidth="1"/>
    <col min="10712" max="10712" width="4.7109375" style="2" customWidth="1"/>
    <col min="10713" max="10714" width="12.7109375" style="2" customWidth="1"/>
    <col min="10715" max="10715" width="14.7109375" style="2" customWidth="1"/>
    <col min="10716" max="10716" width="4.7109375" style="2" customWidth="1"/>
    <col min="10717" max="10718" width="12.7109375" style="2" customWidth="1"/>
    <col min="10719" max="10719" width="14.7109375" style="2" customWidth="1"/>
    <col min="10720" max="10963" width="9.140625" style="2"/>
    <col min="10964" max="10964" width="50.7109375" style="2" customWidth="1"/>
    <col min="10965" max="10966" width="12.7109375" style="2" customWidth="1"/>
    <col min="10967" max="10967" width="14.7109375" style="2" customWidth="1"/>
    <col min="10968" max="10968" width="4.7109375" style="2" customWidth="1"/>
    <col min="10969" max="10970" width="12.7109375" style="2" customWidth="1"/>
    <col min="10971" max="10971" width="14.7109375" style="2" customWidth="1"/>
    <col min="10972" max="10972" width="4.7109375" style="2" customWidth="1"/>
    <col min="10973" max="10974" width="12.7109375" style="2" customWidth="1"/>
    <col min="10975" max="10975" width="14.7109375" style="2" customWidth="1"/>
    <col min="10976" max="11219" width="9.140625" style="2"/>
    <col min="11220" max="11220" width="50.7109375" style="2" customWidth="1"/>
    <col min="11221" max="11222" width="12.7109375" style="2" customWidth="1"/>
    <col min="11223" max="11223" width="14.7109375" style="2" customWidth="1"/>
    <col min="11224" max="11224" width="4.7109375" style="2" customWidth="1"/>
    <col min="11225" max="11226" width="12.7109375" style="2" customWidth="1"/>
    <col min="11227" max="11227" width="14.7109375" style="2" customWidth="1"/>
    <col min="11228" max="11228" width="4.7109375" style="2" customWidth="1"/>
    <col min="11229" max="11230" width="12.7109375" style="2" customWidth="1"/>
    <col min="11231" max="11231" width="14.7109375" style="2" customWidth="1"/>
    <col min="11232" max="11475" width="9.140625" style="2"/>
    <col min="11476" max="11476" width="50.7109375" style="2" customWidth="1"/>
    <col min="11477" max="11478" width="12.7109375" style="2" customWidth="1"/>
    <col min="11479" max="11479" width="14.7109375" style="2" customWidth="1"/>
    <col min="11480" max="11480" width="4.7109375" style="2" customWidth="1"/>
    <col min="11481" max="11482" width="12.7109375" style="2" customWidth="1"/>
    <col min="11483" max="11483" width="14.7109375" style="2" customWidth="1"/>
    <col min="11484" max="11484" width="4.7109375" style="2" customWidth="1"/>
    <col min="11485" max="11486" width="12.7109375" style="2" customWidth="1"/>
    <col min="11487" max="11487" width="14.7109375" style="2" customWidth="1"/>
    <col min="11488" max="11731" width="9.140625" style="2"/>
    <col min="11732" max="11732" width="50.7109375" style="2" customWidth="1"/>
    <col min="11733" max="11734" width="12.7109375" style="2" customWidth="1"/>
    <col min="11735" max="11735" width="14.7109375" style="2" customWidth="1"/>
    <col min="11736" max="11736" width="4.7109375" style="2" customWidth="1"/>
    <col min="11737" max="11738" width="12.7109375" style="2" customWidth="1"/>
    <col min="11739" max="11739" width="14.7109375" style="2" customWidth="1"/>
    <col min="11740" max="11740" width="4.7109375" style="2" customWidth="1"/>
    <col min="11741" max="11742" width="12.7109375" style="2" customWidth="1"/>
    <col min="11743" max="11743" width="14.7109375" style="2" customWidth="1"/>
    <col min="11744" max="11987" width="9.140625" style="2"/>
    <col min="11988" max="11988" width="50.7109375" style="2" customWidth="1"/>
    <col min="11989" max="11990" width="12.7109375" style="2" customWidth="1"/>
    <col min="11991" max="11991" width="14.7109375" style="2" customWidth="1"/>
    <col min="11992" max="11992" width="4.7109375" style="2" customWidth="1"/>
    <col min="11993" max="11994" width="12.7109375" style="2" customWidth="1"/>
    <col min="11995" max="11995" width="14.7109375" style="2" customWidth="1"/>
    <col min="11996" max="11996" width="4.7109375" style="2" customWidth="1"/>
    <col min="11997" max="11998" width="12.7109375" style="2" customWidth="1"/>
    <col min="11999" max="11999" width="14.7109375" style="2" customWidth="1"/>
    <col min="12000" max="12243" width="9.140625" style="2"/>
    <col min="12244" max="12244" width="50.7109375" style="2" customWidth="1"/>
    <col min="12245" max="12246" width="12.7109375" style="2" customWidth="1"/>
    <col min="12247" max="12247" width="14.7109375" style="2" customWidth="1"/>
    <col min="12248" max="12248" width="4.7109375" style="2" customWidth="1"/>
    <col min="12249" max="12250" width="12.7109375" style="2" customWidth="1"/>
    <col min="12251" max="12251" width="14.7109375" style="2" customWidth="1"/>
    <col min="12252" max="12252" width="4.7109375" style="2" customWidth="1"/>
    <col min="12253" max="12254" width="12.7109375" style="2" customWidth="1"/>
    <col min="12255" max="12255" width="14.7109375" style="2" customWidth="1"/>
    <col min="12256" max="12499" width="9.140625" style="2"/>
    <col min="12500" max="12500" width="50.7109375" style="2" customWidth="1"/>
    <col min="12501" max="12502" width="12.7109375" style="2" customWidth="1"/>
    <col min="12503" max="12503" width="14.7109375" style="2" customWidth="1"/>
    <col min="12504" max="12504" width="4.7109375" style="2" customWidth="1"/>
    <col min="12505" max="12506" width="12.7109375" style="2" customWidth="1"/>
    <col min="12507" max="12507" width="14.7109375" style="2" customWidth="1"/>
    <col min="12508" max="12508" width="4.7109375" style="2" customWidth="1"/>
    <col min="12509" max="12510" width="12.7109375" style="2" customWidth="1"/>
    <col min="12511" max="12511" width="14.7109375" style="2" customWidth="1"/>
    <col min="12512" max="12755" width="9.140625" style="2"/>
    <col min="12756" max="12756" width="50.7109375" style="2" customWidth="1"/>
    <col min="12757" max="12758" width="12.7109375" style="2" customWidth="1"/>
    <col min="12759" max="12759" width="14.7109375" style="2" customWidth="1"/>
    <col min="12760" max="12760" width="4.7109375" style="2" customWidth="1"/>
    <col min="12761" max="12762" width="12.7109375" style="2" customWidth="1"/>
    <col min="12763" max="12763" width="14.7109375" style="2" customWidth="1"/>
    <col min="12764" max="12764" width="4.7109375" style="2" customWidth="1"/>
    <col min="12765" max="12766" width="12.7109375" style="2" customWidth="1"/>
    <col min="12767" max="12767" width="14.7109375" style="2" customWidth="1"/>
    <col min="12768" max="13011" width="9.140625" style="2"/>
    <col min="13012" max="13012" width="50.7109375" style="2" customWidth="1"/>
    <col min="13013" max="13014" width="12.7109375" style="2" customWidth="1"/>
    <col min="13015" max="13015" width="14.7109375" style="2" customWidth="1"/>
    <col min="13016" max="13016" width="4.7109375" style="2" customWidth="1"/>
    <col min="13017" max="13018" width="12.7109375" style="2" customWidth="1"/>
    <col min="13019" max="13019" width="14.7109375" style="2" customWidth="1"/>
    <col min="13020" max="13020" width="4.7109375" style="2" customWidth="1"/>
    <col min="13021" max="13022" width="12.7109375" style="2" customWidth="1"/>
    <col min="13023" max="13023" width="14.7109375" style="2" customWidth="1"/>
    <col min="13024" max="13267" width="9.140625" style="2"/>
    <col min="13268" max="13268" width="50.7109375" style="2" customWidth="1"/>
    <col min="13269" max="13270" width="12.7109375" style="2" customWidth="1"/>
    <col min="13271" max="13271" width="14.7109375" style="2" customWidth="1"/>
    <col min="13272" max="13272" width="4.7109375" style="2" customWidth="1"/>
    <col min="13273" max="13274" width="12.7109375" style="2" customWidth="1"/>
    <col min="13275" max="13275" width="14.7109375" style="2" customWidth="1"/>
    <col min="13276" max="13276" width="4.7109375" style="2" customWidth="1"/>
    <col min="13277" max="13278" width="12.7109375" style="2" customWidth="1"/>
    <col min="13279" max="13279" width="14.7109375" style="2" customWidth="1"/>
    <col min="13280" max="13523" width="9.140625" style="2"/>
    <col min="13524" max="13524" width="50.7109375" style="2" customWidth="1"/>
    <col min="13525" max="13526" width="12.7109375" style="2" customWidth="1"/>
    <col min="13527" max="13527" width="14.7109375" style="2" customWidth="1"/>
    <col min="13528" max="13528" width="4.7109375" style="2" customWidth="1"/>
    <col min="13529" max="13530" width="12.7109375" style="2" customWidth="1"/>
    <col min="13531" max="13531" width="14.7109375" style="2" customWidth="1"/>
    <col min="13532" max="13532" width="4.7109375" style="2" customWidth="1"/>
    <col min="13533" max="13534" width="12.7109375" style="2" customWidth="1"/>
    <col min="13535" max="13535" width="14.7109375" style="2" customWidth="1"/>
    <col min="13536" max="13779" width="9.140625" style="2"/>
    <col min="13780" max="13780" width="50.7109375" style="2" customWidth="1"/>
    <col min="13781" max="13782" width="12.7109375" style="2" customWidth="1"/>
    <col min="13783" max="13783" width="14.7109375" style="2" customWidth="1"/>
    <col min="13784" max="13784" width="4.7109375" style="2" customWidth="1"/>
    <col min="13785" max="13786" width="12.7109375" style="2" customWidth="1"/>
    <col min="13787" max="13787" width="14.7109375" style="2" customWidth="1"/>
    <col min="13788" max="13788" width="4.7109375" style="2" customWidth="1"/>
    <col min="13789" max="13790" width="12.7109375" style="2" customWidth="1"/>
    <col min="13791" max="13791" width="14.7109375" style="2" customWidth="1"/>
    <col min="13792" max="14035" width="9.140625" style="2"/>
    <col min="14036" max="14036" width="50.7109375" style="2" customWidth="1"/>
    <col min="14037" max="14038" width="12.7109375" style="2" customWidth="1"/>
    <col min="14039" max="14039" width="14.7109375" style="2" customWidth="1"/>
    <col min="14040" max="14040" width="4.7109375" style="2" customWidth="1"/>
    <col min="14041" max="14042" width="12.7109375" style="2" customWidth="1"/>
    <col min="14043" max="14043" width="14.7109375" style="2" customWidth="1"/>
    <col min="14044" max="14044" width="4.7109375" style="2" customWidth="1"/>
    <col min="14045" max="14046" width="12.7109375" style="2" customWidth="1"/>
    <col min="14047" max="14047" width="14.7109375" style="2" customWidth="1"/>
    <col min="14048" max="14291" width="9.140625" style="2"/>
    <col min="14292" max="14292" width="50.7109375" style="2" customWidth="1"/>
    <col min="14293" max="14294" width="12.7109375" style="2" customWidth="1"/>
    <col min="14295" max="14295" width="14.7109375" style="2" customWidth="1"/>
    <col min="14296" max="14296" width="4.7109375" style="2" customWidth="1"/>
    <col min="14297" max="14298" width="12.7109375" style="2" customWidth="1"/>
    <col min="14299" max="14299" width="14.7109375" style="2" customWidth="1"/>
    <col min="14300" max="14300" width="4.7109375" style="2" customWidth="1"/>
    <col min="14301" max="14302" width="12.7109375" style="2" customWidth="1"/>
    <col min="14303" max="14303" width="14.7109375" style="2" customWidth="1"/>
    <col min="14304" max="14547" width="9.140625" style="2"/>
    <col min="14548" max="14548" width="50.7109375" style="2" customWidth="1"/>
    <col min="14549" max="14550" width="12.7109375" style="2" customWidth="1"/>
    <col min="14551" max="14551" width="14.7109375" style="2" customWidth="1"/>
    <col min="14552" max="14552" width="4.7109375" style="2" customWidth="1"/>
    <col min="14553" max="14554" width="12.7109375" style="2" customWidth="1"/>
    <col min="14555" max="14555" width="14.7109375" style="2" customWidth="1"/>
    <col min="14556" max="14556" width="4.7109375" style="2" customWidth="1"/>
    <col min="14557" max="14558" width="12.7109375" style="2" customWidth="1"/>
    <col min="14559" max="14559" width="14.7109375" style="2" customWidth="1"/>
    <col min="14560" max="14803" width="9.140625" style="2"/>
    <col min="14804" max="14804" width="50.7109375" style="2" customWidth="1"/>
    <col min="14805" max="14806" width="12.7109375" style="2" customWidth="1"/>
    <col min="14807" max="14807" width="14.7109375" style="2" customWidth="1"/>
    <col min="14808" max="14808" width="4.7109375" style="2" customWidth="1"/>
    <col min="14809" max="14810" width="12.7109375" style="2" customWidth="1"/>
    <col min="14811" max="14811" width="14.7109375" style="2" customWidth="1"/>
    <col min="14812" max="14812" width="4.7109375" style="2" customWidth="1"/>
    <col min="14813" max="14814" width="12.7109375" style="2" customWidth="1"/>
    <col min="14815" max="14815" width="14.7109375" style="2" customWidth="1"/>
    <col min="14816" max="15059" width="9.140625" style="2"/>
    <col min="15060" max="15060" width="50.7109375" style="2" customWidth="1"/>
    <col min="15061" max="15062" width="12.7109375" style="2" customWidth="1"/>
    <col min="15063" max="15063" width="14.7109375" style="2" customWidth="1"/>
    <col min="15064" max="15064" width="4.7109375" style="2" customWidth="1"/>
    <col min="15065" max="15066" width="12.7109375" style="2" customWidth="1"/>
    <col min="15067" max="15067" width="14.7109375" style="2" customWidth="1"/>
    <col min="15068" max="15068" width="4.7109375" style="2" customWidth="1"/>
    <col min="15069" max="15070" width="12.7109375" style="2" customWidth="1"/>
    <col min="15071" max="15071" width="14.7109375" style="2" customWidth="1"/>
    <col min="15072" max="15315" width="9.140625" style="2"/>
    <col min="15316" max="15316" width="50.7109375" style="2" customWidth="1"/>
    <col min="15317" max="15318" width="12.7109375" style="2" customWidth="1"/>
    <col min="15319" max="15319" width="14.7109375" style="2" customWidth="1"/>
    <col min="15320" max="15320" width="4.7109375" style="2" customWidth="1"/>
    <col min="15321" max="15322" width="12.7109375" style="2" customWidth="1"/>
    <col min="15323" max="15323" width="14.7109375" style="2" customWidth="1"/>
    <col min="15324" max="15324" width="4.7109375" style="2" customWidth="1"/>
    <col min="15325" max="15326" width="12.7109375" style="2" customWidth="1"/>
    <col min="15327" max="15327" width="14.7109375" style="2" customWidth="1"/>
    <col min="15328" max="15571" width="9.140625" style="2"/>
    <col min="15572" max="15572" width="50.7109375" style="2" customWidth="1"/>
    <col min="15573" max="15574" width="12.7109375" style="2" customWidth="1"/>
    <col min="15575" max="15575" width="14.7109375" style="2" customWidth="1"/>
    <col min="15576" max="15576" width="4.7109375" style="2" customWidth="1"/>
    <col min="15577" max="15578" width="12.7109375" style="2" customWidth="1"/>
    <col min="15579" max="15579" width="14.7109375" style="2" customWidth="1"/>
    <col min="15580" max="15580" width="4.7109375" style="2" customWidth="1"/>
    <col min="15581" max="15582" width="12.7109375" style="2" customWidth="1"/>
    <col min="15583" max="15583" width="14.7109375" style="2" customWidth="1"/>
    <col min="15584" max="15827" width="9.140625" style="2"/>
    <col min="15828" max="15828" width="50.7109375" style="2" customWidth="1"/>
    <col min="15829" max="15830" width="12.7109375" style="2" customWidth="1"/>
    <col min="15831" max="15831" width="14.7109375" style="2" customWidth="1"/>
    <col min="15832" max="15832" width="4.7109375" style="2" customWidth="1"/>
    <col min="15833" max="15834" width="12.7109375" style="2" customWidth="1"/>
    <col min="15835" max="15835" width="14.7109375" style="2" customWidth="1"/>
    <col min="15836" max="15836" width="4.7109375" style="2" customWidth="1"/>
    <col min="15837" max="15838" width="12.7109375" style="2" customWidth="1"/>
    <col min="15839" max="15839" width="14.7109375" style="2" customWidth="1"/>
    <col min="15840" max="16083" width="9.140625" style="2"/>
    <col min="16084" max="16084" width="50.7109375" style="2" customWidth="1"/>
    <col min="16085" max="16086" width="12.7109375" style="2" customWidth="1"/>
    <col min="16087" max="16087" width="14.7109375" style="2" customWidth="1"/>
    <col min="16088" max="16088" width="4.7109375" style="2" customWidth="1"/>
    <col min="16089" max="16090" width="12.7109375" style="2" customWidth="1"/>
    <col min="16091" max="16091" width="14.7109375" style="2" customWidth="1"/>
    <col min="16092" max="16092" width="4.7109375" style="2" customWidth="1"/>
    <col min="16093" max="16094" width="12.7109375" style="2" customWidth="1"/>
    <col min="16095" max="16095" width="14.7109375" style="2" customWidth="1"/>
    <col min="16096" max="16384" width="9.140625" style="2"/>
  </cols>
  <sheetData>
    <row r="1" spans="1:10">
      <c r="A1" s="1" t="s">
        <v>0</v>
      </c>
      <c r="C1" s="2"/>
      <c r="D1" s="3"/>
      <c r="E1" s="3"/>
      <c r="F1" s="3"/>
      <c r="G1" s="3"/>
      <c r="I1" s="3"/>
      <c r="J1" s="3"/>
    </row>
    <row r="2" spans="1:10">
      <c r="A2" s="1" t="s">
        <v>1</v>
      </c>
      <c r="B2" s="19"/>
      <c r="C2" s="2"/>
      <c r="D2" s="19" t="s">
        <v>218</v>
      </c>
      <c r="E2" s="3"/>
      <c r="F2" s="3"/>
      <c r="G2" s="3"/>
      <c r="I2" s="3"/>
      <c r="J2" s="3"/>
    </row>
    <row r="3" spans="1:10">
      <c r="A3" s="1" t="s">
        <v>219</v>
      </c>
      <c r="B3" s="1"/>
      <c r="C3" s="2"/>
      <c r="E3" s="3"/>
      <c r="F3" s="3"/>
      <c r="G3" s="3"/>
      <c r="I3" s="3"/>
      <c r="J3" s="3"/>
    </row>
    <row r="4" spans="1:10">
      <c r="A4" s="1"/>
      <c r="B4" s="1"/>
      <c r="C4" s="2"/>
      <c r="E4" s="3"/>
      <c r="F4" s="3"/>
      <c r="G4" s="3"/>
      <c r="I4" s="3"/>
      <c r="J4" s="3"/>
    </row>
    <row r="5" spans="1:10">
      <c r="A5" s="1" t="s">
        <v>16</v>
      </c>
      <c r="B5" s="109" t="s">
        <v>220</v>
      </c>
      <c r="C5" s="109"/>
      <c r="E5" s="3"/>
      <c r="F5" s="3"/>
      <c r="G5" s="3"/>
      <c r="I5" s="3"/>
      <c r="J5" s="3"/>
    </row>
    <row r="6" spans="1:10">
      <c r="C6" s="2"/>
      <c r="D6" s="3"/>
      <c r="E6" s="3"/>
      <c r="F6" s="3"/>
      <c r="G6" s="3"/>
      <c r="I6" s="3"/>
      <c r="J6" s="3"/>
    </row>
    <row r="7" spans="1:10">
      <c r="A7" s="1" t="s">
        <v>221</v>
      </c>
      <c r="B7" s="1"/>
    </row>
    <row r="8" spans="1:10">
      <c r="A8" s="63" t="s">
        <v>222</v>
      </c>
      <c r="B8" s="1"/>
    </row>
    <row r="9" spans="1:10">
      <c r="A9" s="63" t="s">
        <v>223</v>
      </c>
    </row>
    <row r="10" spans="1:10">
      <c r="A10" s="63" t="s">
        <v>224</v>
      </c>
    </row>
    <row r="11" spans="1:10">
      <c r="A11" s="63" t="s">
        <v>225</v>
      </c>
    </row>
    <row r="12" spans="1:10">
      <c r="A12" s="63" t="s">
        <v>226</v>
      </c>
    </row>
    <row r="13" spans="1:10">
      <c r="A13" s="63" t="s">
        <v>227</v>
      </c>
    </row>
    <row r="14" spans="1:10">
      <c r="A14" s="63" t="s">
        <v>228</v>
      </c>
    </row>
    <row r="15" spans="1:10">
      <c r="A15" s="63" t="s">
        <v>229</v>
      </c>
    </row>
    <row r="16" spans="1:10">
      <c r="A16" s="63" t="s">
        <v>230</v>
      </c>
    </row>
    <row r="17" spans="1:14">
      <c r="A17" s="190" t="s">
        <v>231</v>
      </c>
      <c r="B17" s="191"/>
      <c r="C17" s="192"/>
      <c r="D17" s="191"/>
    </row>
    <row r="18" spans="1:14">
      <c r="A18" s="63"/>
    </row>
    <row r="19" spans="1:14">
      <c r="A19" s="1" t="s">
        <v>232</v>
      </c>
      <c r="C19" s="2"/>
      <c r="D19" s="7"/>
      <c r="E19" s="259" t="s">
        <v>233</v>
      </c>
      <c r="F19" s="260"/>
      <c r="G19" s="259" t="s">
        <v>234</v>
      </c>
      <c r="H19" s="260"/>
      <c r="I19" s="261" t="s">
        <v>235</v>
      </c>
      <c r="J19" s="262"/>
    </row>
    <row r="20" spans="1:14" s="23" customFormat="1" ht="45" customHeight="1">
      <c r="A20" s="263" t="s">
        <v>63</v>
      </c>
      <c r="B20" s="264"/>
      <c r="C20" s="20" t="s">
        <v>236</v>
      </c>
      <c r="D20" s="21" t="s">
        <v>237</v>
      </c>
      <c r="E20" s="55" t="s">
        <v>238</v>
      </c>
      <c r="F20" s="56" t="s">
        <v>239</v>
      </c>
      <c r="G20" s="55" t="s">
        <v>238</v>
      </c>
      <c r="H20" s="56" t="s">
        <v>239</v>
      </c>
      <c r="I20" s="55" t="s">
        <v>238</v>
      </c>
      <c r="J20" s="56" t="s">
        <v>239</v>
      </c>
      <c r="K20" s="22" t="s">
        <v>240</v>
      </c>
      <c r="L20" s="183" t="s">
        <v>241</v>
      </c>
      <c r="M20" s="183" t="s">
        <v>242</v>
      </c>
    </row>
    <row r="21" spans="1:14" ht="15" customHeight="1">
      <c r="A21" s="255" t="s">
        <v>243</v>
      </c>
      <c r="B21" s="256"/>
      <c r="C21" s="134">
        <v>1899</v>
      </c>
      <c r="D21" s="135">
        <v>200</v>
      </c>
      <c r="E21" s="166">
        <v>0</v>
      </c>
      <c r="F21" s="167">
        <v>0</v>
      </c>
      <c r="G21" s="138">
        <v>133</v>
      </c>
      <c r="H21" s="136">
        <v>16</v>
      </c>
      <c r="I21" s="138">
        <v>133</v>
      </c>
      <c r="J21" s="136">
        <v>17</v>
      </c>
      <c r="K21" s="24">
        <f t="shared" ref="K21:K42" si="0">(C21-D21)*(E21+F21+G21+H21+I21+J21)</f>
        <v>508001</v>
      </c>
      <c r="L21" s="25">
        <f>(E21+F21+G21+H21+I21+J21)*D21</f>
        <v>59800</v>
      </c>
      <c r="M21" s="25">
        <f>SUM(K21:L21)</f>
        <v>567801</v>
      </c>
      <c r="N21" s="12"/>
    </row>
    <row r="22" spans="1:14" ht="15" customHeight="1">
      <c r="A22" s="255" t="s">
        <v>244</v>
      </c>
      <c r="B22" s="256"/>
      <c r="C22" s="134">
        <v>2049</v>
      </c>
      <c r="D22" s="135">
        <v>100</v>
      </c>
      <c r="E22" s="168">
        <v>0</v>
      </c>
      <c r="F22" s="169">
        <v>0</v>
      </c>
      <c r="G22" s="138">
        <v>201</v>
      </c>
      <c r="H22" s="137">
        <v>41</v>
      </c>
      <c r="I22" s="138">
        <v>201</v>
      </c>
      <c r="J22" s="137">
        <v>39</v>
      </c>
      <c r="K22" s="24">
        <f t="shared" si="0"/>
        <v>939418</v>
      </c>
      <c r="L22" s="25">
        <f t="shared" ref="L22:L42" si="1">(E22+F22+G22+H22+I22+J22)*D22</f>
        <v>48200</v>
      </c>
      <c r="M22" s="25">
        <f t="shared" ref="M22:M42" si="2">SUM(K22:L22)</f>
        <v>987618</v>
      </c>
    </row>
    <row r="23" spans="1:14" ht="15" customHeight="1">
      <c r="A23" s="255" t="s">
        <v>245</v>
      </c>
      <c r="B23" s="256"/>
      <c r="C23" s="134">
        <v>1624</v>
      </c>
      <c r="D23" s="135">
        <v>325</v>
      </c>
      <c r="E23" s="168">
        <v>0</v>
      </c>
      <c r="F23" s="169">
        <v>0</v>
      </c>
      <c r="G23" s="138">
        <v>357</v>
      </c>
      <c r="H23" s="137">
        <v>39</v>
      </c>
      <c r="I23" s="138">
        <v>357</v>
      </c>
      <c r="J23" s="137">
        <v>27</v>
      </c>
      <c r="K23" s="24">
        <f t="shared" si="0"/>
        <v>1013220</v>
      </c>
      <c r="L23" s="25">
        <f t="shared" si="1"/>
        <v>253500</v>
      </c>
      <c r="M23" s="25">
        <f t="shared" si="2"/>
        <v>1266720</v>
      </c>
    </row>
    <row r="24" spans="1:14" ht="15" customHeight="1">
      <c r="A24" s="255" t="s">
        <v>246</v>
      </c>
      <c r="B24" s="256"/>
      <c r="C24" s="134">
        <v>1824</v>
      </c>
      <c r="D24" s="135">
        <v>125</v>
      </c>
      <c r="E24" s="168">
        <v>0</v>
      </c>
      <c r="F24" s="169">
        <v>0</v>
      </c>
      <c r="G24" s="138">
        <v>402</v>
      </c>
      <c r="H24" s="137">
        <v>44</v>
      </c>
      <c r="I24" s="138">
        <v>402</v>
      </c>
      <c r="J24" s="137">
        <v>43</v>
      </c>
      <c r="K24" s="24">
        <f t="shared" si="0"/>
        <v>1513809</v>
      </c>
      <c r="L24" s="25">
        <f t="shared" si="1"/>
        <v>111375</v>
      </c>
      <c r="M24" s="25">
        <f t="shared" si="2"/>
        <v>1625184</v>
      </c>
    </row>
    <row r="25" spans="1:14" ht="15" customHeight="1">
      <c r="A25" s="255" t="s">
        <v>247</v>
      </c>
      <c r="B25" s="256"/>
      <c r="C25" s="134">
        <v>1949</v>
      </c>
      <c r="D25" s="135">
        <v>900</v>
      </c>
      <c r="E25" s="168">
        <v>0</v>
      </c>
      <c r="F25" s="169">
        <v>0</v>
      </c>
      <c r="G25" s="138">
        <v>144</v>
      </c>
      <c r="H25" s="137">
        <f>14</f>
        <v>14</v>
      </c>
      <c r="I25" s="138">
        <v>144</v>
      </c>
      <c r="J25" s="137">
        <f>15</f>
        <v>15</v>
      </c>
      <c r="K25" s="24">
        <f t="shared" si="0"/>
        <v>332533</v>
      </c>
      <c r="L25" s="25">
        <f t="shared" si="1"/>
        <v>285300</v>
      </c>
      <c r="M25" s="25">
        <f t="shared" si="2"/>
        <v>617833</v>
      </c>
    </row>
    <row r="26" spans="1:14" ht="15" customHeight="1">
      <c r="A26" s="255" t="s">
        <v>248</v>
      </c>
      <c r="B26" s="256"/>
      <c r="C26" s="134">
        <v>1959</v>
      </c>
      <c r="D26" s="135">
        <v>1200</v>
      </c>
      <c r="E26" s="168">
        <v>0</v>
      </c>
      <c r="F26" s="169">
        <v>0</v>
      </c>
      <c r="G26" s="138">
        <v>63</v>
      </c>
      <c r="H26" s="137">
        <f>16</f>
        <v>16</v>
      </c>
      <c r="I26" s="138">
        <v>63</v>
      </c>
      <c r="J26" s="137">
        <f>15</f>
        <v>15</v>
      </c>
      <c r="K26" s="24">
        <f t="shared" si="0"/>
        <v>119163</v>
      </c>
      <c r="L26" s="25">
        <f t="shared" si="1"/>
        <v>188400</v>
      </c>
      <c r="M26" s="25">
        <f t="shared" si="2"/>
        <v>307563</v>
      </c>
    </row>
    <row r="27" spans="1:14" ht="15" customHeight="1">
      <c r="A27" s="255" t="s">
        <v>249</v>
      </c>
      <c r="B27" s="256"/>
      <c r="C27" s="134">
        <v>1989</v>
      </c>
      <c r="D27" s="135">
        <v>1600</v>
      </c>
      <c r="E27" s="168">
        <v>0</v>
      </c>
      <c r="F27" s="169">
        <v>0</v>
      </c>
      <c r="G27" s="138">
        <v>117</v>
      </c>
      <c r="H27" s="137">
        <f>15</f>
        <v>15</v>
      </c>
      <c r="I27" s="138">
        <v>117</v>
      </c>
      <c r="J27" s="137">
        <f>18</f>
        <v>18</v>
      </c>
      <c r="K27" s="24">
        <f t="shared" si="0"/>
        <v>103863</v>
      </c>
      <c r="L27" s="25">
        <f t="shared" si="1"/>
        <v>427200</v>
      </c>
      <c r="M27" s="25">
        <f t="shared" si="2"/>
        <v>531063</v>
      </c>
    </row>
    <row r="28" spans="1:14" ht="15" customHeight="1">
      <c r="A28" s="255" t="s">
        <v>250</v>
      </c>
      <c r="B28" s="256"/>
      <c r="C28" s="134">
        <v>1549</v>
      </c>
      <c r="D28" s="135">
        <v>1549</v>
      </c>
      <c r="E28" s="168">
        <v>0</v>
      </c>
      <c r="F28" s="169">
        <v>0</v>
      </c>
      <c r="G28" s="138">
        <v>0</v>
      </c>
      <c r="H28" s="137">
        <v>71</v>
      </c>
      <c r="I28" s="138">
        <v>0</v>
      </c>
      <c r="J28" s="137">
        <v>77</v>
      </c>
      <c r="K28" s="24">
        <f t="shared" si="0"/>
        <v>0</v>
      </c>
      <c r="L28" s="25">
        <f>(E28+F28+G28+H28+I28+J28)*D28</f>
        <v>229252</v>
      </c>
      <c r="M28" s="25">
        <f>SUM(K28:L28)</f>
        <v>229252</v>
      </c>
    </row>
    <row r="29" spans="1:14" ht="15" customHeight="1">
      <c r="A29" s="255" t="s">
        <v>251</v>
      </c>
      <c r="B29" s="256"/>
      <c r="C29" s="134">
        <v>1129</v>
      </c>
      <c r="D29" s="135">
        <v>1129</v>
      </c>
      <c r="E29" s="168">
        <v>0</v>
      </c>
      <c r="F29" s="169">
        <v>0</v>
      </c>
      <c r="G29" s="138">
        <v>0</v>
      </c>
      <c r="H29" s="137">
        <v>38</v>
      </c>
      <c r="I29" s="138">
        <v>0</v>
      </c>
      <c r="J29" s="137">
        <v>44</v>
      </c>
      <c r="K29" s="24">
        <f t="shared" si="0"/>
        <v>0</v>
      </c>
      <c r="L29" s="25">
        <f>(E29+F29+G29+H29+I29+J29)*D29</f>
        <v>92578</v>
      </c>
      <c r="M29" s="25">
        <f>SUM(K29:L29)</f>
        <v>92578</v>
      </c>
      <c r="N29" s="2" t="s">
        <v>252</v>
      </c>
    </row>
    <row r="30" spans="1:14" ht="15" customHeight="1">
      <c r="A30" s="255" t="s">
        <v>253</v>
      </c>
      <c r="B30" s="256"/>
      <c r="C30" s="134">
        <v>829</v>
      </c>
      <c r="D30" s="135">
        <v>829</v>
      </c>
      <c r="E30" s="168">
        <v>0</v>
      </c>
      <c r="F30" s="169">
        <v>0</v>
      </c>
      <c r="G30" s="138">
        <v>0</v>
      </c>
      <c r="H30" s="137">
        <v>104</v>
      </c>
      <c r="I30" s="138">
        <v>0</v>
      </c>
      <c r="J30" s="137">
        <v>123</v>
      </c>
      <c r="K30" s="24">
        <f t="shared" si="0"/>
        <v>0</v>
      </c>
      <c r="L30" s="25">
        <f t="shared" si="1"/>
        <v>188183</v>
      </c>
      <c r="M30" s="25">
        <f t="shared" si="2"/>
        <v>188183</v>
      </c>
    </row>
    <row r="31" spans="1:14" ht="15" customHeight="1">
      <c r="A31" s="255" t="s">
        <v>254</v>
      </c>
      <c r="B31" s="256"/>
      <c r="C31" s="134">
        <v>499</v>
      </c>
      <c r="D31" s="135">
        <v>499</v>
      </c>
      <c r="E31" s="168">
        <v>0</v>
      </c>
      <c r="F31" s="169">
        <v>0</v>
      </c>
      <c r="G31" s="138">
        <v>0</v>
      </c>
      <c r="H31" s="137">
        <v>34</v>
      </c>
      <c r="I31" s="138">
        <v>0</v>
      </c>
      <c r="J31" s="137">
        <v>77</v>
      </c>
      <c r="K31" s="24">
        <f t="shared" si="0"/>
        <v>0</v>
      </c>
      <c r="L31" s="25">
        <f t="shared" si="1"/>
        <v>55389</v>
      </c>
      <c r="M31" s="25">
        <f t="shared" si="2"/>
        <v>55389</v>
      </c>
    </row>
    <row r="32" spans="1:14" ht="15" customHeight="1">
      <c r="A32" s="255" t="s">
        <v>255</v>
      </c>
      <c r="B32" s="256"/>
      <c r="C32" s="134">
        <v>820</v>
      </c>
      <c r="D32" s="135">
        <v>0</v>
      </c>
      <c r="E32" s="168">
        <v>0</v>
      </c>
      <c r="F32" s="170">
        <v>0</v>
      </c>
      <c r="G32" s="138">
        <v>0</v>
      </c>
      <c r="H32" s="165">
        <v>13</v>
      </c>
      <c r="I32" s="138">
        <v>0</v>
      </c>
      <c r="J32" s="165">
        <v>8</v>
      </c>
      <c r="K32" s="24">
        <f t="shared" si="0"/>
        <v>17220</v>
      </c>
      <c r="L32" s="25">
        <f t="shared" si="1"/>
        <v>0</v>
      </c>
      <c r="M32" s="25">
        <f t="shared" si="2"/>
        <v>17220</v>
      </c>
    </row>
    <row r="33" spans="1:13" ht="15" customHeight="1">
      <c r="A33" s="255" t="s">
        <v>256</v>
      </c>
      <c r="B33" s="256"/>
      <c r="C33" s="134">
        <v>428</v>
      </c>
      <c r="D33" s="135">
        <v>0</v>
      </c>
      <c r="E33" s="171">
        <v>0</v>
      </c>
      <c r="F33" s="165"/>
      <c r="G33" s="138">
        <v>0</v>
      </c>
      <c r="H33" s="165">
        <v>58</v>
      </c>
      <c r="I33" s="138">
        <v>0</v>
      </c>
      <c r="J33" s="165">
        <v>40</v>
      </c>
      <c r="K33" s="24">
        <f t="shared" si="0"/>
        <v>41944</v>
      </c>
      <c r="L33" s="25">
        <f t="shared" si="1"/>
        <v>0</v>
      </c>
      <c r="M33" s="25">
        <f t="shared" si="2"/>
        <v>41944</v>
      </c>
    </row>
    <row r="34" spans="1:13" ht="15" customHeight="1">
      <c r="A34" s="255" t="s">
        <v>245</v>
      </c>
      <c r="B34" s="256"/>
      <c r="C34" s="134">
        <v>785</v>
      </c>
      <c r="D34" s="135">
        <v>150</v>
      </c>
      <c r="E34" s="138">
        <v>185</v>
      </c>
      <c r="F34" s="165"/>
      <c r="G34" s="171">
        <v>0</v>
      </c>
      <c r="H34" s="172">
        <v>0</v>
      </c>
      <c r="I34" s="171">
        <v>0</v>
      </c>
      <c r="J34" s="172">
        <v>0</v>
      </c>
      <c r="K34" s="24">
        <f>(C34-D34)*(E34+F34+G34+H34+I34+J34)</f>
        <v>117475</v>
      </c>
      <c r="L34" s="25">
        <f t="shared" si="1"/>
        <v>27750</v>
      </c>
      <c r="M34" s="25">
        <f t="shared" si="2"/>
        <v>145225</v>
      </c>
    </row>
    <row r="35" spans="1:13" ht="15" customHeight="1">
      <c r="A35" s="255" t="s">
        <v>246</v>
      </c>
      <c r="B35" s="256"/>
      <c r="C35" s="134">
        <v>785</v>
      </c>
      <c r="D35" s="135">
        <v>100</v>
      </c>
      <c r="E35" s="138">
        <v>123</v>
      </c>
      <c r="F35" s="165"/>
      <c r="G35" s="171">
        <v>0</v>
      </c>
      <c r="H35" s="172">
        <v>0</v>
      </c>
      <c r="I35" s="171">
        <v>0</v>
      </c>
      <c r="J35" s="172">
        <v>0</v>
      </c>
      <c r="K35" s="24">
        <f t="shared" si="0"/>
        <v>84255</v>
      </c>
      <c r="L35" s="25">
        <f t="shared" si="1"/>
        <v>12300</v>
      </c>
      <c r="M35" s="25">
        <f t="shared" si="2"/>
        <v>96555</v>
      </c>
    </row>
    <row r="36" spans="1:13" ht="15" customHeight="1">
      <c r="A36" s="255" t="s">
        <v>243</v>
      </c>
      <c r="B36" s="256"/>
      <c r="C36" s="193">
        <v>845</v>
      </c>
      <c r="D36" s="135">
        <v>125</v>
      </c>
      <c r="E36" s="138">
        <v>31</v>
      </c>
      <c r="F36" s="165"/>
      <c r="G36" s="171">
        <v>0</v>
      </c>
      <c r="H36" s="172">
        <v>0</v>
      </c>
      <c r="I36" s="171">
        <v>0</v>
      </c>
      <c r="J36" s="172">
        <v>0</v>
      </c>
      <c r="K36" s="24">
        <f t="shared" si="0"/>
        <v>22320</v>
      </c>
      <c r="L36" s="25">
        <f t="shared" si="1"/>
        <v>3875</v>
      </c>
      <c r="M36" s="25">
        <f t="shared" si="2"/>
        <v>26195</v>
      </c>
    </row>
    <row r="37" spans="1:13" ht="15" customHeight="1">
      <c r="A37" s="255" t="s">
        <v>244</v>
      </c>
      <c r="B37" s="256"/>
      <c r="C37" s="193">
        <v>845</v>
      </c>
      <c r="D37" s="135">
        <v>75</v>
      </c>
      <c r="E37" s="138">
        <v>74</v>
      </c>
      <c r="F37" s="165"/>
      <c r="G37" s="171">
        <v>0</v>
      </c>
      <c r="H37" s="172">
        <v>0</v>
      </c>
      <c r="I37" s="171">
        <v>0</v>
      </c>
      <c r="J37" s="172">
        <v>0</v>
      </c>
      <c r="K37" s="24">
        <f t="shared" si="0"/>
        <v>56980</v>
      </c>
      <c r="L37" s="25">
        <f t="shared" si="1"/>
        <v>5550</v>
      </c>
      <c r="M37" s="25">
        <f t="shared" si="2"/>
        <v>62530</v>
      </c>
    </row>
    <row r="38" spans="1:13" ht="15" customHeight="1">
      <c r="A38" s="255" t="s">
        <v>257</v>
      </c>
      <c r="B38" s="256"/>
      <c r="C38" s="193">
        <v>642</v>
      </c>
      <c r="D38" s="135">
        <v>0</v>
      </c>
      <c r="E38" s="138">
        <v>0</v>
      </c>
      <c r="F38" s="165"/>
      <c r="G38" s="171">
        <v>0</v>
      </c>
      <c r="H38" s="172">
        <v>0</v>
      </c>
      <c r="I38" s="171">
        <v>0</v>
      </c>
      <c r="J38" s="172">
        <v>0</v>
      </c>
      <c r="K38" s="24">
        <f t="shared" si="0"/>
        <v>0</v>
      </c>
      <c r="L38" s="25">
        <f t="shared" si="1"/>
        <v>0</v>
      </c>
      <c r="M38" s="25">
        <f t="shared" si="2"/>
        <v>0</v>
      </c>
    </row>
    <row r="39" spans="1:13" ht="15" customHeight="1">
      <c r="A39" s="255" t="s">
        <v>258</v>
      </c>
      <c r="B39" s="256"/>
      <c r="C39" s="193">
        <v>214</v>
      </c>
      <c r="D39" s="135">
        <v>0</v>
      </c>
      <c r="E39" s="138">
        <v>0</v>
      </c>
      <c r="F39" s="165"/>
      <c r="G39" s="171">
        <v>0</v>
      </c>
      <c r="H39" s="172">
        <v>0</v>
      </c>
      <c r="I39" s="171">
        <v>0</v>
      </c>
      <c r="J39" s="172">
        <v>0</v>
      </c>
      <c r="K39" s="24">
        <f t="shared" si="0"/>
        <v>0</v>
      </c>
      <c r="L39" s="25">
        <f t="shared" si="1"/>
        <v>0</v>
      </c>
      <c r="M39" s="25">
        <f t="shared" si="2"/>
        <v>0</v>
      </c>
    </row>
    <row r="40" spans="1:13" ht="15" customHeight="1">
      <c r="A40" s="255" t="s">
        <v>259</v>
      </c>
      <c r="B40" s="256"/>
      <c r="C40" s="193">
        <v>775</v>
      </c>
      <c r="D40" s="135">
        <v>775</v>
      </c>
      <c r="E40" s="138">
        <v>0</v>
      </c>
      <c r="F40" s="165"/>
      <c r="G40" s="171">
        <v>0</v>
      </c>
      <c r="H40" s="172">
        <v>0</v>
      </c>
      <c r="I40" s="171">
        <v>0</v>
      </c>
      <c r="J40" s="172">
        <v>0</v>
      </c>
      <c r="K40" s="24">
        <f t="shared" si="0"/>
        <v>0</v>
      </c>
      <c r="L40" s="25">
        <f t="shared" si="1"/>
        <v>0</v>
      </c>
      <c r="M40" s="25">
        <f t="shared" si="2"/>
        <v>0</v>
      </c>
    </row>
    <row r="41" spans="1:13" ht="15" customHeight="1">
      <c r="A41" s="255" t="s">
        <v>260</v>
      </c>
      <c r="B41" s="256"/>
      <c r="C41" s="193">
        <v>350</v>
      </c>
      <c r="D41" s="135">
        <v>350</v>
      </c>
      <c r="E41" s="138">
        <v>0</v>
      </c>
      <c r="F41" s="165"/>
      <c r="G41" s="171">
        <v>0</v>
      </c>
      <c r="H41" s="172">
        <v>0</v>
      </c>
      <c r="I41" s="171">
        <v>0</v>
      </c>
      <c r="J41" s="172">
        <v>0</v>
      </c>
      <c r="K41" s="24">
        <f t="shared" si="0"/>
        <v>0</v>
      </c>
      <c r="L41" s="25">
        <f t="shared" si="1"/>
        <v>0</v>
      </c>
      <c r="M41" s="25">
        <f t="shared" si="2"/>
        <v>0</v>
      </c>
    </row>
    <row r="42" spans="1:13" ht="15" customHeight="1">
      <c r="A42" s="257" t="s">
        <v>261</v>
      </c>
      <c r="B42" s="258"/>
      <c r="C42" s="194">
        <v>250</v>
      </c>
      <c r="D42" s="164">
        <v>250</v>
      </c>
      <c r="E42" s="138">
        <v>0</v>
      </c>
      <c r="F42" s="165"/>
      <c r="G42" s="171">
        <v>0</v>
      </c>
      <c r="H42" s="172">
        <v>0</v>
      </c>
      <c r="I42" s="171">
        <v>0</v>
      </c>
      <c r="J42" s="172">
        <v>0</v>
      </c>
      <c r="K42" s="24">
        <f t="shared" si="0"/>
        <v>0</v>
      </c>
      <c r="L42" s="25">
        <f t="shared" si="1"/>
        <v>0</v>
      </c>
      <c r="M42" s="25">
        <f t="shared" si="2"/>
        <v>0</v>
      </c>
    </row>
    <row r="43" spans="1:13" ht="15" customHeight="1">
      <c r="B43" s="59" t="s">
        <v>262</v>
      </c>
      <c r="C43" s="173"/>
      <c r="D43" s="174"/>
      <c r="E43" s="57">
        <f t="shared" ref="E43:M43" si="3">SUM(E21:E42)</f>
        <v>413</v>
      </c>
      <c r="F43" s="60">
        <f t="shared" si="3"/>
        <v>0</v>
      </c>
      <c r="G43" s="58">
        <f t="shared" si="3"/>
        <v>1417</v>
      </c>
      <c r="H43" s="60">
        <f t="shared" si="3"/>
        <v>503</v>
      </c>
      <c r="I43" s="58">
        <f t="shared" si="3"/>
        <v>1417</v>
      </c>
      <c r="J43" s="60">
        <f t="shared" si="3"/>
        <v>543</v>
      </c>
      <c r="K43" s="66">
        <f t="shared" si="3"/>
        <v>4870201</v>
      </c>
      <c r="L43" s="69">
        <f t="shared" si="3"/>
        <v>1988652</v>
      </c>
      <c r="M43" s="26">
        <f t="shared" si="3"/>
        <v>6858853</v>
      </c>
    </row>
    <row r="44" spans="1:13" ht="2.1" customHeight="1">
      <c r="B44" s="59"/>
      <c r="C44" s="27"/>
      <c r="D44" s="52"/>
      <c r="E44" s="64"/>
      <c r="F44" s="64"/>
      <c r="G44" s="65"/>
      <c r="H44" s="64"/>
      <c r="I44" s="65"/>
      <c r="J44" s="64"/>
    </row>
    <row r="45" spans="1:13" ht="15" customHeight="1">
      <c r="A45" s="54" t="s">
        <v>263</v>
      </c>
      <c r="B45" s="71"/>
      <c r="C45" s="70"/>
      <c r="D45" s="54"/>
      <c r="E45" s="72"/>
      <c r="F45" s="54"/>
      <c r="G45" s="72"/>
      <c r="H45" s="31"/>
    </row>
    <row r="46" spans="1:13">
      <c r="A46" s="73" t="s">
        <v>264</v>
      </c>
      <c r="B46" s="73"/>
      <c r="C46" s="74"/>
      <c r="D46" s="73"/>
      <c r="E46" s="73"/>
      <c r="F46" s="73"/>
      <c r="G46" s="73"/>
      <c r="J46" s="61" t="s">
        <v>265</v>
      </c>
      <c r="K46" s="67">
        <f>(C21-D21)*(E21+G21+I21)+(C22-D22)*(E22+G22+I22)+(C23-D23)*(E23+G23+I23)+(C24-D24)*(E24+G24+I24)+(C25-D25)*(E25+G25+I25)+(C26-D26)*(E26+G26+I26)+(C27-D27)*(E27+G27+I27)+(C32-D32)*(E32+G32+I32)+(C33-D33)*(E33+G33+I33)+(C34-D34)*(E34+G34+I34)+(C35-D35)*(E35+G35+I35)+(C36-D36)*(E36+G36+I36)+(C37-D37)*(E37+G37+I37)+(C38-D38)*(E38+G38+I38)+(C39-D39)*(E39+G39+I39)</f>
        <v>4298716</v>
      </c>
      <c r="L46" s="30">
        <f>D21*(G21+I21)+D22*(G22+I22)+D23*(G23+I23)+D24*(G24+I24)+D25*(G25+I25)+D26*(G26+I26)+D27*(G27+I27)+D34*(E34)+D35*(E35)+D36*(E36)+D37*(E37)</f>
        <v>1260225</v>
      </c>
      <c r="M46" s="62">
        <f>SUM(K46:L46)</f>
        <v>5558941</v>
      </c>
    </row>
    <row r="47" spans="1:13">
      <c r="A47" s="75" t="s">
        <v>266</v>
      </c>
      <c r="B47" s="75"/>
      <c r="C47" s="76"/>
      <c r="D47" s="75"/>
      <c r="E47" s="75"/>
      <c r="F47" s="75"/>
      <c r="G47" s="75"/>
      <c r="J47" s="61" t="s">
        <v>267</v>
      </c>
      <c r="K47" s="68">
        <f>(C21-D21)*(F21+H21+J21)+(C22-D22)*(F22+H22+J22)+(C23-D23)*(F23+H23+J23)+(C24-D24)*(F24+H24+J24)+(C25-D25)*(F25+H25+J25)+(C26-D26)*(F26+H26+J26)+(C27-D27)*(F27+H27+J27)+(C32-D32)*(F32+H32+J32)+(C33-D33)*(F33+H33+J33)+(C34-D34)*(F34+H34+J34)+(C35-D35)*(F35+H35+J35)+(C36-D36)*(F36+H36+J36)+(C37-D37)*(F37+H37+J37)+(C38-D38)*(F38+H38+J38)+(C39-D39)*(F39+H39+J39)</f>
        <v>571485</v>
      </c>
      <c r="L47" s="30">
        <f>D21*(H21+J21)+D22*(H22+J22)+D23*(H23+J23)+D24*(H24+J24)+D25*(H25+J25)+D26*(H26+J26)+D27*(H27+J27)+D28*(H28+J28)+D29*(H29+J29)+D30*(H30+J30)+D31*(H31+J31)+D34*F34+D35*F35+D36*F36+D37*F37+D40*F40+D41*F41+D42*(F42)</f>
        <v>728427</v>
      </c>
      <c r="M47" s="62">
        <f>SUM(K47:L47)</f>
        <v>1299912</v>
      </c>
    </row>
    <row r="48" spans="1:13">
      <c r="K48" s="12" t="s">
        <v>218</v>
      </c>
      <c r="L48" s="12" t="s">
        <v>218</v>
      </c>
    </row>
    <row r="49" spans="1:16">
      <c r="K49" s="12"/>
      <c r="L49" s="12"/>
    </row>
    <row r="50" spans="1:16">
      <c r="A50" s="1" t="s">
        <v>268</v>
      </c>
      <c r="C50" s="46" t="s">
        <v>218</v>
      </c>
      <c r="D50" s="77" t="s">
        <v>218</v>
      </c>
      <c r="E50" s="259" t="s">
        <v>233</v>
      </c>
      <c r="F50" s="260"/>
      <c r="G50" s="259" t="s">
        <v>234</v>
      </c>
      <c r="H50" s="260"/>
      <c r="I50" s="261" t="s">
        <v>235</v>
      </c>
      <c r="J50" s="262"/>
    </row>
    <row r="51" spans="1:16" s="23" customFormat="1" ht="45" customHeight="1">
      <c r="A51" s="263" t="s">
        <v>63</v>
      </c>
      <c r="B51" s="264"/>
      <c r="C51" s="20" t="s">
        <v>269</v>
      </c>
      <c r="D51" s="21" t="s">
        <v>237</v>
      </c>
      <c r="E51" s="55" t="s">
        <v>238</v>
      </c>
      <c r="F51" s="56" t="s">
        <v>239</v>
      </c>
      <c r="G51" s="55" t="s">
        <v>238</v>
      </c>
      <c r="H51" s="56" t="s">
        <v>239</v>
      </c>
      <c r="I51" s="55" t="s">
        <v>238</v>
      </c>
      <c r="J51" s="56" t="s">
        <v>239</v>
      </c>
      <c r="K51" s="22" t="s">
        <v>240</v>
      </c>
      <c r="L51" s="183" t="s">
        <v>270</v>
      </c>
      <c r="M51" s="183" t="s">
        <v>242</v>
      </c>
      <c r="N51" s="187"/>
      <c r="P51" s="185"/>
    </row>
    <row r="52" spans="1:16" ht="15" customHeight="1">
      <c r="A52" s="255" t="s">
        <v>271</v>
      </c>
      <c r="B52" s="256"/>
      <c r="C52" s="179">
        <v>1933</v>
      </c>
      <c r="D52" s="135">
        <f>D21</f>
        <v>200</v>
      </c>
      <c r="E52" s="175"/>
      <c r="F52" s="176"/>
      <c r="G52" s="189">
        <v>80</v>
      </c>
      <c r="H52" s="136">
        <v>28</v>
      </c>
      <c r="I52" s="189">
        <v>80</v>
      </c>
      <c r="J52" s="136">
        <v>30</v>
      </c>
      <c r="K52" s="24">
        <f t="shared" ref="K52:K66" si="4">(C52-D52)*(E52+F52+G52+H52+I52+J52)</f>
        <v>377794</v>
      </c>
      <c r="L52" s="25">
        <f>(E52+F52+G52+H52+I52+J52)*D52</f>
        <v>43600</v>
      </c>
      <c r="M52" s="25">
        <f>SUM(K52:L52)</f>
        <v>421394</v>
      </c>
      <c r="N52" s="184"/>
      <c r="P52" s="186"/>
    </row>
    <row r="53" spans="1:16" ht="15" customHeight="1">
      <c r="A53" s="255" t="s">
        <v>272</v>
      </c>
      <c r="B53" s="256"/>
      <c r="C53" s="179">
        <v>2088</v>
      </c>
      <c r="D53" s="135">
        <f>D22</f>
        <v>100</v>
      </c>
      <c r="E53" s="171"/>
      <c r="F53" s="177"/>
      <c r="G53" s="197">
        <v>111</v>
      </c>
      <c r="H53" s="137">
        <v>41</v>
      </c>
      <c r="I53" s="197">
        <v>111</v>
      </c>
      <c r="J53" s="137">
        <v>40</v>
      </c>
      <c r="K53" s="24">
        <f t="shared" si="4"/>
        <v>602364</v>
      </c>
      <c r="L53" s="25">
        <f t="shared" ref="L53:L66" si="5">(E53+F53+G53+H53+I53+J53)*D53</f>
        <v>30300</v>
      </c>
      <c r="M53" s="25">
        <f t="shared" ref="M53:M66" si="6">SUM(K53:L53)</f>
        <v>632664</v>
      </c>
      <c r="N53" s="184"/>
      <c r="P53" s="186"/>
    </row>
    <row r="54" spans="1:16" ht="15" customHeight="1">
      <c r="A54" s="255" t="s">
        <v>273</v>
      </c>
      <c r="B54" s="256"/>
      <c r="C54" s="179">
        <v>1850</v>
      </c>
      <c r="D54" s="135">
        <v>350</v>
      </c>
      <c r="E54" s="171"/>
      <c r="F54" s="177"/>
      <c r="G54" s="188">
        <v>216</v>
      </c>
      <c r="H54" s="137">
        <v>41</v>
      </c>
      <c r="I54" s="188">
        <v>216</v>
      </c>
      <c r="J54" s="137">
        <v>36</v>
      </c>
      <c r="K54" s="24">
        <f t="shared" si="4"/>
        <v>763500</v>
      </c>
      <c r="L54" s="25">
        <f t="shared" si="5"/>
        <v>178150</v>
      </c>
      <c r="M54" s="25">
        <f t="shared" si="6"/>
        <v>941650</v>
      </c>
      <c r="N54" s="184"/>
      <c r="P54" s="186"/>
    </row>
    <row r="55" spans="1:16" ht="15" customHeight="1">
      <c r="A55" s="255" t="s">
        <v>274</v>
      </c>
      <c r="B55" s="256"/>
      <c r="C55" s="179">
        <v>1650</v>
      </c>
      <c r="D55" s="135">
        <v>600</v>
      </c>
      <c r="E55" s="171"/>
      <c r="F55" s="177"/>
      <c r="G55" s="188">
        <v>236</v>
      </c>
      <c r="H55" s="137">
        <v>34</v>
      </c>
      <c r="I55" s="188">
        <v>236</v>
      </c>
      <c r="J55" s="137">
        <v>35</v>
      </c>
      <c r="K55" s="24">
        <f t="shared" si="4"/>
        <v>568050</v>
      </c>
      <c r="L55" s="25">
        <f t="shared" si="5"/>
        <v>324600</v>
      </c>
      <c r="M55" s="25">
        <f t="shared" si="6"/>
        <v>892650</v>
      </c>
      <c r="N55" s="184"/>
      <c r="P55" s="186"/>
    </row>
    <row r="56" spans="1:16" ht="15" customHeight="1">
      <c r="A56" s="255" t="s">
        <v>275</v>
      </c>
      <c r="B56" s="256"/>
      <c r="C56" s="179">
        <v>1885</v>
      </c>
      <c r="D56" s="135">
        <v>1375</v>
      </c>
      <c r="E56" s="171"/>
      <c r="F56" s="177"/>
      <c r="G56" s="188">
        <v>0</v>
      </c>
      <c r="H56" s="137">
        <v>92</v>
      </c>
      <c r="I56" s="188">
        <v>0</v>
      </c>
      <c r="J56" s="137">
        <v>93</v>
      </c>
      <c r="K56" s="24">
        <f t="shared" si="4"/>
        <v>94350</v>
      </c>
      <c r="L56" s="25">
        <f t="shared" si="5"/>
        <v>254375</v>
      </c>
      <c r="M56" s="25">
        <f t="shared" si="6"/>
        <v>348725</v>
      </c>
      <c r="N56" s="48"/>
      <c r="P56" s="186"/>
    </row>
    <row r="57" spans="1:16" ht="15" customHeight="1">
      <c r="A57" s="255" t="s">
        <v>276</v>
      </c>
      <c r="B57" s="256"/>
      <c r="C57" s="179">
        <v>1549</v>
      </c>
      <c r="D57" s="135">
        <v>1549</v>
      </c>
      <c r="E57" s="171"/>
      <c r="F57" s="177"/>
      <c r="G57" s="188">
        <v>0</v>
      </c>
      <c r="H57" s="137">
        <v>83</v>
      </c>
      <c r="I57" s="188">
        <v>0</v>
      </c>
      <c r="J57" s="137">
        <v>89</v>
      </c>
      <c r="K57" s="24">
        <f t="shared" si="4"/>
        <v>0</v>
      </c>
      <c r="L57" s="25">
        <f t="shared" si="5"/>
        <v>266428</v>
      </c>
      <c r="M57" s="25">
        <f t="shared" si="6"/>
        <v>266428</v>
      </c>
    </row>
    <row r="58" spans="1:16" ht="15" customHeight="1">
      <c r="A58" s="255" t="s">
        <v>277</v>
      </c>
      <c r="B58" s="256"/>
      <c r="C58" s="179">
        <v>999</v>
      </c>
      <c r="D58" s="135">
        <v>999</v>
      </c>
      <c r="E58" s="171"/>
      <c r="F58" s="177"/>
      <c r="G58" s="188">
        <v>0</v>
      </c>
      <c r="H58" s="137">
        <v>134</v>
      </c>
      <c r="I58" s="188">
        <v>0</v>
      </c>
      <c r="J58" s="137">
        <v>155</v>
      </c>
      <c r="K58" s="24">
        <f t="shared" si="4"/>
        <v>0</v>
      </c>
      <c r="L58" s="25">
        <f t="shared" si="5"/>
        <v>288711</v>
      </c>
      <c r="M58" s="25">
        <f t="shared" si="6"/>
        <v>288711</v>
      </c>
    </row>
    <row r="59" spans="1:16" ht="15" customHeight="1">
      <c r="A59" s="255" t="s">
        <v>278</v>
      </c>
      <c r="B59" s="256"/>
      <c r="C59" s="179">
        <v>499</v>
      </c>
      <c r="D59" s="135">
        <v>499</v>
      </c>
      <c r="E59" s="171"/>
      <c r="F59" s="177"/>
      <c r="G59" s="138">
        <v>0</v>
      </c>
      <c r="H59" s="137">
        <v>251</v>
      </c>
      <c r="I59" s="138">
        <v>0</v>
      </c>
      <c r="J59" s="137">
        <v>274</v>
      </c>
      <c r="K59" s="24">
        <f t="shared" si="4"/>
        <v>0</v>
      </c>
      <c r="L59" s="25">
        <f t="shared" si="5"/>
        <v>261975</v>
      </c>
      <c r="M59" s="25">
        <f t="shared" si="6"/>
        <v>261975</v>
      </c>
    </row>
    <row r="60" spans="1:16" ht="15" customHeight="1">
      <c r="A60" s="255" t="s">
        <v>279</v>
      </c>
      <c r="B60" s="256"/>
      <c r="C60" s="179">
        <v>100</v>
      </c>
      <c r="D60" s="135">
        <v>100</v>
      </c>
      <c r="E60" s="188">
        <v>31087</v>
      </c>
      <c r="F60" s="137">
        <v>0</v>
      </c>
      <c r="G60" s="188">
        <v>31087</v>
      </c>
      <c r="H60" s="137">
        <v>0</v>
      </c>
      <c r="I60" s="188">
        <v>31087</v>
      </c>
      <c r="J60" s="137">
        <v>0</v>
      </c>
      <c r="K60" s="24">
        <f t="shared" si="4"/>
        <v>0</v>
      </c>
      <c r="L60" s="25">
        <f t="shared" si="5"/>
        <v>9326100</v>
      </c>
      <c r="M60" s="25">
        <f t="shared" si="6"/>
        <v>9326100</v>
      </c>
    </row>
    <row r="61" spans="1:16" ht="15" customHeight="1">
      <c r="A61" s="255" t="s">
        <v>271</v>
      </c>
      <c r="B61" s="256"/>
      <c r="C61" s="193">
        <v>859</v>
      </c>
      <c r="D61" s="135">
        <v>125</v>
      </c>
      <c r="E61" s="197">
        <v>179</v>
      </c>
      <c r="F61" s="137">
        <v>0</v>
      </c>
      <c r="G61" s="168"/>
      <c r="H61" s="177"/>
      <c r="I61" s="168"/>
      <c r="J61" s="177"/>
      <c r="K61" s="24">
        <f t="shared" si="4"/>
        <v>131386</v>
      </c>
      <c r="L61" s="25">
        <f t="shared" si="5"/>
        <v>22375</v>
      </c>
      <c r="M61" s="25">
        <f t="shared" si="6"/>
        <v>153761</v>
      </c>
      <c r="N61" s="184"/>
      <c r="P61" s="186"/>
    </row>
    <row r="62" spans="1:16" ht="15" customHeight="1">
      <c r="A62" s="255" t="s">
        <v>272</v>
      </c>
      <c r="B62" s="256"/>
      <c r="C62" s="193">
        <v>860</v>
      </c>
      <c r="D62" s="135">
        <v>75</v>
      </c>
      <c r="E62" s="197">
        <v>163</v>
      </c>
      <c r="F62" s="137">
        <v>0</v>
      </c>
      <c r="G62" s="168"/>
      <c r="H62" s="177"/>
      <c r="I62" s="168"/>
      <c r="J62" s="177"/>
      <c r="K62" s="24">
        <f t="shared" si="4"/>
        <v>127955</v>
      </c>
      <c r="L62" s="25">
        <f t="shared" si="5"/>
        <v>12225</v>
      </c>
      <c r="M62" s="25">
        <f t="shared" si="6"/>
        <v>140180</v>
      </c>
      <c r="N62" s="184"/>
      <c r="P62" s="186"/>
    </row>
    <row r="63" spans="1:16" ht="15" customHeight="1">
      <c r="A63" s="255" t="s">
        <v>280</v>
      </c>
      <c r="B63" s="256"/>
      <c r="C63" s="193">
        <v>655</v>
      </c>
      <c r="D63" s="135">
        <v>0</v>
      </c>
      <c r="E63" s="138">
        <v>0</v>
      </c>
      <c r="F63" s="137"/>
      <c r="G63" s="168"/>
      <c r="H63" s="177"/>
      <c r="I63" s="168"/>
      <c r="J63" s="177"/>
      <c r="K63" s="24">
        <f t="shared" si="4"/>
        <v>0</v>
      </c>
      <c r="L63" s="25">
        <f t="shared" si="5"/>
        <v>0</v>
      </c>
      <c r="M63" s="25">
        <f t="shared" si="6"/>
        <v>0</v>
      </c>
      <c r="P63" s="186"/>
    </row>
    <row r="64" spans="1:16" ht="15" customHeight="1">
      <c r="A64" s="255" t="s">
        <v>259</v>
      </c>
      <c r="B64" s="256"/>
      <c r="C64" s="193">
        <v>775</v>
      </c>
      <c r="D64" s="135">
        <v>775</v>
      </c>
      <c r="E64" s="138">
        <v>0</v>
      </c>
      <c r="F64" s="137"/>
      <c r="G64" s="168"/>
      <c r="H64" s="177"/>
      <c r="I64" s="168"/>
      <c r="J64" s="177"/>
      <c r="K64" s="24">
        <f t="shared" si="4"/>
        <v>0</v>
      </c>
      <c r="L64" s="25">
        <f t="shared" si="5"/>
        <v>0</v>
      </c>
      <c r="M64" s="25">
        <f t="shared" si="6"/>
        <v>0</v>
      </c>
    </row>
    <row r="65" spans="1:14" ht="15" customHeight="1">
      <c r="A65" s="255" t="s">
        <v>260</v>
      </c>
      <c r="B65" s="256"/>
      <c r="C65" s="193">
        <v>350</v>
      </c>
      <c r="D65" s="135">
        <v>350</v>
      </c>
      <c r="E65" s="138">
        <v>0</v>
      </c>
      <c r="F65" s="137"/>
      <c r="G65" s="168"/>
      <c r="H65" s="177"/>
      <c r="I65" s="168"/>
      <c r="J65" s="177"/>
      <c r="K65" s="24">
        <f t="shared" si="4"/>
        <v>0</v>
      </c>
      <c r="L65" s="25">
        <f t="shared" si="5"/>
        <v>0</v>
      </c>
      <c r="M65" s="25">
        <f t="shared" si="6"/>
        <v>0</v>
      </c>
    </row>
    <row r="66" spans="1:14" ht="15" customHeight="1">
      <c r="A66" s="257" t="s">
        <v>261</v>
      </c>
      <c r="B66" s="258"/>
      <c r="C66" s="194">
        <v>250</v>
      </c>
      <c r="D66" s="164">
        <v>250</v>
      </c>
      <c r="E66" s="139">
        <f>E31</f>
        <v>0</v>
      </c>
      <c r="F66" s="137">
        <v>0</v>
      </c>
      <c r="G66" s="178">
        <v>0</v>
      </c>
      <c r="H66" s="177">
        <v>0</v>
      </c>
      <c r="I66" s="178">
        <v>0</v>
      </c>
      <c r="J66" s="177">
        <v>0</v>
      </c>
      <c r="K66" s="24">
        <f t="shared" si="4"/>
        <v>0</v>
      </c>
      <c r="L66" s="25">
        <f t="shared" si="5"/>
        <v>0</v>
      </c>
      <c r="M66" s="25">
        <f t="shared" si="6"/>
        <v>0</v>
      </c>
    </row>
    <row r="67" spans="1:14" ht="13.5" customHeight="1">
      <c r="B67" s="59" t="s">
        <v>262</v>
      </c>
      <c r="C67" s="180"/>
      <c r="D67" s="181"/>
      <c r="E67" s="57">
        <f t="shared" ref="E67:M67" si="7">SUM(E52:E66)</f>
        <v>31429</v>
      </c>
      <c r="F67" s="60">
        <f t="shared" si="7"/>
        <v>0</v>
      </c>
      <c r="G67" s="199">
        <f t="shared" si="7"/>
        <v>31730</v>
      </c>
      <c r="H67" s="60">
        <f t="shared" si="7"/>
        <v>704</v>
      </c>
      <c r="I67" s="199">
        <f t="shared" si="7"/>
        <v>31730</v>
      </c>
      <c r="J67" s="60">
        <f t="shared" si="7"/>
        <v>752</v>
      </c>
      <c r="K67" s="66">
        <f t="shared" si="7"/>
        <v>2665399</v>
      </c>
      <c r="L67" s="26">
        <f t="shared" si="7"/>
        <v>11008839</v>
      </c>
      <c r="M67" s="26">
        <f t="shared" si="7"/>
        <v>13674238</v>
      </c>
    </row>
    <row r="68" spans="1:14" ht="1.5" hidden="1" customHeight="1">
      <c r="B68" s="59"/>
      <c r="C68" s="27"/>
      <c r="D68" s="52"/>
      <c r="E68" s="64"/>
      <c r="F68" s="64"/>
      <c r="G68" s="65"/>
      <c r="H68" s="64"/>
      <c r="I68" s="65"/>
      <c r="J68" s="64"/>
    </row>
    <row r="69" spans="1:14" ht="15" customHeight="1">
      <c r="B69" s="59"/>
      <c r="C69" s="27"/>
      <c r="D69" s="52"/>
      <c r="E69" s="64"/>
      <c r="F69" s="64"/>
      <c r="G69" s="65"/>
      <c r="H69" s="64"/>
      <c r="I69" s="65"/>
      <c r="J69" s="64"/>
      <c r="K69" s="61" t="s">
        <v>281</v>
      </c>
      <c r="L69" s="195">
        <f>L60*0.25</f>
        <v>2331525</v>
      </c>
    </row>
    <row r="70" spans="1:14" ht="15" customHeight="1">
      <c r="B70" s="59"/>
      <c r="C70" s="27"/>
      <c r="D70" s="52"/>
      <c r="E70" s="64"/>
      <c r="F70" s="64"/>
      <c r="G70" s="65"/>
      <c r="H70" s="64"/>
      <c r="I70" s="65"/>
      <c r="J70" s="64"/>
      <c r="K70" s="61" t="s">
        <v>282</v>
      </c>
      <c r="L70" s="160">
        <f>L67-L69</f>
        <v>8677314</v>
      </c>
    </row>
    <row r="71" spans="1:14" ht="15" customHeight="1">
      <c r="A71" s="54" t="s">
        <v>263</v>
      </c>
      <c r="B71" s="71"/>
      <c r="C71" s="70"/>
      <c r="D71" s="54"/>
      <c r="E71" s="72"/>
      <c r="F71" s="54"/>
      <c r="G71" s="72"/>
      <c r="H71" s="31"/>
    </row>
    <row r="72" spans="1:14">
      <c r="A72" s="73" t="s">
        <v>264</v>
      </c>
      <c r="B72" s="73"/>
      <c r="C72" s="74"/>
      <c r="D72" s="73"/>
      <c r="E72" s="73"/>
      <c r="F72" s="73"/>
      <c r="G72" s="73"/>
      <c r="J72" s="61" t="s">
        <v>265</v>
      </c>
      <c r="K72" s="67">
        <f>(C52-D52)*(G52+I52)+(C53-D53)*(G53+I53)+(C54-D54)*(G54+I54)+(C55-D55)*(G55+I55)+(C56-D56)*(G56+I56)+(C61-D61)*E61+(C62-D62)*E62+(C63-D63)*E63</f>
        <v>2121557</v>
      </c>
      <c r="L72" s="30">
        <f>D52*(G52+I52)+D53*(G53+I53)+D54*(G54+I54)+D55*(G55+I55)+D56*(G56+I56)+D57*(G57+I57)+D58*(G58+I58)+D59*(G59+I59)+D60*(G60+I60)+D61*E61+D62*E62+D66*(G66+I66)</f>
        <v>6740600</v>
      </c>
      <c r="M72" s="62">
        <f>SUM(K72:L72)</f>
        <v>8862157</v>
      </c>
    </row>
    <row r="73" spans="1:14">
      <c r="A73" s="75" t="s">
        <v>266</v>
      </c>
      <c r="B73" s="75"/>
      <c r="C73" s="76"/>
      <c r="D73" s="75"/>
      <c r="E73" s="75"/>
      <c r="F73" s="75"/>
      <c r="G73" s="75"/>
      <c r="J73" s="61" t="s">
        <v>267</v>
      </c>
      <c r="K73" s="68">
        <f>(C52-D52)*(H52+J52)+(C53-D53)*(H53+J53)+(C54-D54)*(H54+J54)+(C55-D55)*(H55+J55)+(C56-D56)*(H56+J56)+(C61-D61)*F61+(C62-D62)*F62+(C63-D63)*F63</f>
        <v>543842</v>
      </c>
      <c r="L73" s="30">
        <f>D52*(H52+J52)+D53*(H53+J53)+D54*(H54+J54)+D55*(H55+J55)+D56*(H56+J56)+D57*(H57+J57)+D58*(H58+J58)+D59*(H59+J59)+D60*(H60+J60)+D61*F61+D62*F62+D64*F64+D65*F65+D66*(F66)</f>
        <v>1159539</v>
      </c>
      <c r="M73" s="62">
        <f>SUM(K73:L73)</f>
        <v>1703381</v>
      </c>
    </row>
    <row r="76" spans="1:14">
      <c r="A76" s="1" t="s">
        <v>283</v>
      </c>
      <c r="C76" s="46" t="s">
        <v>218</v>
      </c>
      <c r="D76" s="77" t="s">
        <v>218</v>
      </c>
      <c r="E76" s="259" t="s">
        <v>233</v>
      </c>
      <c r="F76" s="260"/>
      <c r="G76" s="259" t="s">
        <v>234</v>
      </c>
      <c r="H76" s="260"/>
      <c r="I76" s="261" t="s">
        <v>235</v>
      </c>
      <c r="J76" s="262"/>
    </row>
    <row r="77" spans="1:14" s="23" customFormat="1" ht="45" customHeight="1">
      <c r="A77" s="263" t="s">
        <v>63</v>
      </c>
      <c r="B77" s="264"/>
      <c r="C77" s="20" t="s">
        <v>284</v>
      </c>
      <c r="D77" s="21" t="s">
        <v>237</v>
      </c>
      <c r="E77" s="55" t="s">
        <v>238</v>
      </c>
      <c r="F77" s="56" t="s">
        <v>239</v>
      </c>
      <c r="G77" s="55" t="s">
        <v>238</v>
      </c>
      <c r="H77" s="56" t="s">
        <v>239</v>
      </c>
      <c r="I77" s="55" t="s">
        <v>238</v>
      </c>
      <c r="J77" s="56" t="s">
        <v>239</v>
      </c>
      <c r="K77" s="22" t="s">
        <v>240</v>
      </c>
      <c r="L77" s="183" t="s">
        <v>270</v>
      </c>
      <c r="M77" s="183" t="s">
        <v>242</v>
      </c>
    </row>
    <row r="78" spans="1:14" ht="15" customHeight="1">
      <c r="A78" s="255" t="s">
        <v>271</v>
      </c>
      <c r="B78" s="256"/>
      <c r="C78" s="179">
        <v>1968</v>
      </c>
      <c r="D78" s="196">
        <v>200</v>
      </c>
      <c r="E78" s="175"/>
      <c r="F78" s="176"/>
      <c r="G78" s="189">
        <v>80</v>
      </c>
      <c r="H78" s="136">
        <v>29</v>
      </c>
      <c r="I78" s="189">
        <v>80</v>
      </c>
      <c r="J78" s="136">
        <v>32</v>
      </c>
      <c r="K78" s="24">
        <f t="shared" ref="K78:K92" si="8">(C78-D78)*(E78+F78+G78+H78+I78+J78)</f>
        <v>390728</v>
      </c>
      <c r="L78" s="25">
        <f>(E78+F78+G78+H78+I78+J78)*D78</f>
        <v>44200</v>
      </c>
      <c r="M78" s="25">
        <f>SUM(K78:L78)</f>
        <v>434928</v>
      </c>
      <c r="N78" s="12"/>
    </row>
    <row r="79" spans="1:14" ht="15" customHeight="1">
      <c r="A79" s="255" t="s">
        <v>272</v>
      </c>
      <c r="B79" s="256"/>
      <c r="C79" s="179">
        <v>2128</v>
      </c>
      <c r="D79" s="196">
        <v>100</v>
      </c>
      <c r="E79" s="171"/>
      <c r="F79" s="177"/>
      <c r="G79" s="197">
        <v>111</v>
      </c>
      <c r="H79" s="137">
        <v>43</v>
      </c>
      <c r="I79" s="197">
        <v>111</v>
      </c>
      <c r="J79" s="137">
        <v>42</v>
      </c>
      <c r="K79" s="24">
        <f t="shared" si="8"/>
        <v>622596</v>
      </c>
      <c r="L79" s="25">
        <f t="shared" ref="L79:L92" si="9">(E79+F79+G79+H79+I79+J79)*D79</f>
        <v>30700</v>
      </c>
      <c r="M79" s="25">
        <f t="shared" ref="M79:M92" si="10">SUM(K79:L79)</f>
        <v>653296</v>
      </c>
    </row>
    <row r="80" spans="1:14" ht="15" customHeight="1">
      <c r="A80" s="255" t="s">
        <v>273</v>
      </c>
      <c r="B80" s="256"/>
      <c r="C80" s="179">
        <v>1880</v>
      </c>
      <c r="D80" s="135">
        <v>350</v>
      </c>
      <c r="E80" s="171"/>
      <c r="F80" s="177"/>
      <c r="G80" s="188">
        <v>216</v>
      </c>
      <c r="H80" s="137">
        <v>43</v>
      </c>
      <c r="I80" s="188">
        <v>216</v>
      </c>
      <c r="J80" s="137">
        <v>38</v>
      </c>
      <c r="K80" s="24">
        <f t="shared" si="8"/>
        <v>784890</v>
      </c>
      <c r="L80" s="25">
        <f t="shared" si="9"/>
        <v>179550</v>
      </c>
      <c r="M80" s="25">
        <f t="shared" si="10"/>
        <v>964440</v>
      </c>
    </row>
    <row r="81" spans="1:13" ht="15" customHeight="1">
      <c r="A81" s="255" t="s">
        <v>274</v>
      </c>
      <c r="B81" s="256"/>
      <c r="C81" s="179">
        <v>1671</v>
      </c>
      <c r="D81" s="135">
        <v>600</v>
      </c>
      <c r="E81" s="171"/>
      <c r="F81" s="177"/>
      <c r="G81" s="188">
        <v>236</v>
      </c>
      <c r="H81" s="137">
        <v>36</v>
      </c>
      <c r="I81" s="188">
        <v>236</v>
      </c>
      <c r="J81" s="137">
        <v>37</v>
      </c>
      <c r="K81" s="24">
        <f t="shared" si="8"/>
        <v>583695</v>
      </c>
      <c r="L81" s="25">
        <f t="shared" si="9"/>
        <v>327000</v>
      </c>
      <c r="M81" s="25">
        <f t="shared" si="10"/>
        <v>910695</v>
      </c>
    </row>
    <row r="82" spans="1:13" ht="15" customHeight="1">
      <c r="A82" s="255" t="s">
        <v>275</v>
      </c>
      <c r="B82" s="256"/>
      <c r="C82" s="179">
        <v>1895</v>
      </c>
      <c r="D82" s="135">
        <v>1375</v>
      </c>
      <c r="E82" s="171"/>
      <c r="F82" s="177"/>
      <c r="G82" s="188">
        <v>0</v>
      </c>
      <c r="H82" s="137">
        <v>97</v>
      </c>
      <c r="I82" s="188">
        <v>0</v>
      </c>
      <c r="J82" s="137">
        <v>98</v>
      </c>
      <c r="K82" s="24">
        <f t="shared" si="8"/>
        <v>101400</v>
      </c>
      <c r="L82" s="25">
        <f t="shared" si="9"/>
        <v>268125</v>
      </c>
      <c r="M82" s="25">
        <f t="shared" si="10"/>
        <v>369525</v>
      </c>
    </row>
    <row r="83" spans="1:13" ht="15" customHeight="1">
      <c r="A83" s="255" t="s">
        <v>276</v>
      </c>
      <c r="B83" s="256"/>
      <c r="C83" s="179">
        <v>1549</v>
      </c>
      <c r="D83" s="135">
        <v>1549</v>
      </c>
      <c r="E83" s="171"/>
      <c r="F83" s="177"/>
      <c r="G83" s="188">
        <v>0</v>
      </c>
      <c r="H83" s="137">
        <v>87</v>
      </c>
      <c r="I83" s="188">
        <v>0</v>
      </c>
      <c r="J83" s="137">
        <v>93</v>
      </c>
      <c r="K83" s="24">
        <f t="shared" si="8"/>
        <v>0</v>
      </c>
      <c r="L83" s="25">
        <f t="shared" si="9"/>
        <v>278820</v>
      </c>
      <c r="M83" s="25">
        <f t="shared" si="10"/>
        <v>278820</v>
      </c>
    </row>
    <row r="84" spans="1:13" ht="15" customHeight="1">
      <c r="A84" s="255" t="s">
        <v>277</v>
      </c>
      <c r="B84" s="256"/>
      <c r="C84" s="179">
        <v>999</v>
      </c>
      <c r="D84" s="135">
        <v>999</v>
      </c>
      <c r="E84" s="171"/>
      <c r="F84" s="177"/>
      <c r="G84" s="188">
        <v>0</v>
      </c>
      <c r="H84" s="137">
        <v>141</v>
      </c>
      <c r="I84" s="188">
        <v>0</v>
      </c>
      <c r="J84" s="137">
        <v>163</v>
      </c>
      <c r="K84" s="24">
        <f t="shared" si="8"/>
        <v>0</v>
      </c>
      <c r="L84" s="25">
        <f t="shared" si="9"/>
        <v>303696</v>
      </c>
      <c r="M84" s="25">
        <f t="shared" si="10"/>
        <v>303696</v>
      </c>
    </row>
    <row r="85" spans="1:13" ht="15" customHeight="1">
      <c r="A85" s="255" t="s">
        <v>278</v>
      </c>
      <c r="B85" s="256"/>
      <c r="C85" s="179">
        <v>499</v>
      </c>
      <c r="D85" s="135">
        <v>499</v>
      </c>
      <c r="E85" s="171"/>
      <c r="F85" s="177"/>
      <c r="G85" s="138">
        <v>0</v>
      </c>
      <c r="H85" s="137">
        <v>264</v>
      </c>
      <c r="I85" s="138">
        <v>0</v>
      </c>
      <c r="J85" s="137">
        <v>288</v>
      </c>
      <c r="K85" s="24">
        <f t="shared" si="8"/>
        <v>0</v>
      </c>
      <c r="L85" s="25">
        <f t="shared" si="9"/>
        <v>275448</v>
      </c>
      <c r="M85" s="25">
        <f t="shared" si="10"/>
        <v>275448</v>
      </c>
    </row>
    <row r="86" spans="1:13" ht="15" customHeight="1">
      <c r="A86" s="255" t="s">
        <v>279</v>
      </c>
      <c r="B86" s="256"/>
      <c r="C86" s="179">
        <v>100</v>
      </c>
      <c r="D86" s="135">
        <v>100</v>
      </c>
      <c r="E86" s="188">
        <v>31087</v>
      </c>
      <c r="F86" s="137"/>
      <c r="G86" s="188">
        <v>31087</v>
      </c>
      <c r="H86" s="137"/>
      <c r="I86" s="188">
        <v>31087</v>
      </c>
      <c r="J86" s="137"/>
      <c r="K86" s="24">
        <f t="shared" si="8"/>
        <v>0</v>
      </c>
      <c r="L86" s="25">
        <f t="shared" si="9"/>
        <v>9326100</v>
      </c>
      <c r="M86" s="25">
        <f t="shared" si="10"/>
        <v>9326100</v>
      </c>
    </row>
    <row r="87" spans="1:13" ht="15" customHeight="1">
      <c r="A87" s="255" t="s">
        <v>271</v>
      </c>
      <c r="B87" s="256"/>
      <c r="C87" s="179">
        <v>874</v>
      </c>
      <c r="D87" s="135">
        <v>125</v>
      </c>
      <c r="E87" s="188">
        <v>179</v>
      </c>
      <c r="F87" s="137"/>
      <c r="G87" s="168"/>
      <c r="H87" s="177"/>
      <c r="I87" s="168"/>
      <c r="J87" s="177"/>
      <c r="K87" s="24">
        <f t="shared" si="8"/>
        <v>134071</v>
      </c>
      <c r="L87" s="25">
        <f t="shared" si="9"/>
        <v>22375</v>
      </c>
      <c r="M87" s="25">
        <f t="shared" si="10"/>
        <v>156446</v>
      </c>
    </row>
    <row r="88" spans="1:13" ht="15" customHeight="1">
      <c r="A88" s="255" t="s">
        <v>272</v>
      </c>
      <c r="B88" s="256"/>
      <c r="C88" s="179">
        <v>875</v>
      </c>
      <c r="D88" s="135">
        <v>75</v>
      </c>
      <c r="E88" s="188">
        <v>163</v>
      </c>
      <c r="F88" s="137"/>
      <c r="G88" s="168"/>
      <c r="H88" s="177"/>
      <c r="I88" s="168"/>
      <c r="J88" s="177"/>
      <c r="K88" s="24">
        <f t="shared" si="8"/>
        <v>130400</v>
      </c>
      <c r="L88" s="25">
        <f t="shared" si="9"/>
        <v>12225</v>
      </c>
      <c r="M88" s="25">
        <f t="shared" si="10"/>
        <v>142625</v>
      </c>
    </row>
    <row r="89" spans="1:13" ht="15" customHeight="1">
      <c r="A89" s="255" t="s">
        <v>280</v>
      </c>
      <c r="B89" s="256"/>
      <c r="C89" s="179">
        <v>668</v>
      </c>
      <c r="D89" s="135">
        <v>0</v>
      </c>
      <c r="E89" s="138">
        <v>0</v>
      </c>
      <c r="F89" s="137"/>
      <c r="G89" s="168"/>
      <c r="H89" s="177"/>
      <c r="I89" s="168"/>
      <c r="J89" s="177"/>
      <c r="K89" s="24">
        <f t="shared" si="8"/>
        <v>0</v>
      </c>
      <c r="L89" s="25">
        <f t="shared" si="9"/>
        <v>0</v>
      </c>
      <c r="M89" s="25">
        <f t="shared" si="10"/>
        <v>0</v>
      </c>
    </row>
    <row r="90" spans="1:13" ht="15" customHeight="1">
      <c r="A90" s="255" t="s">
        <v>259</v>
      </c>
      <c r="B90" s="256"/>
      <c r="C90" s="179">
        <v>775</v>
      </c>
      <c r="D90" s="135">
        <v>775</v>
      </c>
      <c r="E90" s="138">
        <v>0</v>
      </c>
      <c r="F90" s="137"/>
      <c r="G90" s="168"/>
      <c r="H90" s="177"/>
      <c r="I90" s="168"/>
      <c r="J90" s="177"/>
      <c r="K90" s="24">
        <f t="shared" si="8"/>
        <v>0</v>
      </c>
      <c r="L90" s="25">
        <f t="shared" si="9"/>
        <v>0</v>
      </c>
      <c r="M90" s="25">
        <f t="shared" si="10"/>
        <v>0</v>
      </c>
    </row>
    <row r="91" spans="1:13" ht="15" customHeight="1">
      <c r="A91" s="255" t="s">
        <v>260</v>
      </c>
      <c r="B91" s="256"/>
      <c r="C91" s="179">
        <v>350</v>
      </c>
      <c r="D91" s="135">
        <v>350</v>
      </c>
      <c r="E91" s="138">
        <v>0</v>
      </c>
      <c r="F91" s="137"/>
      <c r="G91" s="168"/>
      <c r="H91" s="177"/>
      <c r="I91" s="168"/>
      <c r="J91" s="177"/>
      <c r="K91" s="24">
        <f t="shared" si="8"/>
        <v>0</v>
      </c>
      <c r="L91" s="25">
        <f t="shared" si="9"/>
        <v>0</v>
      </c>
      <c r="M91" s="25">
        <f t="shared" si="10"/>
        <v>0</v>
      </c>
    </row>
    <row r="92" spans="1:13" ht="15" customHeight="1">
      <c r="A92" s="257" t="s">
        <v>261</v>
      </c>
      <c r="B92" s="258"/>
      <c r="C92" s="182">
        <v>250</v>
      </c>
      <c r="D92" s="164">
        <v>250</v>
      </c>
      <c r="E92" s="139">
        <f>E57</f>
        <v>0</v>
      </c>
      <c r="F92" s="137">
        <v>0</v>
      </c>
      <c r="G92" s="178">
        <v>0</v>
      </c>
      <c r="H92" s="177">
        <v>0</v>
      </c>
      <c r="I92" s="178">
        <v>0</v>
      </c>
      <c r="J92" s="177">
        <v>0</v>
      </c>
      <c r="K92" s="24">
        <f t="shared" si="8"/>
        <v>0</v>
      </c>
      <c r="L92" s="25">
        <f t="shared" si="9"/>
        <v>0</v>
      </c>
      <c r="M92" s="25">
        <f t="shared" si="10"/>
        <v>0</v>
      </c>
    </row>
    <row r="93" spans="1:13" ht="15.75" customHeight="1">
      <c r="B93" s="59" t="s">
        <v>262</v>
      </c>
      <c r="C93" s="180"/>
      <c r="D93" s="181"/>
      <c r="E93" s="57">
        <f t="shared" ref="E93:M93" si="11">SUM(E78:E92)</f>
        <v>31429</v>
      </c>
      <c r="F93" s="60">
        <f t="shared" si="11"/>
        <v>0</v>
      </c>
      <c r="G93" s="199">
        <f t="shared" si="11"/>
        <v>31730</v>
      </c>
      <c r="H93" s="198">
        <f t="shared" si="11"/>
        <v>740</v>
      </c>
      <c r="I93" s="199">
        <f t="shared" si="11"/>
        <v>31730</v>
      </c>
      <c r="J93" s="198">
        <f t="shared" si="11"/>
        <v>791</v>
      </c>
      <c r="K93" s="66">
        <f t="shared" si="11"/>
        <v>2747780</v>
      </c>
      <c r="L93" s="26">
        <f t="shared" si="11"/>
        <v>11068239</v>
      </c>
      <c r="M93" s="26">
        <f t="shared" si="11"/>
        <v>13816019</v>
      </c>
    </row>
    <row r="94" spans="1:13" ht="15" customHeight="1">
      <c r="B94" s="59"/>
      <c r="C94" s="27"/>
      <c r="D94" s="52"/>
      <c r="E94" s="64"/>
      <c r="F94" s="64"/>
      <c r="G94" s="65"/>
      <c r="H94" s="64"/>
      <c r="I94" s="65"/>
      <c r="J94" s="64"/>
    </row>
    <row r="95" spans="1:13" ht="15" customHeight="1">
      <c r="B95" s="59"/>
      <c r="C95" s="27"/>
      <c r="D95" s="52"/>
      <c r="E95" s="64"/>
      <c r="F95" s="64"/>
      <c r="G95" s="65"/>
      <c r="H95" s="64"/>
      <c r="I95" s="65"/>
      <c r="J95" s="64"/>
      <c r="K95" s="61" t="s">
        <v>281</v>
      </c>
      <c r="L95" s="195">
        <f>L86*0.25</f>
        <v>2331525</v>
      </c>
    </row>
    <row r="96" spans="1:13" ht="15" customHeight="1">
      <c r="B96" s="59"/>
      <c r="C96" s="27"/>
      <c r="D96" s="52"/>
      <c r="E96" s="64"/>
      <c r="F96" s="64"/>
      <c r="G96" s="65"/>
      <c r="H96" s="64"/>
      <c r="I96" s="65"/>
      <c r="J96" s="64"/>
      <c r="K96" s="61" t="s">
        <v>282</v>
      </c>
      <c r="L96" s="160">
        <f>L93-L95</f>
        <v>8736714</v>
      </c>
    </row>
    <row r="97" spans="1:14">
      <c r="A97" s="54" t="s">
        <v>263</v>
      </c>
      <c r="B97" s="71"/>
      <c r="C97" s="70"/>
      <c r="D97" s="54"/>
      <c r="E97" s="72"/>
      <c r="F97" s="54"/>
      <c r="G97" s="72"/>
      <c r="H97" s="31"/>
    </row>
    <row r="98" spans="1:14">
      <c r="A98" s="73" t="s">
        <v>264</v>
      </c>
      <c r="B98" s="73"/>
      <c r="C98" s="74"/>
      <c r="D98" s="73"/>
      <c r="E98" s="73"/>
      <c r="F98" s="73"/>
      <c r="G98" s="73"/>
      <c r="J98" s="61" t="s">
        <v>265</v>
      </c>
      <c r="K98" s="67">
        <f>(C78-D78)*(G78+I78)+(C79-D79)*(G79+I79)+(C80-D80)*(G80+I80)+(C81-D81)*(G81+I81)+(C82-D82)*(G82+I82)+(C87-D87)*E87+(C88-D88)*E88+(C89-D89)*E89</f>
        <v>2164039</v>
      </c>
      <c r="L98" s="30">
        <f>D78*(G78+I78)+D79*(G79+I79)+D80*(G80+I80)+D81*(G81+I81)+D82*(G82+I82)+D83*(G83+I83)+D84*(G84+I84)+D85*(G85+I85)+D86*(G86+I86)+D87*E87+D88*E88+D92*(G92+I92)</f>
        <v>6740600</v>
      </c>
      <c r="M98" s="62">
        <f>SUM(K98:L98)</f>
        <v>8904639</v>
      </c>
    </row>
    <row r="99" spans="1:14">
      <c r="A99" s="75" t="s">
        <v>266</v>
      </c>
      <c r="B99" s="75"/>
      <c r="C99" s="76"/>
      <c r="D99" s="75"/>
      <c r="E99" s="75"/>
      <c r="F99" s="75"/>
      <c r="G99" s="75"/>
      <c r="J99" s="61" t="s">
        <v>267</v>
      </c>
      <c r="K99" s="68">
        <f>(C78-D78)*(H78+J78)+(C79-D79)*(H79+J79)+(C80-D80)*(H80+J80)+(C81-D81)*(H81+J81)+(C82-D82)*(H82+J82)+(C87-D87)*F87+(C88-D88)*F88+(C89-D89)*F89</f>
        <v>583741</v>
      </c>
      <c r="L99" s="30">
        <f>D78*(H78+J78)+D79*(H79+J79)+D80*(H80+J80)+D81*(H81+J81)+D82*(H82+J82)+D83*(H83+J83)+D84*(H84+J84)+D85*(H85+J85)+D86*(H86+J86)+D87*F87+D88*F88+D90*F90+D91*F91+D92*(F92)</f>
        <v>1218939</v>
      </c>
      <c r="M99" s="62">
        <f>SUM(K99:L99)</f>
        <v>1802680</v>
      </c>
    </row>
    <row r="101" spans="1:14">
      <c r="A101" s="1" t="s">
        <v>285</v>
      </c>
      <c r="C101" s="46" t="s">
        <v>218</v>
      </c>
      <c r="D101" s="77" t="s">
        <v>218</v>
      </c>
      <c r="E101" s="259" t="s">
        <v>233</v>
      </c>
      <c r="F101" s="260"/>
      <c r="G101" s="259" t="s">
        <v>234</v>
      </c>
      <c r="H101" s="260"/>
      <c r="I101" s="261" t="s">
        <v>235</v>
      </c>
      <c r="J101" s="262"/>
    </row>
    <row r="102" spans="1:14" s="23" customFormat="1" ht="45" customHeight="1">
      <c r="A102" s="263" t="s">
        <v>63</v>
      </c>
      <c r="B102" s="264"/>
      <c r="C102" s="20" t="s">
        <v>286</v>
      </c>
      <c r="D102" s="21" t="s">
        <v>237</v>
      </c>
      <c r="E102" s="55" t="s">
        <v>238</v>
      </c>
      <c r="F102" s="56" t="s">
        <v>239</v>
      </c>
      <c r="G102" s="55" t="s">
        <v>238</v>
      </c>
      <c r="H102" s="56" t="s">
        <v>239</v>
      </c>
      <c r="I102" s="55" t="s">
        <v>238</v>
      </c>
      <c r="J102" s="56" t="s">
        <v>239</v>
      </c>
      <c r="K102" s="22" t="s">
        <v>240</v>
      </c>
      <c r="L102" s="183" t="s">
        <v>270</v>
      </c>
      <c r="M102" s="183" t="s">
        <v>242</v>
      </c>
    </row>
    <row r="103" spans="1:14" ht="15" customHeight="1">
      <c r="A103" s="255" t="s">
        <v>271</v>
      </c>
      <c r="B103" s="256"/>
      <c r="C103" s="179">
        <v>2003</v>
      </c>
      <c r="D103" s="196">
        <v>200</v>
      </c>
      <c r="E103" s="175"/>
      <c r="F103" s="176"/>
      <c r="G103" s="189">
        <v>80</v>
      </c>
      <c r="H103" s="136">
        <v>31</v>
      </c>
      <c r="I103" s="189">
        <v>80</v>
      </c>
      <c r="J103" s="136">
        <v>33</v>
      </c>
      <c r="K103" s="24">
        <f>(C103-D103)*(E103+F103+G103+H103+I103+J103)</f>
        <v>403872</v>
      </c>
      <c r="L103" s="25">
        <f>(E103+F103+G103+H103+I103+J103)*D103</f>
        <v>44800</v>
      </c>
      <c r="M103" s="25">
        <f>SUM(K103:L103)</f>
        <v>448672</v>
      </c>
      <c r="N103" s="12"/>
    </row>
    <row r="104" spans="1:14" ht="15" customHeight="1">
      <c r="A104" s="255" t="s">
        <v>272</v>
      </c>
      <c r="B104" s="256"/>
      <c r="C104" s="179">
        <v>2168</v>
      </c>
      <c r="D104" s="196">
        <v>100</v>
      </c>
      <c r="E104" s="171"/>
      <c r="F104" s="177"/>
      <c r="G104" s="197">
        <v>111</v>
      </c>
      <c r="H104" s="137">
        <v>45</v>
      </c>
      <c r="I104" s="197">
        <v>111</v>
      </c>
      <c r="J104" s="137">
        <v>44</v>
      </c>
      <c r="K104" s="24">
        <f t="shared" ref="K104:K117" si="12">(C104-D104)*(E104+F104+G104+H104+I104+J104)</f>
        <v>643148</v>
      </c>
      <c r="L104" s="25">
        <f t="shared" ref="L104:L117" si="13">(E104+F104+G104+H104+I104+J104)*D104</f>
        <v>31100</v>
      </c>
      <c r="M104" s="25">
        <f t="shared" ref="M104:M117" si="14">SUM(K104:L104)</f>
        <v>674248</v>
      </c>
      <c r="N104" s="12"/>
    </row>
    <row r="105" spans="1:14" ht="15" customHeight="1">
      <c r="A105" s="255" t="s">
        <v>273</v>
      </c>
      <c r="B105" s="256"/>
      <c r="C105" s="179">
        <v>1911</v>
      </c>
      <c r="D105" s="135">
        <v>350</v>
      </c>
      <c r="E105" s="171"/>
      <c r="F105" s="177"/>
      <c r="G105" s="188">
        <v>216</v>
      </c>
      <c r="H105" s="137">
        <v>145</v>
      </c>
      <c r="I105" s="188">
        <v>216</v>
      </c>
      <c r="J105" s="137">
        <v>140</v>
      </c>
      <c r="K105" s="24">
        <f t="shared" si="12"/>
        <v>1119237</v>
      </c>
      <c r="L105" s="25">
        <f t="shared" si="13"/>
        <v>250950</v>
      </c>
      <c r="M105" s="25">
        <f t="shared" si="14"/>
        <v>1370187</v>
      </c>
      <c r="N105" s="12"/>
    </row>
    <row r="106" spans="1:14" ht="15" customHeight="1">
      <c r="A106" s="255" t="s">
        <v>274</v>
      </c>
      <c r="B106" s="256"/>
      <c r="C106" s="179">
        <v>1692</v>
      </c>
      <c r="D106" s="135">
        <v>600</v>
      </c>
      <c r="E106" s="171"/>
      <c r="F106" s="177"/>
      <c r="G106" s="188">
        <v>236</v>
      </c>
      <c r="H106" s="137">
        <v>287</v>
      </c>
      <c r="I106" s="188">
        <v>236</v>
      </c>
      <c r="J106" s="137">
        <v>289</v>
      </c>
      <c r="K106" s="24">
        <f t="shared" si="12"/>
        <v>1144416</v>
      </c>
      <c r="L106" s="25">
        <f t="shared" si="13"/>
        <v>628800</v>
      </c>
      <c r="M106" s="25">
        <f t="shared" si="14"/>
        <v>1773216</v>
      </c>
      <c r="N106" s="12"/>
    </row>
    <row r="107" spans="1:14" ht="15" customHeight="1">
      <c r="A107" s="255" t="s">
        <v>275</v>
      </c>
      <c r="B107" s="256"/>
      <c r="C107" s="179">
        <v>1906</v>
      </c>
      <c r="D107" s="135">
        <v>1375</v>
      </c>
      <c r="E107" s="171"/>
      <c r="F107" s="177"/>
      <c r="G107" s="188">
        <v>0</v>
      </c>
      <c r="H107" s="137">
        <v>101</v>
      </c>
      <c r="I107" s="188">
        <v>0</v>
      </c>
      <c r="J107" s="137">
        <v>103</v>
      </c>
      <c r="K107" s="24">
        <f t="shared" si="12"/>
        <v>108324</v>
      </c>
      <c r="L107" s="25">
        <f t="shared" si="13"/>
        <v>280500</v>
      </c>
      <c r="M107" s="25">
        <f t="shared" si="14"/>
        <v>388824</v>
      </c>
      <c r="N107" s="12"/>
    </row>
    <row r="108" spans="1:14" ht="15" customHeight="1">
      <c r="A108" s="255" t="s">
        <v>276</v>
      </c>
      <c r="B108" s="256"/>
      <c r="C108" s="179">
        <v>1549</v>
      </c>
      <c r="D108" s="135">
        <v>1549</v>
      </c>
      <c r="E108" s="171"/>
      <c r="F108" s="177"/>
      <c r="G108" s="188">
        <v>0</v>
      </c>
      <c r="H108" s="137">
        <v>92</v>
      </c>
      <c r="I108" s="188">
        <v>0</v>
      </c>
      <c r="J108" s="137">
        <v>98</v>
      </c>
      <c r="K108" s="24">
        <f t="shared" si="12"/>
        <v>0</v>
      </c>
      <c r="L108" s="25">
        <f t="shared" si="13"/>
        <v>294310</v>
      </c>
      <c r="M108" s="25">
        <f t="shared" si="14"/>
        <v>294310</v>
      </c>
      <c r="N108" s="12"/>
    </row>
    <row r="109" spans="1:14" ht="15" customHeight="1">
      <c r="A109" s="255" t="s">
        <v>277</v>
      </c>
      <c r="B109" s="256"/>
      <c r="C109" s="179">
        <v>999</v>
      </c>
      <c r="D109" s="135">
        <v>999</v>
      </c>
      <c r="E109" s="171"/>
      <c r="F109" s="177"/>
      <c r="G109" s="188">
        <v>0</v>
      </c>
      <c r="H109" s="137">
        <v>148</v>
      </c>
      <c r="I109" s="188">
        <v>0</v>
      </c>
      <c r="J109" s="137">
        <v>171</v>
      </c>
      <c r="K109" s="24">
        <f t="shared" si="12"/>
        <v>0</v>
      </c>
      <c r="L109" s="25">
        <f t="shared" si="13"/>
        <v>318681</v>
      </c>
      <c r="M109" s="25">
        <f t="shared" si="14"/>
        <v>318681</v>
      </c>
      <c r="N109" s="12"/>
    </row>
    <row r="110" spans="1:14" ht="15" customHeight="1">
      <c r="A110" s="255" t="s">
        <v>278</v>
      </c>
      <c r="B110" s="256"/>
      <c r="C110" s="179">
        <v>499</v>
      </c>
      <c r="D110" s="135">
        <v>499</v>
      </c>
      <c r="E110" s="171"/>
      <c r="F110" s="177"/>
      <c r="G110" s="138">
        <v>0</v>
      </c>
      <c r="H110" s="137">
        <v>427</v>
      </c>
      <c r="I110" s="138">
        <v>0</v>
      </c>
      <c r="J110" s="137">
        <v>452</v>
      </c>
      <c r="K110" s="24">
        <f t="shared" si="12"/>
        <v>0</v>
      </c>
      <c r="L110" s="25">
        <f t="shared" si="13"/>
        <v>438621</v>
      </c>
      <c r="M110" s="25">
        <f t="shared" si="14"/>
        <v>438621</v>
      </c>
    </row>
    <row r="111" spans="1:14" ht="15" customHeight="1">
      <c r="A111" s="255" t="s">
        <v>279</v>
      </c>
      <c r="B111" s="256"/>
      <c r="C111" s="179">
        <v>100</v>
      </c>
      <c r="D111" s="135">
        <v>100</v>
      </c>
      <c r="E111" s="188">
        <v>31087</v>
      </c>
      <c r="F111" s="137"/>
      <c r="G111" s="188">
        <v>31087</v>
      </c>
      <c r="H111" s="137"/>
      <c r="I111" s="188">
        <v>31087</v>
      </c>
      <c r="J111" s="137"/>
      <c r="K111" s="24">
        <f t="shared" si="12"/>
        <v>0</v>
      </c>
      <c r="L111" s="25">
        <f t="shared" si="13"/>
        <v>9326100</v>
      </c>
      <c r="M111" s="25">
        <f t="shared" si="14"/>
        <v>9326100</v>
      </c>
    </row>
    <row r="112" spans="1:14" ht="15" customHeight="1">
      <c r="A112" s="255" t="s">
        <v>271</v>
      </c>
      <c r="B112" s="256"/>
      <c r="C112" s="179">
        <v>889</v>
      </c>
      <c r="D112" s="135">
        <v>125</v>
      </c>
      <c r="E112" s="188">
        <v>179</v>
      </c>
      <c r="F112" s="137"/>
      <c r="G112" s="168"/>
      <c r="H112" s="177"/>
      <c r="I112" s="168"/>
      <c r="J112" s="177"/>
      <c r="K112" s="24">
        <f t="shared" si="12"/>
        <v>136756</v>
      </c>
      <c r="L112" s="25">
        <f t="shared" si="13"/>
        <v>22375</v>
      </c>
      <c r="M112" s="25">
        <f t="shared" si="14"/>
        <v>159131</v>
      </c>
    </row>
    <row r="113" spans="1:14" ht="15" customHeight="1">
      <c r="A113" s="255" t="s">
        <v>272</v>
      </c>
      <c r="B113" s="256"/>
      <c r="C113" s="179">
        <v>891</v>
      </c>
      <c r="D113" s="135">
        <v>75</v>
      </c>
      <c r="E113" s="188">
        <v>163</v>
      </c>
      <c r="F113" s="137"/>
      <c r="G113" s="168"/>
      <c r="H113" s="177"/>
      <c r="I113" s="168"/>
      <c r="J113" s="177"/>
      <c r="K113" s="24">
        <f t="shared" si="12"/>
        <v>133008</v>
      </c>
      <c r="L113" s="25">
        <f t="shared" si="13"/>
        <v>12225</v>
      </c>
      <c r="M113" s="25">
        <f t="shared" si="14"/>
        <v>145233</v>
      </c>
    </row>
    <row r="114" spans="1:14" ht="15" customHeight="1">
      <c r="A114" s="255" t="s">
        <v>280</v>
      </c>
      <c r="B114" s="256"/>
      <c r="C114" s="179">
        <v>681</v>
      </c>
      <c r="D114" s="135">
        <v>0</v>
      </c>
      <c r="E114" s="138">
        <v>0</v>
      </c>
      <c r="F114" s="137"/>
      <c r="G114" s="168"/>
      <c r="H114" s="177"/>
      <c r="I114" s="168"/>
      <c r="J114" s="177"/>
      <c r="K114" s="24">
        <f t="shared" si="12"/>
        <v>0</v>
      </c>
      <c r="L114" s="25">
        <f t="shared" si="13"/>
        <v>0</v>
      </c>
      <c r="M114" s="25">
        <f t="shared" si="14"/>
        <v>0</v>
      </c>
    </row>
    <row r="115" spans="1:14" ht="15" customHeight="1">
      <c r="A115" s="255" t="s">
        <v>259</v>
      </c>
      <c r="B115" s="256"/>
      <c r="C115" s="179">
        <v>775</v>
      </c>
      <c r="D115" s="135">
        <v>775</v>
      </c>
      <c r="E115" s="138">
        <v>0</v>
      </c>
      <c r="F115" s="137"/>
      <c r="G115" s="168"/>
      <c r="H115" s="177"/>
      <c r="I115" s="168"/>
      <c r="J115" s="177"/>
      <c r="K115" s="24">
        <f t="shared" si="12"/>
        <v>0</v>
      </c>
      <c r="L115" s="25">
        <f t="shared" si="13"/>
        <v>0</v>
      </c>
      <c r="M115" s="25">
        <f t="shared" si="14"/>
        <v>0</v>
      </c>
    </row>
    <row r="116" spans="1:14" ht="15" customHeight="1">
      <c r="A116" s="255" t="s">
        <v>260</v>
      </c>
      <c r="B116" s="256"/>
      <c r="C116" s="179">
        <v>350</v>
      </c>
      <c r="D116" s="135">
        <v>350</v>
      </c>
      <c r="E116" s="138">
        <v>0</v>
      </c>
      <c r="F116" s="137"/>
      <c r="G116" s="168"/>
      <c r="H116" s="177"/>
      <c r="I116" s="168"/>
      <c r="J116" s="177"/>
      <c r="K116" s="24">
        <f t="shared" si="12"/>
        <v>0</v>
      </c>
      <c r="L116" s="25">
        <f t="shared" si="13"/>
        <v>0</v>
      </c>
      <c r="M116" s="25">
        <f t="shared" si="14"/>
        <v>0</v>
      </c>
    </row>
    <row r="117" spans="1:14" ht="15" customHeight="1">
      <c r="A117" s="257" t="s">
        <v>261</v>
      </c>
      <c r="B117" s="258"/>
      <c r="C117" s="182">
        <v>250</v>
      </c>
      <c r="D117" s="164">
        <v>250</v>
      </c>
      <c r="E117" s="139">
        <f>E82</f>
        <v>0</v>
      </c>
      <c r="F117" s="137">
        <v>0</v>
      </c>
      <c r="G117" s="178">
        <v>0</v>
      </c>
      <c r="H117" s="177">
        <v>0</v>
      </c>
      <c r="I117" s="178">
        <v>0</v>
      </c>
      <c r="J117" s="177">
        <v>0</v>
      </c>
      <c r="K117" s="24">
        <f t="shared" si="12"/>
        <v>0</v>
      </c>
      <c r="L117" s="25">
        <f t="shared" si="13"/>
        <v>0</v>
      </c>
      <c r="M117" s="25">
        <f t="shared" si="14"/>
        <v>0</v>
      </c>
    </row>
    <row r="118" spans="1:14" ht="15" customHeight="1">
      <c r="B118" s="59" t="s">
        <v>262</v>
      </c>
      <c r="C118" s="180"/>
      <c r="D118" s="181"/>
      <c r="E118" s="57">
        <f t="shared" ref="E118:M118" si="15">SUM(E103:E117)</f>
        <v>31429</v>
      </c>
      <c r="F118" s="60">
        <f t="shared" si="15"/>
        <v>0</v>
      </c>
      <c r="G118" s="199">
        <f t="shared" si="15"/>
        <v>31730</v>
      </c>
      <c r="H118" s="60">
        <f t="shared" si="15"/>
        <v>1276</v>
      </c>
      <c r="I118" s="199">
        <f t="shared" si="15"/>
        <v>31730</v>
      </c>
      <c r="J118" s="198">
        <f t="shared" si="15"/>
        <v>1330</v>
      </c>
      <c r="K118" s="66">
        <f t="shared" si="15"/>
        <v>3688761</v>
      </c>
      <c r="L118" s="26">
        <f t="shared" si="15"/>
        <v>11648462</v>
      </c>
      <c r="M118" s="26">
        <f t="shared" si="15"/>
        <v>15337223</v>
      </c>
    </row>
    <row r="119" spans="1:14" ht="15" customHeight="1">
      <c r="B119" s="59"/>
      <c r="C119" s="27"/>
      <c r="D119" s="52"/>
      <c r="E119" s="64"/>
      <c r="F119" s="64"/>
      <c r="G119" s="65"/>
      <c r="H119" s="64"/>
      <c r="I119" s="65"/>
      <c r="J119" s="64"/>
    </row>
    <row r="120" spans="1:14" ht="15.75" customHeight="1">
      <c r="B120" s="59"/>
      <c r="C120" s="27"/>
      <c r="D120" s="52"/>
      <c r="E120" s="64"/>
      <c r="F120" s="64"/>
      <c r="G120" s="65"/>
      <c r="H120" s="64"/>
      <c r="I120" s="65"/>
      <c r="J120" s="64"/>
      <c r="K120" s="61" t="s">
        <v>281</v>
      </c>
      <c r="L120" s="195">
        <f>L111*0.25</f>
        <v>2331525</v>
      </c>
    </row>
    <row r="121" spans="1:14" ht="15" customHeight="1">
      <c r="B121" s="59"/>
      <c r="C121" s="27"/>
      <c r="D121" s="52"/>
      <c r="E121" s="64"/>
      <c r="F121" s="64"/>
      <c r="G121" s="65"/>
      <c r="H121" s="64"/>
      <c r="I121" s="65"/>
      <c r="J121" s="64"/>
      <c r="K121" s="61" t="s">
        <v>282</v>
      </c>
      <c r="L121" s="160">
        <f>L118-L120</f>
        <v>9316937</v>
      </c>
    </row>
    <row r="122" spans="1:14">
      <c r="A122" s="54" t="s">
        <v>263</v>
      </c>
      <c r="B122" s="71"/>
      <c r="C122" s="70"/>
      <c r="D122" s="54"/>
      <c r="E122" s="72"/>
      <c r="F122" s="54"/>
      <c r="G122" s="72"/>
      <c r="H122" s="31"/>
    </row>
    <row r="123" spans="1:14">
      <c r="A123" s="73" t="s">
        <v>264</v>
      </c>
      <c r="B123" s="73"/>
      <c r="C123" s="74"/>
      <c r="D123" s="73"/>
      <c r="E123" s="73"/>
      <c r="F123" s="73"/>
      <c r="G123" s="73"/>
      <c r="J123" s="61" t="s">
        <v>265</v>
      </c>
      <c r="K123" s="67">
        <f>(C103-D103)*(G103+I103)+(C104-D104)*(G104+I104)+(C105-D105)*(G105+I105)+(C106-D106)*(G106+I106)+(C107-D107)*(G107+I107)+(C112-D112)*E112+(C113-D113)*E113+(C114-D114)*E114</f>
        <v>2207116</v>
      </c>
      <c r="L123" s="30">
        <f>D103*(G103+I103)+D104*(G104+I104)+D105*(G105+I105)+D106*(G106+I106)+D107*(G107+I107)+D108*(G108+I108)+D109*(G109+I109)+D110*(G110+I110)+D111*(G111+I111)+D112*E112+D113*E113+D117*(G117+I117)</f>
        <v>6740600</v>
      </c>
      <c r="M123" s="62">
        <f>SUM(K123:L123)</f>
        <v>8947716</v>
      </c>
    </row>
    <row r="124" spans="1:14">
      <c r="A124" s="75" t="s">
        <v>266</v>
      </c>
      <c r="B124" s="75"/>
      <c r="C124" s="76"/>
      <c r="D124" s="75"/>
      <c r="E124" s="75"/>
      <c r="F124" s="75"/>
      <c r="G124" s="75"/>
      <c r="J124" s="61" t="s">
        <v>267</v>
      </c>
      <c r="K124" s="68">
        <f>(C103-D103)*(H103+J103)+(C104-D104)*(H104+J104)+(C105-D105)*(H105+J105)+(C106-D106)*(H106+J106)+(C107-D107)*(H107+J107)+(C112-D112)*F112+(C113-D113)*F113+(C114-D114)*F114</f>
        <v>1481645</v>
      </c>
      <c r="L124" s="30">
        <f>D103*(H103+J103)+D104*(H104+J104)+D105*(H105+J105)+D106*(H106+J106)+D107*(H107+J107)+D108*(H108+J108)+D109*(H109+J109)+D110*(H110+J110)+D111*(H111+J111)+D112*F112+D113*F113+D115*F115+D116*F116+D117*(F117)</f>
        <v>1799162</v>
      </c>
      <c r="M124" s="62">
        <f>SUM(K124:L124)</f>
        <v>3280807</v>
      </c>
    </row>
    <row r="126" spans="1:14">
      <c r="A126" s="1" t="s">
        <v>287</v>
      </c>
      <c r="C126" s="46" t="s">
        <v>218</v>
      </c>
      <c r="D126" s="77" t="s">
        <v>218</v>
      </c>
      <c r="E126" s="259" t="s">
        <v>233</v>
      </c>
      <c r="F126" s="260"/>
      <c r="G126" s="259" t="s">
        <v>234</v>
      </c>
      <c r="H126" s="260"/>
      <c r="I126" s="261" t="s">
        <v>235</v>
      </c>
      <c r="J126" s="262"/>
    </row>
    <row r="127" spans="1:14" s="23" customFormat="1" ht="45" customHeight="1">
      <c r="A127" s="263" t="s">
        <v>63</v>
      </c>
      <c r="B127" s="264"/>
      <c r="C127" s="20" t="s">
        <v>288</v>
      </c>
      <c r="D127" s="21" t="s">
        <v>237</v>
      </c>
      <c r="E127" s="55" t="s">
        <v>238</v>
      </c>
      <c r="F127" s="56" t="s">
        <v>239</v>
      </c>
      <c r="G127" s="55" t="s">
        <v>238</v>
      </c>
      <c r="H127" s="56" t="s">
        <v>239</v>
      </c>
      <c r="I127" s="55" t="s">
        <v>238</v>
      </c>
      <c r="J127" s="56" t="s">
        <v>239</v>
      </c>
      <c r="K127" s="22" t="s">
        <v>240</v>
      </c>
      <c r="L127" s="183" t="s">
        <v>270</v>
      </c>
      <c r="M127" s="183" t="s">
        <v>242</v>
      </c>
    </row>
    <row r="128" spans="1:14" ht="15" customHeight="1">
      <c r="A128" s="255" t="s">
        <v>271</v>
      </c>
      <c r="B128" s="256"/>
      <c r="C128" s="179">
        <v>2039</v>
      </c>
      <c r="D128" s="196">
        <v>200</v>
      </c>
      <c r="E128" s="175"/>
      <c r="F128" s="176"/>
      <c r="G128" s="189">
        <v>80</v>
      </c>
      <c r="H128" s="136">
        <v>32</v>
      </c>
      <c r="I128" s="189">
        <v>80</v>
      </c>
      <c r="J128" s="136">
        <v>35</v>
      </c>
      <c r="K128" s="24">
        <f t="shared" ref="K128:K142" si="16">(C128-D128)*(E128+F128+G128+H128+I128+J128)</f>
        <v>417453</v>
      </c>
      <c r="L128" s="25">
        <f>(E128+F128+G128+H128+I128+J128)*D128</f>
        <v>45400</v>
      </c>
      <c r="M128" s="25">
        <f>SUM(K128:L128)</f>
        <v>462853</v>
      </c>
      <c r="N128" s="12"/>
    </row>
    <row r="129" spans="1:13" ht="15" customHeight="1">
      <c r="A129" s="255" t="s">
        <v>272</v>
      </c>
      <c r="B129" s="256"/>
      <c r="C129" s="179">
        <v>2210</v>
      </c>
      <c r="D129" s="196">
        <v>100</v>
      </c>
      <c r="E129" s="171"/>
      <c r="F129" s="177"/>
      <c r="G129" s="197">
        <v>111</v>
      </c>
      <c r="H129" s="137">
        <v>47</v>
      </c>
      <c r="I129" s="197">
        <v>111</v>
      </c>
      <c r="J129" s="137">
        <v>46</v>
      </c>
      <c r="K129" s="24">
        <f t="shared" si="16"/>
        <v>664650</v>
      </c>
      <c r="L129" s="25">
        <f t="shared" ref="L129:L142" si="17">(E129+F129+G129+H129+I129+J129)*D129</f>
        <v>31500</v>
      </c>
      <c r="M129" s="25">
        <f t="shared" ref="M129:M142" si="18">SUM(K129:L129)</f>
        <v>696150</v>
      </c>
    </row>
    <row r="130" spans="1:13" ht="15" customHeight="1">
      <c r="A130" s="255" t="s">
        <v>273</v>
      </c>
      <c r="B130" s="256"/>
      <c r="C130" s="179">
        <v>1942</v>
      </c>
      <c r="D130" s="135">
        <v>350</v>
      </c>
      <c r="E130" s="171"/>
      <c r="F130" s="177"/>
      <c r="G130" s="188">
        <v>216</v>
      </c>
      <c r="H130" s="137">
        <v>152</v>
      </c>
      <c r="I130" s="188">
        <v>216</v>
      </c>
      <c r="J130" s="137">
        <v>147</v>
      </c>
      <c r="K130" s="24">
        <f t="shared" si="16"/>
        <v>1163752</v>
      </c>
      <c r="L130" s="25">
        <f t="shared" si="17"/>
        <v>255850</v>
      </c>
      <c r="M130" s="25">
        <f t="shared" si="18"/>
        <v>1419602</v>
      </c>
    </row>
    <row r="131" spans="1:13" ht="15" customHeight="1">
      <c r="A131" s="255" t="s">
        <v>274</v>
      </c>
      <c r="B131" s="256"/>
      <c r="C131" s="179">
        <v>1714</v>
      </c>
      <c r="D131" s="135">
        <v>600</v>
      </c>
      <c r="E131" s="171"/>
      <c r="F131" s="177"/>
      <c r="G131" s="188">
        <v>236</v>
      </c>
      <c r="H131" s="137">
        <v>302</v>
      </c>
      <c r="I131" s="188">
        <v>236</v>
      </c>
      <c r="J131" s="137">
        <v>303</v>
      </c>
      <c r="K131" s="24">
        <f t="shared" si="16"/>
        <v>1199778</v>
      </c>
      <c r="L131" s="25">
        <f t="shared" si="17"/>
        <v>646200</v>
      </c>
      <c r="M131" s="25">
        <f t="shared" si="18"/>
        <v>1845978</v>
      </c>
    </row>
    <row r="132" spans="1:13" ht="15" customHeight="1">
      <c r="A132" s="255" t="s">
        <v>275</v>
      </c>
      <c r="B132" s="256"/>
      <c r="C132" s="179">
        <v>1916</v>
      </c>
      <c r="D132" s="135">
        <v>1375</v>
      </c>
      <c r="E132" s="171"/>
      <c r="F132" s="177"/>
      <c r="G132" s="188">
        <v>0</v>
      </c>
      <c r="H132" s="137">
        <v>107</v>
      </c>
      <c r="I132" s="188">
        <v>0</v>
      </c>
      <c r="J132" s="137">
        <v>108</v>
      </c>
      <c r="K132" s="24">
        <f t="shared" si="16"/>
        <v>116315</v>
      </c>
      <c r="L132" s="25">
        <f t="shared" si="17"/>
        <v>295625</v>
      </c>
      <c r="M132" s="25">
        <f t="shared" si="18"/>
        <v>411940</v>
      </c>
    </row>
    <row r="133" spans="1:13" ht="15" customHeight="1">
      <c r="A133" s="255" t="s">
        <v>276</v>
      </c>
      <c r="B133" s="256"/>
      <c r="C133" s="179">
        <v>1549</v>
      </c>
      <c r="D133" s="135">
        <v>1549</v>
      </c>
      <c r="E133" s="171"/>
      <c r="F133" s="177"/>
      <c r="G133" s="188">
        <v>0</v>
      </c>
      <c r="H133" s="137">
        <v>96</v>
      </c>
      <c r="I133" s="188">
        <v>0</v>
      </c>
      <c r="J133" s="137">
        <v>103</v>
      </c>
      <c r="K133" s="24">
        <f t="shared" si="16"/>
        <v>0</v>
      </c>
      <c r="L133" s="25">
        <f t="shared" si="17"/>
        <v>308251</v>
      </c>
      <c r="M133" s="25">
        <f t="shared" si="18"/>
        <v>308251</v>
      </c>
    </row>
    <row r="134" spans="1:13" ht="15" customHeight="1">
      <c r="A134" s="255" t="s">
        <v>277</v>
      </c>
      <c r="B134" s="256"/>
      <c r="C134" s="179">
        <v>999</v>
      </c>
      <c r="D134" s="135">
        <v>999</v>
      </c>
      <c r="E134" s="171"/>
      <c r="F134" s="177"/>
      <c r="G134" s="188">
        <v>0</v>
      </c>
      <c r="H134" s="137">
        <v>155</v>
      </c>
      <c r="I134" s="188">
        <v>0</v>
      </c>
      <c r="J134" s="137">
        <v>179</v>
      </c>
      <c r="K134" s="24">
        <f t="shared" si="16"/>
        <v>0</v>
      </c>
      <c r="L134" s="25">
        <f t="shared" si="17"/>
        <v>333666</v>
      </c>
      <c r="M134" s="25">
        <f t="shared" si="18"/>
        <v>333666</v>
      </c>
    </row>
    <row r="135" spans="1:13" ht="15" customHeight="1">
      <c r="A135" s="255" t="s">
        <v>278</v>
      </c>
      <c r="B135" s="256"/>
      <c r="C135" s="179">
        <v>499</v>
      </c>
      <c r="D135" s="135">
        <v>499</v>
      </c>
      <c r="E135" s="171"/>
      <c r="F135" s="177"/>
      <c r="G135" s="138">
        <v>0</v>
      </c>
      <c r="H135" s="137">
        <v>448</v>
      </c>
      <c r="I135" s="138">
        <v>0</v>
      </c>
      <c r="J135" s="137">
        <v>475</v>
      </c>
      <c r="K135" s="24">
        <f t="shared" si="16"/>
        <v>0</v>
      </c>
      <c r="L135" s="25">
        <f t="shared" si="17"/>
        <v>460577</v>
      </c>
      <c r="M135" s="25">
        <f t="shared" si="18"/>
        <v>460577</v>
      </c>
    </row>
    <row r="136" spans="1:13" ht="15" customHeight="1">
      <c r="A136" s="255" t="s">
        <v>279</v>
      </c>
      <c r="B136" s="256"/>
      <c r="C136" s="179">
        <v>100</v>
      </c>
      <c r="D136" s="135">
        <v>100</v>
      </c>
      <c r="E136" s="188">
        <v>31087</v>
      </c>
      <c r="F136" s="137"/>
      <c r="G136" s="188">
        <v>31087</v>
      </c>
      <c r="H136" s="137"/>
      <c r="I136" s="188">
        <v>31087</v>
      </c>
      <c r="J136" s="137"/>
      <c r="K136" s="24">
        <f t="shared" si="16"/>
        <v>0</v>
      </c>
      <c r="L136" s="25">
        <f t="shared" si="17"/>
        <v>9326100</v>
      </c>
      <c r="M136" s="25">
        <f t="shared" si="18"/>
        <v>9326100</v>
      </c>
    </row>
    <row r="137" spans="1:13" ht="15" customHeight="1">
      <c r="A137" s="255" t="s">
        <v>271</v>
      </c>
      <c r="B137" s="256"/>
      <c r="C137" s="179">
        <v>904</v>
      </c>
      <c r="D137" s="135">
        <v>125</v>
      </c>
      <c r="E137" s="188">
        <v>179</v>
      </c>
      <c r="F137" s="137"/>
      <c r="G137" s="168"/>
      <c r="H137" s="177"/>
      <c r="I137" s="168"/>
      <c r="J137" s="177"/>
      <c r="K137" s="24">
        <f t="shared" si="16"/>
        <v>139441</v>
      </c>
      <c r="L137" s="25">
        <f t="shared" si="17"/>
        <v>22375</v>
      </c>
      <c r="M137" s="25">
        <f t="shared" si="18"/>
        <v>161816</v>
      </c>
    </row>
    <row r="138" spans="1:13" ht="15" customHeight="1">
      <c r="A138" s="255" t="s">
        <v>272</v>
      </c>
      <c r="B138" s="256"/>
      <c r="C138" s="179">
        <v>907</v>
      </c>
      <c r="D138" s="135">
        <v>75</v>
      </c>
      <c r="E138" s="188">
        <v>163</v>
      </c>
      <c r="F138" s="137"/>
      <c r="G138" s="168"/>
      <c r="H138" s="177"/>
      <c r="I138" s="168"/>
      <c r="J138" s="177"/>
      <c r="K138" s="24">
        <f t="shared" si="16"/>
        <v>135616</v>
      </c>
      <c r="L138" s="25">
        <f t="shared" si="17"/>
        <v>12225</v>
      </c>
      <c r="M138" s="25">
        <f t="shared" si="18"/>
        <v>147841</v>
      </c>
    </row>
    <row r="139" spans="1:13" ht="15" customHeight="1">
      <c r="A139" s="255" t="s">
        <v>280</v>
      </c>
      <c r="B139" s="256"/>
      <c r="C139" s="179">
        <v>695</v>
      </c>
      <c r="D139" s="135">
        <v>0</v>
      </c>
      <c r="E139" s="138">
        <v>0</v>
      </c>
      <c r="F139" s="137"/>
      <c r="G139" s="168"/>
      <c r="H139" s="177"/>
      <c r="I139" s="168"/>
      <c r="J139" s="177"/>
      <c r="K139" s="24">
        <f t="shared" si="16"/>
        <v>0</v>
      </c>
      <c r="L139" s="25">
        <f t="shared" si="17"/>
        <v>0</v>
      </c>
      <c r="M139" s="25">
        <f t="shared" si="18"/>
        <v>0</v>
      </c>
    </row>
    <row r="140" spans="1:13" ht="15" customHeight="1">
      <c r="A140" s="255" t="s">
        <v>259</v>
      </c>
      <c r="B140" s="256"/>
      <c r="C140" s="179">
        <v>775</v>
      </c>
      <c r="D140" s="135">
        <v>775</v>
      </c>
      <c r="E140" s="138">
        <v>0</v>
      </c>
      <c r="F140" s="137"/>
      <c r="G140" s="168"/>
      <c r="H140" s="177"/>
      <c r="I140" s="168"/>
      <c r="J140" s="177"/>
      <c r="K140" s="24">
        <f t="shared" si="16"/>
        <v>0</v>
      </c>
      <c r="L140" s="25">
        <f t="shared" si="17"/>
        <v>0</v>
      </c>
      <c r="M140" s="25">
        <f t="shared" si="18"/>
        <v>0</v>
      </c>
    </row>
    <row r="141" spans="1:13" ht="15" customHeight="1">
      <c r="A141" s="255" t="s">
        <v>260</v>
      </c>
      <c r="B141" s="256"/>
      <c r="C141" s="179">
        <v>350</v>
      </c>
      <c r="D141" s="135">
        <v>350</v>
      </c>
      <c r="E141" s="138">
        <v>0</v>
      </c>
      <c r="F141" s="137"/>
      <c r="G141" s="168"/>
      <c r="H141" s="177"/>
      <c r="I141" s="168"/>
      <c r="J141" s="177"/>
      <c r="K141" s="24">
        <f t="shared" si="16"/>
        <v>0</v>
      </c>
      <c r="L141" s="25">
        <f t="shared" si="17"/>
        <v>0</v>
      </c>
      <c r="M141" s="25">
        <f t="shared" si="18"/>
        <v>0</v>
      </c>
    </row>
    <row r="142" spans="1:13" ht="15" customHeight="1">
      <c r="A142" s="257" t="s">
        <v>261</v>
      </c>
      <c r="B142" s="258"/>
      <c r="C142" s="182">
        <v>250</v>
      </c>
      <c r="D142" s="164">
        <v>250</v>
      </c>
      <c r="E142" s="139">
        <f>E107</f>
        <v>0</v>
      </c>
      <c r="F142" s="137">
        <v>0</v>
      </c>
      <c r="G142" s="178">
        <v>0</v>
      </c>
      <c r="H142" s="177">
        <v>0</v>
      </c>
      <c r="I142" s="178">
        <v>0</v>
      </c>
      <c r="J142" s="177">
        <v>0</v>
      </c>
      <c r="K142" s="24">
        <f t="shared" si="16"/>
        <v>0</v>
      </c>
      <c r="L142" s="25">
        <f t="shared" si="17"/>
        <v>0</v>
      </c>
      <c r="M142" s="25">
        <f t="shared" si="18"/>
        <v>0</v>
      </c>
    </row>
    <row r="143" spans="1:13" ht="15" customHeight="1">
      <c r="B143" s="59" t="s">
        <v>262</v>
      </c>
      <c r="C143" s="180"/>
      <c r="D143" s="181"/>
      <c r="E143" s="57">
        <f t="shared" ref="E143:M143" si="19">SUM(E128:E142)</f>
        <v>31429</v>
      </c>
      <c r="F143" s="60">
        <f t="shared" si="19"/>
        <v>0</v>
      </c>
      <c r="G143" s="199">
        <f t="shared" si="19"/>
        <v>31730</v>
      </c>
      <c r="H143" s="198">
        <f t="shared" si="19"/>
        <v>1339</v>
      </c>
      <c r="I143" s="199">
        <f t="shared" si="19"/>
        <v>31730</v>
      </c>
      <c r="J143" s="60">
        <f t="shared" si="19"/>
        <v>1396</v>
      </c>
      <c r="K143" s="66">
        <f t="shared" si="19"/>
        <v>3837005</v>
      </c>
      <c r="L143" s="26">
        <f t="shared" si="19"/>
        <v>11737769</v>
      </c>
      <c r="M143" s="26">
        <f t="shared" si="19"/>
        <v>15574774</v>
      </c>
    </row>
    <row r="144" spans="1:13" ht="13.5" customHeight="1">
      <c r="B144" s="59"/>
      <c r="C144" s="27"/>
      <c r="D144" s="52"/>
      <c r="E144" s="64"/>
      <c r="F144" s="64"/>
      <c r="G144" s="65"/>
      <c r="H144" s="64"/>
      <c r="I144" s="65"/>
      <c r="J144" s="64"/>
    </row>
    <row r="145" spans="1:14" ht="13.5" customHeight="1">
      <c r="B145" s="59"/>
      <c r="C145" s="27"/>
      <c r="D145" s="52"/>
      <c r="E145" s="64"/>
      <c r="F145" s="64"/>
      <c r="G145" s="65"/>
      <c r="H145" s="64"/>
      <c r="I145" s="65"/>
      <c r="J145" s="64"/>
      <c r="K145" s="61" t="s">
        <v>281</v>
      </c>
      <c r="L145" s="195">
        <f>L136*0.25</f>
        <v>2331525</v>
      </c>
    </row>
    <row r="146" spans="1:14" ht="15" customHeight="1">
      <c r="B146" s="59"/>
      <c r="C146" s="27"/>
      <c r="D146" s="52"/>
      <c r="E146" s="64"/>
      <c r="F146" s="64"/>
      <c r="G146" s="65"/>
      <c r="H146" s="64"/>
      <c r="I146" s="65"/>
      <c r="J146" s="64"/>
      <c r="K146" s="61" t="s">
        <v>282</v>
      </c>
      <c r="L146" s="160">
        <f>L143-L145</f>
        <v>9406244</v>
      </c>
    </row>
    <row r="147" spans="1:14">
      <c r="A147" s="54" t="s">
        <v>263</v>
      </c>
      <c r="B147" s="71"/>
      <c r="C147" s="70"/>
      <c r="D147" s="54"/>
      <c r="E147" s="72"/>
      <c r="F147" s="54"/>
      <c r="G147" s="72"/>
      <c r="H147" s="31"/>
    </row>
    <row r="148" spans="1:14">
      <c r="A148" s="73" t="s">
        <v>264</v>
      </c>
      <c r="B148" s="73"/>
      <c r="C148" s="74"/>
      <c r="D148" s="73"/>
      <c r="E148" s="73"/>
      <c r="F148" s="73"/>
      <c r="G148" s="73"/>
      <c r="J148" s="61" t="s">
        <v>265</v>
      </c>
      <c r="K148" s="67">
        <f>(C128-D128)*(G128+I128)+(C129-D129)*(G129+I129)+(C130-D130)*(G130+I130)+(C131-D131)*(G131+I131)+(C132-D132)*(G132+I132)+(C137-D137)*E137+(C138-D138)*E138+(C139-D139)*E139</f>
        <v>2251269</v>
      </c>
      <c r="L148" s="30">
        <f>D128*(G128+I128)+D129*(G129+I129)+D130*(G130+I130)+D131*(G131+I131)+D132*(G132+I132)+D133*(G133+I133)+D134*(G134+I134)+D135*(G135+I135)+D136*(G136+I136)+D137*E137+D138*E138+D142*(G142+I142)</f>
        <v>6740600</v>
      </c>
      <c r="M148" s="62">
        <f>SUM(K148:L148)</f>
        <v>8991869</v>
      </c>
    </row>
    <row r="149" spans="1:14">
      <c r="A149" s="75" t="s">
        <v>266</v>
      </c>
      <c r="B149" s="75"/>
      <c r="C149" s="76"/>
      <c r="D149" s="75"/>
      <c r="E149" s="75"/>
      <c r="F149" s="75"/>
      <c r="G149" s="75"/>
      <c r="J149" s="61" t="s">
        <v>267</v>
      </c>
      <c r="K149" s="68">
        <f>(C128-D128)*(H128+J128)+(C129-D129)*(H129+J129)+(C130-D130)*(H130+J130)+(C131-D131)*(H131+J131)+(C132-D132)*(H132+J132)+(C137-D137)*F137+(C138-D138)*F138+(C139-D139)*F139</f>
        <v>1585736</v>
      </c>
      <c r="L149" s="30">
        <f>D128*(H128+J128)+D129*(H129+J129)+D130*(H130+J130)+D131*(H131+J131)+D132*(H132+J132)+D133*(H133+J133)+D134*(H134+J134)+D135*(H135+J135)+D136*(H136+J136)+D137*F137+D138*F138+D140*F140+D141*F141+D142*(F142)</f>
        <v>1888469</v>
      </c>
      <c r="M149" s="62">
        <f>SUM(K149:L149)</f>
        <v>3474205</v>
      </c>
    </row>
    <row r="151" spans="1:14">
      <c r="A151" s="1" t="s">
        <v>289</v>
      </c>
      <c r="C151" s="46" t="s">
        <v>218</v>
      </c>
      <c r="D151" s="77" t="s">
        <v>218</v>
      </c>
      <c r="E151" s="259" t="s">
        <v>233</v>
      </c>
      <c r="F151" s="260"/>
      <c r="G151" s="259" t="s">
        <v>234</v>
      </c>
      <c r="H151" s="260"/>
      <c r="I151" s="261" t="s">
        <v>235</v>
      </c>
      <c r="J151" s="262"/>
    </row>
    <row r="152" spans="1:14" s="23" customFormat="1" ht="45" customHeight="1">
      <c r="A152" s="263" t="s">
        <v>63</v>
      </c>
      <c r="B152" s="264"/>
      <c r="C152" s="20" t="s">
        <v>290</v>
      </c>
      <c r="D152" s="21" t="s">
        <v>237</v>
      </c>
      <c r="E152" s="55" t="s">
        <v>238</v>
      </c>
      <c r="F152" s="56" t="s">
        <v>239</v>
      </c>
      <c r="G152" s="55" t="s">
        <v>238</v>
      </c>
      <c r="H152" s="56" t="s">
        <v>239</v>
      </c>
      <c r="I152" s="55" t="s">
        <v>238</v>
      </c>
      <c r="J152" s="56" t="s">
        <v>239</v>
      </c>
      <c r="K152" s="22" t="s">
        <v>240</v>
      </c>
      <c r="L152" s="183" t="s">
        <v>270</v>
      </c>
      <c r="M152" s="183" t="s">
        <v>242</v>
      </c>
    </row>
    <row r="153" spans="1:14" ht="15" customHeight="1">
      <c r="A153" s="255" t="s">
        <v>271</v>
      </c>
      <c r="B153" s="256"/>
      <c r="C153" s="179">
        <v>2076</v>
      </c>
      <c r="D153" s="196">
        <v>200</v>
      </c>
      <c r="E153" s="175"/>
      <c r="F153" s="176"/>
      <c r="G153" s="189">
        <v>80</v>
      </c>
      <c r="H153" s="136">
        <v>32.64</v>
      </c>
      <c r="I153" s="189">
        <v>80</v>
      </c>
      <c r="J153" s="136">
        <v>35.700000000000003</v>
      </c>
      <c r="K153" s="24">
        <f t="shared" ref="K153:K167" si="20">(C153-D153)*(E153+F153+G153+H153+I153+J153)</f>
        <v>428365.83999999997</v>
      </c>
      <c r="L153" s="25">
        <f>(E153+F153+G153+H153+I153+J153)*D153</f>
        <v>45667.999999999993</v>
      </c>
      <c r="M153" s="25">
        <f>SUM(K153:L153)</f>
        <v>474033.83999999997</v>
      </c>
      <c r="N153" s="12"/>
    </row>
    <row r="154" spans="1:14" ht="15" customHeight="1">
      <c r="A154" s="255" t="s">
        <v>272</v>
      </c>
      <c r="B154" s="256"/>
      <c r="C154" s="179">
        <v>2252</v>
      </c>
      <c r="D154" s="196">
        <v>100</v>
      </c>
      <c r="E154" s="171"/>
      <c r="F154" s="177"/>
      <c r="G154" s="188">
        <v>111</v>
      </c>
      <c r="H154" s="137">
        <v>47.94</v>
      </c>
      <c r="I154" s="188">
        <v>111</v>
      </c>
      <c r="J154" s="137">
        <v>46.92</v>
      </c>
      <c r="K154" s="24">
        <f t="shared" si="20"/>
        <v>681882.72</v>
      </c>
      <c r="L154" s="25">
        <f t="shared" ref="L154:L167" si="21">(E154+F154+G154+H154+I154+J154)*D154</f>
        <v>31686</v>
      </c>
      <c r="M154" s="25">
        <f t="shared" ref="M154:M167" si="22">SUM(K154:L154)</f>
        <v>713568.72</v>
      </c>
    </row>
    <row r="155" spans="1:14" ht="15" customHeight="1">
      <c r="A155" s="255" t="s">
        <v>273</v>
      </c>
      <c r="B155" s="256"/>
      <c r="C155" s="179">
        <v>1974</v>
      </c>
      <c r="D155" s="135">
        <v>350</v>
      </c>
      <c r="E155" s="171"/>
      <c r="F155" s="177"/>
      <c r="G155" s="188">
        <v>216</v>
      </c>
      <c r="H155" s="137">
        <v>155.04</v>
      </c>
      <c r="I155" s="188">
        <v>216</v>
      </c>
      <c r="J155" s="137">
        <v>149.94</v>
      </c>
      <c r="K155" s="24">
        <f t="shared" si="20"/>
        <v>1196855.52</v>
      </c>
      <c r="L155" s="25">
        <f t="shared" si="21"/>
        <v>257943</v>
      </c>
      <c r="M155" s="25">
        <f t="shared" si="22"/>
        <v>1454798.52</v>
      </c>
    </row>
    <row r="156" spans="1:14" ht="15" customHeight="1">
      <c r="A156" s="255" t="s">
        <v>274</v>
      </c>
      <c r="B156" s="256"/>
      <c r="C156" s="179">
        <v>1736</v>
      </c>
      <c r="D156" s="135">
        <v>600</v>
      </c>
      <c r="E156" s="171"/>
      <c r="F156" s="177"/>
      <c r="G156" s="188">
        <v>236</v>
      </c>
      <c r="H156" s="137">
        <v>308.04000000000002</v>
      </c>
      <c r="I156" s="188">
        <v>236</v>
      </c>
      <c r="J156" s="137">
        <v>309.06</v>
      </c>
      <c r="K156" s="24">
        <f t="shared" si="20"/>
        <v>1237217.5999999999</v>
      </c>
      <c r="L156" s="25">
        <f t="shared" si="21"/>
        <v>653460</v>
      </c>
      <c r="M156" s="25">
        <f t="shared" si="22"/>
        <v>1890677.5999999999</v>
      </c>
    </row>
    <row r="157" spans="1:14" ht="15" customHeight="1">
      <c r="A157" s="255" t="s">
        <v>275</v>
      </c>
      <c r="B157" s="256"/>
      <c r="C157" s="179">
        <v>1927</v>
      </c>
      <c r="D157" s="135">
        <v>1375</v>
      </c>
      <c r="E157" s="171"/>
      <c r="F157" s="177"/>
      <c r="G157" s="188">
        <v>0</v>
      </c>
      <c r="H157" s="137">
        <v>109.14</v>
      </c>
      <c r="I157" s="188">
        <v>0</v>
      </c>
      <c r="J157" s="137">
        <v>110.16</v>
      </c>
      <c r="K157" s="24">
        <f t="shared" si="20"/>
        <v>121053.6</v>
      </c>
      <c r="L157" s="25">
        <f t="shared" si="21"/>
        <v>301537.5</v>
      </c>
      <c r="M157" s="25">
        <f t="shared" si="22"/>
        <v>422591.1</v>
      </c>
    </row>
    <row r="158" spans="1:14" ht="15" customHeight="1">
      <c r="A158" s="255" t="s">
        <v>276</v>
      </c>
      <c r="B158" s="256"/>
      <c r="C158" s="179">
        <v>1549</v>
      </c>
      <c r="D158" s="135">
        <v>1549</v>
      </c>
      <c r="E158" s="171"/>
      <c r="F158" s="177"/>
      <c r="G158" s="188">
        <v>0</v>
      </c>
      <c r="H158" s="137">
        <v>97.92</v>
      </c>
      <c r="I158" s="188">
        <v>0</v>
      </c>
      <c r="J158" s="137">
        <v>105.06</v>
      </c>
      <c r="K158" s="24">
        <f t="shared" si="20"/>
        <v>0</v>
      </c>
      <c r="L158" s="25">
        <f t="shared" si="21"/>
        <v>314416.02</v>
      </c>
      <c r="M158" s="25">
        <f t="shared" si="22"/>
        <v>314416.02</v>
      </c>
    </row>
    <row r="159" spans="1:14" ht="15" customHeight="1">
      <c r="A159" s="255" t="s">
        <v>277</v>
      </c>
      <c r="B159" s="256"/>
      <c r="C159" s="179">
        <v>999</v>
      </c>
      <c r="D159" s="135">
        <v>999</v>
      </c>
      <c r="E159" s="171"/>
      <c r="F159" s="177"/>
      <c r="G159" s="188">
        <v>0</v>
      </c>
      <c r="H159" s="137">
        <v>158.1</v>
      </c>
      <c r="I159" s="188">
        <v>0</v>
      </c>
      <c r="J159" s="137">
        <v>182.58</v>
      </c>
      <c r="K159" s="24">
        <f t="shared" si="20"/>
        <v>0</v>
      </c>
      <c r="L159" s="25">
        <f t="shared" si="21"/>
        <v>340339.32</v>
      </c>
      <c r="M159" s="25">
        <f t="shared" si="22"/>
        <v>340339.32</v>
      </c>
    </row>
    <row r="160" spans="1:14" ht="15" customHeight="1">
      <c r="A160" s="255" t="s">
        <v>278</v>
      </c>
      <c r="B160" s="256"/>
      <c r="C160" s="179">
        <v>499</v>
      </c>
      <c r="D160" s="135">
        <v>499</v>
      </c>
      <c r="E160" s="171"/>
      <c r="F160" s="177"/>
      <c r="G160" s="138">
        <v>0</v>
      </c>
      <c r="H160" s="137">
        <v>456.96000000000004</v>
      </c>
      <c r="I160" s="138">
        <v>0</v>
      </c>
      <c r="J160" s="137">
        <v>484.5</v>
      </c>
      <c r="K160" s="24">
        <f t="shared" si="20"/>
        <v>0</v>
      </c>
      <c r="L160" s="25">
        <f t="shared" si="21"/>
        <v>469788.54000000004</v>
      </c>
      <c r="M160" s="25">
        <f t="shared" si="22"/>
        <v>469788.54000000004</v>
      </c>
    </row>
    <row r="161" spans="1:13" ht="15" customHeight="1">
      <c r="A161" s="255" t="s">
        <v>279</v>
      </c>
      <c r="B161" s="256"/>
      <c r="C161" s="179">
        <v>100</v>
      </c>
      <c r="D161" s="135">
        <v>100</v>
      </c>
      <c r="E161" s="188">
        <v>31087</v>
      </c>
      <c r="F161" s="137"/>
      <c r="G161" s="188">
        <v>31087</v>
      </c>
      <c r="H161" s="137">
        <v>0</v>
      </c>
      <c r="I161" s="188">
        <v>31087</v>
      </c>
      <c r="J161" s="137"/>
      <c r="K161" s="24">
        <f t="shared" si="20"/>
        <v>0</v>
      </c>
      <c r="L161" s="25">
        <f t="shared" si="21"/>
        <v>9326100</v>
      </c>
      <c r="M161" s="25">
        <f t="shared" si="22"/>
        <v>9326100</v>
      </c>
    </row>
    <row r="162" spans="1:13" ht="15" customHeight="1">
      <c r="A162" s="255" t="s">
        <v>271</v>
      </c>
      <c r="B162" s="256"/>
      <c r="C162" s="179">
        <v>920</v>
      </c>
      <c r="D162" s="135">
        <v>125</v>
      </c>
      <c r="E162" s="188">
        <v>179</v>
      </c>
      <c r="F162" s="137"/>
      <c r="G162" s="168"/>
      <c r="H162" s="177"/>
      <c r="I162" s="168"/>
      <c r="J162" s="177"/>
      <c r="K162" s="24">
        <f t="shared" si="20"/>
        <v>142305</v>
      </c>
      <c r="L162" s="25">
        <f t="shared" si="21"/>
        <v>22375</v>
      </c>
      <c r="M162" s="25">
        <f t="shared" si="22"/>
        <v>164680</v>
      </c>
    </row>
    <row r="163" spans="1:13" ht="15" customHeight="1">
      <c r="A163" s="255" t="s">
        <v>272</v>
      </c>
      <c r="B163" s="256"/>
      <c r="C163" s="179">
        <v>924</v>
      </c>
      <c r="D163" s="135">
        <v>75</v>
      </c>
      <c r="E163" s="188">
        <v>163</v>
      </c>
      <c r="F163" s="137"/>
      <c r="G163" s="168"/>
      <c r="H163" s="177"/>
      <c r="I163" s="168"/>
      <c r="J163" s="177"/>
      <c r="K163" s="24">
        <f t="shared" si="20"/>
        <v>138387</v>
      </c>
      <c r="L163" s="25">
        <f t="shared" si="21"/>
        <v>12225</v>
      </c>
      <c r="M163" s="25">
        <f t="shared" si="22"/>
        <v>150612</v>
      </c>
    </row>
    <row r="164" spans="1:13" ht="15" customHeight="1">
      <c r="A164" s="255" t="s">
        <v>280</v>
      </c>
      <c r="B164" s="256"/>
      <c r="C164" s="179">
        <v>709</v>
      </c>
      <c r="D164" s="135">
        <v>0</v>
      </c>
      <c r="E164" s="138">
        <v>0</v>
      </c>
      <c r="F164" s="137"/>
      <c r="G164" s="168"/>
      <c r="H164" s="177"/>
      <c r="I164" s="168"/>
      <c r="J164" s="177"/>
      <c r="K164" s="24">
        <f t="shared" si="20"/>
        <v>0</v>
      </c>
      <c r="L164" s="25">
        <f t="shared" si="21"/>
        <v>0</v>
      </c>
      <c r="M164" s="25">
        <f t="shared" si="22"/>
        <v>0</v>
      </c>
    </row>
    <row r="165" spans="1:13" ht="15" customHeight="1">
      <c r="A165" s="255" t="s">
        <v>259</v>
      </c>
      <c r="B165" s="256"/>
      <c r="C165" s="179">
        <v>775</v>
      </c>
      <c r="D165" s="135">
        <v>775</v>
      </c>
      <c r="E165" s="138">
        <v>0</v>
      </c>
      <c r="F165" s="137"/>
      <c r="G165" s="168"/>
      <c r="H165" s="177"/>
      <c r="I165" s="168"/>
      <c r="J165" s="177"/>
      <c r="K165" s="24">
        <f t="shared" si="20"/>
        <v>0</v>
      </c>
      <c r="L165" s="25">
        <f t="shared" si="21"/>
        <v>0</v>
      </c>
      <c r="M165" s="25">
        <f t="shared" si="22"/>
        <v>0</v>
      </c>
    </row>
    <row r="166" spans="1:13" ht="15" customHeight="1">
      <c r="A166" s="255" t="s">
        <v>260</v>
      </c>
      <c r="B166" s="256"/>
      <c r="C166" s="179">
        <v>350</v>
      </c>
      <c r="D166" s="135">
        <v>350</v>
      </c>
      <c r="E166" s="138">
        <v>0</v>
      </c>
      <c r="F166" s="137"/>
      <c r="G166" s="168"/>
      <c r="H166" s="177"/>
      <c r="I166" s="168"/>
      <c r="J166" s="177"/>
      <c r="K166" s="24">
        <f t="shared" si="20"/>
        <v>0</v>
      </c>
      <c r="L166" s="25">
        <f t="shared" si="21"/>
        <v>0</v>
      </c>
      <c r="M166" s="25">
        <f t="shared" si="22"/>
        <v>0</v>
      </c>
    </row>
    <row r="167" spans="1:13" ht="15" customHeight="1">
      <c r="A167" s="257" t="s">
        <v>261</v>
      </c>
      <c r="B167" s="258"/>
      <c r="C167" s="182">
        <v>250</v>
      </c>
      <c r="D167" s="164">
        <v>250</v>
      </c>
      <c r="E167" s="139">
        <f>E132</f>
        <v>0</v>
      </c>
      <c r="F167" s="137">
        <v>0</v>
      </c>
      <c r="G167" s="178">
        <v>0</v>
      </c>
      <c r="H167" s="177">
        <v>0</v>
      </c>
      <c r="I167" s="178">
        <v>0</v>
      </c>
      <c r="J167" s="177">
        <v>0</v>
      </c>
      <c r="K167" s="24">
        <f t="shared" si="20"/>
        <v>0</v>
      </c>
      <c r="L167" s="25">
        <f t="shared" si="21"/>
        <v>0</v>
      </c>
      <c r="M167" s="25">
        <f t="shared" si="22"/>
        <v>0</v>
      </c>
    </row>
    <row r="168" spans="1:13" ht="15" customHeight="1">
      <c r="B168" s="59" t="s">
        <v>262</v>
      </c>
      <c r="C168" s="180"/>
      <c r="D168" s="181"/>
      <c r="E168" s="57">
        <f t="shared" ref="E168:M168" si="23">SUM(E153:E167)</f>
        <v>31429</v>
      </c>
      <c r="F168" s="60">
        <f t="shared" si="23"/>
        <v>0</v>
      </c>
      <c r="G168" s="58">
        <f t="shared" si="23"/>
        <v>31730</v>
      </c>
      <c r="H168" s="60">
        <f t="shared" si="23"/>
        <v>1365.7800000000002</v>
      </c>
      <c r="I168" s="58">
        <f t="shared" si="23"/>
        <v>31730</v>
      </c>
      <c r="J168" s="60">
        <f t="shared" si="23"/>
        <v>1423.92</v>
      </c>
      <c r="K168" s="66">
        <f t="shared" si="23"/>
        <v>3946067.28</v>
      </c>
      <c r="L168" s="26">
        <f t="shared" si="23"/>
        <v>11775538.379999999</v>
      </c>
      <c r="M168" s="26">
        <f t="shared" si="23"/>
        <v>15721605.66</v>
      </c>
    </row>
    <row r="169" spans="1:13" ht="15" customHeight="1">
      <c r="B169" s="59"/>
      <c r="C169" s="27"/>
      <c r="D169" s="52"/>
      <c r="E169" s="64"/>
      <c r="F169" s="64"/>
      <c r="G169" s="65"/>
      <c r="H169" s="64"/>
      <c r="I169" s="65"/>
      <c r="J169" s="64"/>
    </row>
    <row r="170" spans="1:13" ht="14.25" customHeight="1">
      <c r="B170" s="59"/>
      <c r="C170" s="27"/>
      <c r="D170" s="52"/>
      <c r="E170" s="64"/>
      <c r="F170" s="64"/>
      <c r="G170" s="65"/>
      <c r="H170" s="64"/>
      <c r="I170" s="65"/>
      <c r="J170" s="64"/>
      <c r="K170" s="61" t="s">
        <v>281</v>
      </c>
      <c r="L170" s="195">
        <f>L161*0.25</f>
        <v>2331525</v>
      </c>
    </row>
    <row r="171" spans="1:13" ht="15" customHeight="1">
      <c r="B171" s="59"/>
      <c r="C171" s="27"/>
      <c r="D171" s="52"/>
      <c r="E171" s="64"/>
      <c r="F171" s="64"/>
      <c r="G171" s="65"/>
      <c r="H171" s="64"/>
      <c r="I171" s="65"/>
      <c r="J171" s="64"/>
      <c r="K171" s="61" t="s">
        <v>282</v>
      </c>
      <c r="L171" s="160">
        <f>L168-L170</f>
        <v>9444013.379999999</v>
      </c>
    </row>
    <row r="172" spans="1:13">
      <c r="A172" s="54" t="s">
        <v>263</v>
      </c>
      <c r="B172" s="71"/>
      <c r="C172" s="70"/>
      <c r="D172" s="54"/>
      <c r="E172" s="72"/>
      <c r="F172" s="54"/>
      <c r="G172" s="72"/>
      <c r="H172" s="31"/>
    </row>
    <row r="173" spans="1:13">
      <c r="A173" s="73" t="s">
        <v>264</v>
      </c>
      <c r="B173" s="73"/>
      <c r="C173" s="74"/>
      <c r="D173" s="73"/>
      <c r="E173" s="73"/>
      <c r="F173" s="73"/>
      <c r="G173" s="73"/>
      <c r="J173" s="61" t="s">
        <v>265</v>
      </c>
      <c r="K173" s="67">
        <f>(C153-D153)*(G153+I153)+(C154-D154)*(G154+I154)+(C155-D155)*(G155+I155)+(C156-D156)*(G156+I156)+(C157-D157)*(G157+I157)+(C162-D162)*E162+(C163-D163)*E163+(C164-D164)*E164</f>
        <v>2296356</v>
      </c>
      <c r="L173" s="30">
        <f>D153*(G153+I153)+D154*(G154+I154)+D155*(G155+I155)+D156*(G156+I156)+D157*(G157+I157)+D158*(G158+I158)+D159*(G159+I159)+D160*(G160+I160)+D161*(G161+I161)+D162*E162+D163*E163+D167*(G167+I167)</f>
        <v>6740600</v>
      </c>
      <c r="M173" s="62">
        <f>SUM(K173:L173)</f>
        <v>9036956</v>
      </c>
    </row>
    <row r="174" spans="1:13">
      <c r="A174" s="75" t="s">
        <v>266</v>
      </c>
      <c r="B174" s="75"/>
      <c r="C174" s="76"/>
      <c r="D174" s="75"/>
      <c r="E174" s="75"/>
      <c r="F174" s="75"/>
      <c r="G174" s="75"/>
      <c r="J174" s="61" t="s">
        <v>267</v>
      </c>
      <c r="K174" s="68">
        <f>(C153-D153)*(H153+J153)+(C154-D154)*(H154+J154)+(C155-D155)*(H155+J155)+(C156-D156)*(H156+J156)+(C157-D157)*(H157+J157)+(C162-D162)*F162+(C163-D163)*F163+(C164-D164)*F164</f>
        <v>1649711.2800000003</v>
      </c>
      <c r="L174" s="30">
        <f>D153*(H153+J153)+D154*(H154+J154)+D155*(H155+J155)+D156*(H156+J156)+D157*(H157+J157)+D158*(H158+J158)+D159*(H159+J159)+D160*(H160+J160)+D161*(H161+J161)+D162*F162+D163*F163+D165*F165+D166*F166+D167*(F167)</f>
        <v>1926238.3800000001</v>
      </c>
      <c r="M174" s="62">
        <f>SUM(K174:L174)</f>
        <v>3575949.66</v>
      </c>
    </row>
    <row r="176" spans="1:13">
      <c r="A176" s="1" t="s">
        <v>291</v>
      </c>
      <c r="C176" s="46" t="s">
        <v>218</v>
      </c>
      <c r="D176" s="77" t="s">
        <v>218</v>
      </c>
      <c r="E176" s="259" t="s">
        <v>233</v>
      </c>
      <c r="F176" s="260"/>
      <c r="G176" s="259" t="s">
        <v>234</v>
      </c>
      <c r="H176" s="260"/>
      <c r="I176" s="261" t="s">
        <v>235</v>
      </c>
      <c r="J176" s="262"/>
    </row>
    <row r="177" spans="1:14" s="23" customFormat="1" ht="45" customHeight="1">
      <c r="A177" s="263" t="s">
        <v>63</v>
      </c>
      <c r="B177" s="264"/>
      <c r="C177" s="20" t="s">
        <v>292</v>
      </c>
      <c r="D177" s="21" t="s">
        <v>237</v>
      </c>
      <c r="E177" s="55" t="s">
        <v>238</v>
      </c>
      <c r="F177" s="56" t="s">
        <v>239</v>
      </c>
      <c r="G177" s="55" t="s">
        <v>238</v>
      </c>
      <c r="H177" s="56" t="s">
        <v>239</v>
      </c>
      <c r="I177" s="55" t="s">
        <v>238</v>
      </c>
      <c r="J177" s="56" t="s">
        <v>239</v>
      </c>
      <c r="K177" s="22" t="s">
        <v>240</v>
      </c>
      <c r="L177" s="183" t="s">
        <v>270</v>
      </c>
      <c r="M177" s="183" t="s">
        <v>242</v>
      </c>
    </row>
    <row r="178" spans="1:14" ht="15" customHeight="1">
      <c r="A178" s="255" t="s">
        <v>271</v>
      </c>
      <c r="B178" s="256"/>
      <c r="C178" s="179">
        <v>2114</v>
      </c>
      <c r="D178" s="196">
        <v>200</v>
      </c>
      <c r="E178" s="175"/>
      <c r="F178" s="176"/>
      <c r="G178" s="189">
        <v>80</v>
      </c>
      <c r="H178" s="136">
        <v>33.2928</v>
      </c>
      <c r="I178" s="189">
        <v>80</v>
      </c>
      <c r="J178" s="136">
        <v>36.414000000000001</v>
      </c>
      <c r="K178" s="24">
        <f t="shared" ref="K178:K192" si="24">(C178-D178)*(E178+F178+G178+H178+I178+J178)</f>
        <v>439658.81519999995</v>
      </c>
      <c r="L178" s="25">
        <f>(E178+F178+G178+H178+I178+J178)*D178</f>
        <v>45941.36</v>
      </c>
      <c r="M178" s="25">
        <f>SUM(K178:L178)</f>
        <v>485600.17519999994</v>
      </c>
      <c r="N178" s="12"/>
    </row>
    <row r="179" spans="1:14" ht="15" customHeight="1">
      <c r="A179" s="255" t="s">
        <v>272</v>
      </c>
      <c r="B179" s="256"/>
      <c r="C179" s="179">
        <v>2295</v>
      </c>
      <c r="D179" s="196">
        <v>100</v>
      </c>
      <c r="E179" s="171"/>
      <c r="F179" s="177"/>
      <c r="G179" s="188">
        <v>111</v>
      </c>
      <c r="H179" s="137">
        <v>48.898800000000001</v>
      </c>
      <c r="I179" s="188">
        <v>111</v>
      </c>
      <c r="J179" s="137">
        <v>47.858400000000003</v>
      </c>
      <c r="K179" s="24">
        <f t="shared" si="24"/>
        <v>699672.054</v>
      </c>
      <c r="L179" s="25">
        <f t="shared" ref="L179:L192" si="25">(E179+F179+G179+H179+I179+J179)*D179</f>
        <v>31875.72</v>
      </c>
      <c r="M179" s="25">
        <f t="shared" ref="M179:M192" si="26">SUM(K179:L179)</f>
        <v>731547.77399999998</v>
      </c>
      <c r="N179" s="12"/>
    </row>
    <row r="180" spans="1:14" ht="15" customHeight="1">
      <c r="A180" s="255" t="s">
        <v>273</v>
      </c>
      <c r="B180" s="256"/>
      <c r="C180" s="179">
        <v>2007</v>
      </c>
      <c r="D180" s="135">
        <v>350</v>
      </c>
      <c r="E180" s="171"/>
      <c r="F180" s="177"/>
      <c r="G180" s="188">
        <v>216</v>
      </c>
      <c r="H180" s="137">
        <v>158.14079999999998</v>
      </c>
      <c r="I180" s="188">
        <v>216</v>
      </c>
      <c r="J180" s="137">
        <v>152.93879999999999</v>
      </c>
      <c r="K180" s="24">
        <f t="shared" si="24"/>
        <v>1231282.8972</v>
      </c>
      <c r="L180" s="25">
        <f t="shared" si="25"/>
        <v>260077.86000000002</v>
      </c>
      <c r="M180" s="25">
        <f t="shared" si="26"/>
        <v>1491360.7572000001</v>
      </c>
      <c r="N180" s="12"/>
    </row>
    <row r="181" spans="1:14" ht="15" customHeight="1">
      <c r="A181" s="255" t="s">
        <v>274</v>
      </c>
      <c r="B181" s="256"/>
      <c r="C181" s="179">
        <v>1759</v>
      </c>
      <c r="D181" s="135">
        <v>600</v>
      </c>
      <c r="E181" s="171"/>
      <c r="F181" s="177"/>
      <c r="G181" s="188">
        <v>236</v>
      </c>
      <c r="H181" s="137">
        <v>314.20080000000002</v>
      </c>
      <c r="I181" s="188">
        <v>236</v>
      </c>
      <c r="J181" s="137">
        <v>315.24119999999999</v>
      </c>
      <c r="K181" s="24">
        <f t="shared" si="24"/>
        <v>1276571.2779999999</v>
      </c>
      <c r="L181" s="25">
        <f t="shared" si="25"/>
        <v>660865.19999999995</v>
      </c>
      <c r="M181" s="25">
        <f t="shared" si="26"/>
        <v>1937436.4779999999</v>
      </c>
      <c r="N181" s="12"/>
    </row>
    <row r="182" spans="1:14" ht="15" customHeight="1">
      <c r="A182" s="255" t="s">
        <v>275</v>
      </c>
      <c r="B182" s="256"/>
      <c r="C182" s="179">
        <v>1938</v>
      </c>
      <c r="D182" s="135">
        <v>1375</v>
      </c>
      <c r="E182" s="171"/>
      <c r="F182" s="177"/>
      <c r="G182" s="188">
        <v>0</v>
      </c>
      <c r="H182" s="137">
        <v>111.3228</v>
      </c>
      <c r="I182" s="188">
        <v>0</v>
      </c>
      <c r="J182" s="137">
        <v>112.36319999999999</v>
      </c>
      <c r="K182" s="24">
        <f t="shared" si="24"/>
        <v>125935.21799999999</v>
      </c>
      <c r="L182" s="25">
        <f t="shared" si="25"/>
        <v>307568.24999999994</v>
      </c>
      <c r="M182" s="25">
        <f t="shared" si="26"/>
        <v>433503.46799999994</v>
      </c>
      <c r="N182" s="12"/>
    </row>
    <row r="183" spans="1:14" ht="15" customHeight="1">
      <c r="A183" s="255" t="s">
        <v>276</v>
      </c>
      <c r="B183" s="256"/>
      <c r="C183" s="179">
        <v>1549</v>
      </c>
      <c r="D183" s="135">
        <v>1549</v>
      </c>
      <c r="E183" s="171"/>
      <c r="F183" s="177"/>
      <c r="G183" s="188">
        <v>0</v>
      </c>
      <c r="H183" s="137">
        <v>99.878399999999999</v>
      </c>
      <c r="I183" s="188">
        <v>0</v>
      </c>
      <c r="J183" s="137">
        <v>107.16120000000001</v>
      </c>
      <c r="K183" s="24">
        <f t="shared" si="24"/>
        <v>0</v>
      </c>
      <c r="L183" s="25">
        <f t="shared" si="25"/>
        <v>320704.34039999999</v>
      </c>
      <c r="M183" s="25">
        <f t="shared" si="26"/>
        <v>320704.34039999999</v>
      </c>
      <c r="N183" s="12"/>
    </row>
    <row r="184" spans="1:14" ht="15" customHeight="1">
      <c r="A184" s="255" t="s">
        <v>277</v>
      </c>
      <c r="B184" s="256"/>
      <c r="C184" s="179">
        <v>999</v>
      </c>
      <c r="D184" s="135">
        <v>999</v>
      </c>
      <c r="E184" s="171"/>
      <c r="F184" s="177"/>
      <c r="G184" s="188">
        <v>0</v>
      </c>
      <c r="H184" s="137">
        <v>161.262</v>
      </c>
      <c r="I184" s="188">
        <v>0</v>
      </c>
      <c r="J184" s="137">
        <v>186.23160000000001</v>
      </c>
      <c r="K184" s="24">
        <f t="shared" si="24"/>
        <v>0</v>
      </c>
      <c r="L184" s="25">
        <f t="shared" si="25"/>
        <v>347146.10639999999</v>
      </c>
      <c r="M184" s="25">
        <f t="shared" si="26"/>
        <v>347146.10639999999</v>
      </c>
      <c r="N184" s="12"/>
    </row>
    <row r="185" spans="1:14" ht="15" customHeight="1">
      <c r="A185" s="255" t="s">
        <v>278</v>
      </c>
      <c r="B185" s="256"/>
      <c r="C185" s="179">
        <v>499</v>
      </c>
      <c r="D185" s="135">
        <v>499</v>
      </c>
      <c r="E185" s="171"/>
      <c r="F185" s="177"/>
      <c r="G185" s="138">
        <v>0</v>
      </c>
      <c r="H185" s="137">
        <v>466.09920000000005</v>
      </c>
      <c r="I185" s="138">
        <v>0</v>
      </c>
      <c r="J185" s="137">
        <v>494.19</v>
      </c>
      <c r="K185" s="24">
        <f t="shared" si="24"/>
        <v>0</v>
      </c>
      <c r="L185" s="25">
        <f t="shared" si="25"/>
        <v>479184.31080000004</v>
      </c>
      <c r="M185" s="25">
        <f t="shared" si="26"/>
        <v>479184.31080000004</v>
      </c>
    </row>
    <row r="186" spans="1:14" ht="15" customHeight="1">
      <c r="A186" s="255" t="s">
        <v>279</v>
      </c>
      <c r="B186" s="256"/>
      <c r="C186" s="179">
        <v>100</v>
      </c>
      <c r="D186" s="135">
        <v>100</v>
      </c>
      <c r="E186" s="188">
        <v>31087</v>
      </c>
      <c r="F186" s="137"/>
      <c r="G186" s="188">
        <v>31087</v>
      </c>
      <c r="H186" s="137"/>
      <c r="I186" s="188">
        <v>31087</v>
      </c>
      <c r="J186" s="137"/>
      <c r="K186" s="24">
        <f t="shared" si="24"/>
        <v>0</v>
      </c>
      <c r="L186" s="25">
        <f t="shared" si="25"/>
        <v>9326100</v>
      </c>
      <c r="M186" s="25">
        <f t="shared" si="26"/>
        <v>9326100</v>
      </c>
    </row>
    <row r="187" spans="1:14" ht="15" customHeight="1">
      <c r="A187" s="255" t="s">
        <v>271</v>
      </c>
      <c r="B187" s="256"/>
      <c r="C187" s="179">
        <v>936</v>
      </c>
      <c r="D187" s="135">
        <v>125</v>
      </c>
      <c r="E187" s="188">
        <v>179</v>
      </c>
      <c r="F187" s="137"/>
      <c r="G187" s="168"/>
      <c r="H187" s="177"/>
      <c r="I187" s="168"/>
      <c r="J187" s="177"/>
      <c r="K187" s="24">
        <f t="shared" si="24"/>
        <v>145169</v>
      </c>
      <c r="L187" s="25">
        <f t="shared" si="25"/>
        <v>22375</v>
      </c>
      <c r="M187" s="25">
        <f t="shared" si="26"/>
        <v>167544</v>
      </c>
    </row>
    <row r="188" spans="1:14" ht="15" customHeight="1">
      <c r="A188" s="255" t="s">
        <v>272</v>
      </c>
      <c r="B188" s="256"/>
      <c r="C188" s="179">
        <v>941</v>
      </c>
      <c r="D188" s="135">
        <v>75</v>
      </c>
      <c r="E188" s="188">
        <v>163</v>
      </c>
      <c r="F188" s="137"/>
      <c r="G188" s="168"/>
      <c r="H188" s="177"/>
      <c r="I188" s="168"/>
      <c r="J188" s="177"/>
      <c r="K188" s="24">
        <f t="shared" si="24"/>
        <v>141158</v>
      </c>
      <c r="L188" s="25">
        <f t="shared" si="25"/>
        <v>12225</v>
      </c>
      <c r="M188" s="25">
        <f t="shared" si="26"/>
        <v>153383</v>
      </c>
    </row>
    <row r="189" spans="1:14" ht="15" customHeight="1">
      <c r="A189" s="255" t="s">
        <v>280</v>
      </c>
      <c r="B189" s="256"/>
      <c r="C189" s="179">
        <v>723</v>
      </c>
      <c r="D189" s="135">
        <v>0</v>
      </c>
      <c r="E189" s="138">
        <v>0</v>
      </c>
      <c r="F189" s="137"/>
      <c r="G189" s="168"/>
      <c r="H189" s="177"/>
      <c r="I189" s="168"/>
      <c r="J189" s="177"/>
      <c r="K189" s="24">
        <f t="shared" si="24"/>
        <v>0</v>
      </c>
      <c r="L189" s="25">
        <f t="shared" si="25"/>
        <v>0</v>
      </c>
      <c r="M189" s="25">
        <f t="shared" si="26"/>
        <v>0</v>
      </c>
    </row>
    <row r="190" spans="1:14" ht="15" customHeight="1">
      <c r="A190" s="255" t="s">
        <v>259</v>
      </c>
      <c r="B190" s="256"/>
      <c r="C190" s="179">
        <v>775</v>
      </c>
      <c r="D190" s="135">
        <v>775</v>
      </c>
      <c r="E190" s="138">
        <v>0</v>
      </c>
      <c r="F190" s="137"/>
      <c r="G190" s="168"/>
      <c r="H190" s="177"/>
      <c r="I190" s="168"/>
      <c r="J190" s="177"/>
      <c r="K190" s="24">
        <f t="shared" si="24"/>
        <v>0</v>
      </c>
      <c r="L190" s="25">
        <f t="shared" si="25"/>
        <v>0</v>
      </c>
      <c r="M190" s="25">
        <f t="shared" si="26"/>
        <v>0</v>
      </c>
    </row>
    <row r="191" spans="1:14" ht="15" customHeight="1">
      <c r="A191" s="255" t="s">
        <v>260</v>
      </c>
      <c r="B191" s="256"/>
      <c r="C191" s="179">
        <v>350</v>
      </c>
      <c r="D191" s="135">
        <v>350</v>
      </c>
      <c r="E191" s="138">
        <v>0</v>
      </c>
      <c r="F191" s="137"/>
      <c r="G191" s="168"/>
      <c r="H191" s="177"/>
      <c r="I191" s="168"/>
      <c r="J191" s="177"/>
      <c r="K191" s="24">
        <f t="shared" si="24"/>
        <v>0</v>
      </c>
      <c r="L191" s="25">
        <f t="shared" si="25"/>
        <v>0</v>
      </c>
      <c r="M191" s="25">
        <f t="shared" si="26"/>
        <v>0</v>
      </c>
    </row>
    <row r="192" spans="1:14" ht="15" customHeight="1">
      <c r="A192" s="257" t="s">
        <v>261</v>
      </c>
      <c r="B192" s="258"/>
      <c r="C192" s="182">
        <v>250</v>
      </c>
      <c r="D192" s="164">
        <v>250</v>
      </c>
      <c r="E192" s="139">
        <f>E157</f>
        <v>0</v>
      </c>
      <c r="F192" s="137">
        <v>0</v>
      </c>
      <c r="G192" s="178">
        <v>0</v>
      </c>
      <c r="H192" s="177">
        <v>0</v>
      </c>
      <c r="I192" s="178">
        <v>0</v>
      </c>
      <c r="J192" s="177">
        <v>0</v>
      </c>
      <c r="K192" s="24">
        <f t="shared" si="24"/>
        <v>0</v>
      </c>
      <c r="L192" s="25">
        <f t="shared" si="25"/>
        <v>0</v>
      </c>
      <c r="M192" s="25">
        <f t="shared" si="26"/>
        <v>0</v>
      </c>
    </row>
    <row r="193" spans="1:14" ht="15" customHeight="1">
      <c r="B193" s="59" t="s">
        <v>262</v>
      </c>
      <c r="C193" s="180"/>
      <c r="D193" s="181"/>
      <c r="E193" s="57">
        <f t="shared" ref="E193:M193" si="27">SUM(E178:E192)</f>
        <v>31429</v>
      </c>
      <c r="F193" s="60">
        <f t="shared" si="27"/>
        <v>0</v>
      </c>
      <c r="G193" s="58">
        <f t="shared" si="27"/>
        <v>31730</v>
      </c>
      <c r="H193" s="60">
        <f t="shared" si="27"/>
        <v>1393.0956000000001</v>
      </c>
      <c r="I193" s="58">
        <f t="shared" si="27"/>
        <v>31730</v>
      </c>
      <c r="J193" s="60">
        <f t="shared" si="27"/>
        <v>1452.3984</v>
      </c>
      <c r="K193" s="66">
        <f t="shared" si="27"/>
        <v>4059447.2623999999</v>
      </c>
      <c r="L193" s="26">
        <f t="shared" si="27"/>
        <v>11814063.147599999</v>
      </c>
      <c r="M193" s="26">
        <f t="shared" si="27"/>
        <v>15873510.41</v>
      </c>
    </row>
    <row r="194" spans="1:14" ht="15" customHeight="1">
      <c r="B194" s="59"/>
      <c r="C194" s="27"/>
      <c r="D194" s="52"/>
      <c r="E194" s="64"/>
      <c r="F194" s="64"/>
      <c r="G194" s="65"/>
      <c r="H194" s="64"/>
      <c r="I194" s="65"/>
      <c r="J194" s="64"/>
    </row>
    <row r="195" spans="1:14" ht="15.75" customHeight="1">
      <c r="B195" s="59"/>
      <c r="C195" s="27"/>
      <c r="D195" s="52"/>
      <c r="E195" s="64"/>
      <c r="F195" s="64"/>
      <c r="G195" s="65"/>
      <c r="H195" s="64"/>
      <c r="I195" s="65"/>
      <c r="J195" s="64"/>
      <c r="K195" s="61" t="s">
        <v>281</v>
      </c>
      <c r="L195" s="195">
        <f>L186*0.25</f>
        <v>2331525</v>
      </c>
    </row>
    <row r="196" spans="1:14" ht="15" customHeight="1">
      <c r="B196" s="59"/>
      <c r="C196" s="27"/>
      <c r="D196" s="52"/>
      <c r="E196" s="64"/>
      <c r="F196" s="64"/>
      <c r="G196" s="65"/>
      <c r="H196" s="64"/>
      <c r="I196" s="65"/>
      <c r="J196" s="64"/>
      <c r="K196" s="61" t="s">
        <v>282</v>
      </c>
      <c r="L196" s="160">
        <f>L193-L195</f>
        <v>9482538.1475999989</v>
      </c>
    </row>
    <row r="197" spans="1:14">
      <c r="A197" s="54" t="s">
        <v>263</v>
      </c>
      <c r="B197" s="71"/>
      <c r="C197" s="70"/>
      <c r="D197" s="54"/>
      <c r="E197" s="72"/>
      <c r="F197" s="54"/>
      <c r="G197" s="72"/>
      <c r="H197" s="31"/>
    </row>
    <row r="198" spans="1:14">
      <c r="A198" s="73" t="s">
        <v>264</v>
      </c>
      <c r="B198" s="73"/>
      <c r="C198" s="74"/>
      <c r="D198" s="73"/>
      <c r="E198" s="73"/>
      <c r="F198" s="73"/>
      <c r="G198" s="73"/>
      <c r="J198" s="61" t="s">
        <v>265</v>
      </c>
      <c r="K198" s="67">
        <f>(C178-D178)*(G178+I178)+(C179-D179)*(G179+I179)+(C180-D180)*(G180+I180)+(C181-D181)*(G181+I181)+(C182-D182)*(G182+I182)+(C187-D187)*E187+(C188-D188)*E188+(C189-D189)*E189</f>
        <v>2342729</v>
      </c>
      <c r="L198" s="30">
        <f>D178*(G178+I178)+D179*(G179+I179)+D180*(G180+I180)+D181*(G181+I181)+D182*(G182+I182)+D183*(G183+I183)+D184*(G184+I184)+D185*(G185+I185)+D186*(G186+I186)+D187*E187+D188*E188+D192*(G192+I192)</f>
        <v>6740600</v>
      </c>
      <c r="M198" s="62">
        <f>SUM(K198:L198)</f>
        <v>9083329</v>
      </c>
    </row>
    <row r="199" spans="1:14">
      <c r="A199" s="75" t="s">
        <v>266</v>
      </c>
      <c r="B199" s="75"/>
      <c r="C199" s="76"/>
      <c r="D199" s="75"/>
      <c r="E199" s="75"/>
      <c r="F199" s="75"/>
      <c r="G199" s="75"/>
      <c r="J199" s="61" t="s">
        <v>267</v>
      </c>
      <c r="K199" s="68">
        <f>(C178-D178)*(H178+J178)+(C179-D179)*(H179+J179)+(C180-D180)*(H180+J180)+(C181-D181)*(H181+J181)+(C182-D182)*(H182+J182)+(C187-D187)*F187+(C188-D188)*F188+(C189-D189)*F189</f>
        <v>1716718.2623999999</v>
      </c>
      <c r="L199" s="30">
        <f>D178*(H178+J178)+D179*(H179+J179)+D180*(H180+J180)+D181*(H181+J181)+D182*(H182+J182)+D183*(H183+J183)+D184*(H184+J184)+D185*(H185+J185)+D186*(H186+J186)+D187*F187+D188*F188+D190*F190+D191*F191+D192*(F192)</f>
        <v>1964763.1475999998</v>
      </c>
      <c r="M199" s="62">
        <f>SUM(K199:L199)</f>
        <v>3681481.4099999997</v>
      </c>
    </row>
    <row r="201" spans="1:14">
      <c r="A201" s="1" t="s">
        <v>293</v>
      </c>
      <c r="C201" s="46" t="s">
        <v>218</v>
      </c>
      <c r="D201" s="77" t="s">
        <v>218</v>
      </c>
      <c r="E201" s="259" t="s">
        <v>233</v>
      </c>
      <c r="F201" s="260"/>
      <c r="G201" s="259" t="s">
        <v>234</v>
      </c>
      <c r="H201" s="260"/>
      <c r="I201" s="261" t="s">
        <v>235</v>
      </c>
      <c r="J201" s="262"/>
    </row>
    <row r="202" spans="1:14" s="23" customFormat="1" ht="45" customHeight="1">
      <c r="A202" s="263" t="s">
        <v>63</v>
      </c>
      <c r="B202" s="264"/>
      <c r="C202" s="20" t="s">
        <v>294</v>
      </c>
      <c r="D202" s="21" t="s">
        <v>237</v>
      </c>
      <c r="E202" s="55" t="s">
        <v>238</v>
      </c>
      <c r="F202" s="56" t="s">
        <v>239</v>
      </c>
      <c r="G202" s="55" t="s">
        <v>238</v>
      </c>
      <c r="H202" s="56" t="s">
        <v>239</v>
      </c>
      <c r="I202" s="55" t="s">
        <v>238</v>
      </c>
      <c r="J202" s="56" t="s">
        <v>239</v>
      </c>
      <c r="K202" s="22" t="s">
        <v>240</v>
      </c>
      <c r="L202" s="183" t="s">
        <v>270</v>
      </c>
      <c r="M202" s="183" t="s">
        <v>242</v>
      </c>
    </row>
    <row r="203" spans="1:14" ht="15" customHeight="1">
      <c r="A203" s="255" t="s">
        <v>271</v>
      </c>
      <c r="B203" s="256"/>
      <c r="C203" s="179">
        <v>2152</v>
      </c>
      <c r="D203" s="196">
        <v>200</v>
      </c>
      <c r="E203" s="175"/>
      <c r="F203" s="176"/>
      <c r="G203" s="189">
        <v>80</v>
      </c>
      <c r="H203" s="136">
        <v>33.958655999999998</v>
      </c>
      <c r="I203" s="189">
        <v>80</v>
      </c>
      <c r="J203" s="136">
        <v>37.14228</v>
      </c>
      <c r="K203" s="24">
        <f t="shared" ref="K203:K217" si="28">(C203-D203)*(E203+F203+G203+H203+I203+J203)</f>
        <v>451109.02707199997</v>
      </c>
      <c r="L203" s="25">
        <f>(E203+F203+G203+H203+I203+J203)*D203</f>
        <v>46220.1872</v>
      </c>
      <c r="M203" s="25">
        <f>SUM(K203:L203)</f>
        <v>497329.21427199995</v>
      </c>
      <c r="N203" s="12"/>
    </row>
    <row r="204" spans="1:14" ht="15" customHeight="1">
      <c r="A204" s="255" t="s">
        <v>272</v>
      </c>
      <c r="B204" s="256"/>
      <c r="C204" s="179">
        <v>2339</v>
      </c>
      <c r="D204" s="196">
        <v>100</v>
      </c>
      <c r="E204" s="171"/>
      <c r="F204" s="177"/>
      <c r="G204" s="188">
        <v>111</v>
      </c>
      <c r="H204" s="137">
        <v>49.876776</v>
      </c>
      <c r="I204" s="188">
        <v>111</v>
      </c>
      <c r="J204" s="137">
        <v>48.815568000000006</v>
      </c>
      <c r="K204" s="24">
        <f t="shared" si="28"/>
        <v>718030.15821599995</v>
      </c>
      <c r="L204" s="25">
        <f t="shared" ref="L204:L217" si="29">(E204+F204+G204+H204+I204+J204)*D204</f>
        <v>32069.234399999998</v>
      </c>
      <c r="M204" s="25">
        <f t="shared" ref="M204:M217" si="30">SUM(K204:L204)</f>
        <v>750099.39261599991</v>
      </c>
      <c r="N204" s="12"/>
    </row>
    <row r="205" spans="1:14" ht="15" customHeight="1">
      <c r="A205" s="255" t="s">
        <v>273</v>
      </c>
      <c r="B205" s="256"/>
      <c r="C205" s="179">
        <v>2040</v>
      </c>
      <c r="D205" s="135">
        <v>350</v>
      </c>
      <c r="E205" s="171"/>
      <c r="F205" s="177"/>
      <c r="G205" s="188">
        <v>216</v>
      </c>
      <c r="H205" s="137">
        <v>161.30361599999998</v>
      </c>
      <c r="I205" s="188">
        <v>216</v>
      </c>
      <c r="J205" s="137">
        <v>155.99757599999998</v>
      </c>
      <c r="K205" s="24">
        <f t="shared" si="28"/>
        <v>1266319.0144799999</v>
      </c>
      <c r="L205" s="25">
        <f t="shared" si="29"/>
        <v>262255.41719999997</v>
      </c>
      <c r="M205" s="25">
        <f t="shared" si="30"/>
        <v>1528574.4316799999</v>
      </c>
      <c r="N205" s="12"/>
    </row>
    <row r="206" spans="1:14" ht="15" customHeight="1">
      <c r="A206" s="255" t="s">
        <v>274</v>
      </c>
      <c r="B206" s="256"/>
      <c r="C206" s="179">
        <v>1782</v>
      </c>
      <c r="D206" s="135">
        <v>600</v>
      </c>
      <c r="E206" s="171"/>
      <c r="F206" s="177"/>
      <c r="G206" s="188">
        <v>236</v>
      </c>
      <c r="H206" s="137">
        <v>320.48481600000002</v>
      </c>
      <c r="I206" s="188">
        <v>236</v>
      </c>
      <c r="J206" s="137">
        <v>321.54602399999999</v>
      </c>
      <c r="K206" s="24">
        <f t="shared" si="28"/>
        <v>1316784.4528799998</v>
      </c>
      <c r="L206" s="25">
        <f t="shared" si="29"/>
        <v>668418.50399999996</v>
      </c>
      <c r="M206" s="25">
        <f t="shared" si="30"/>
        <v>1985202.9568799997</v>
      </c>
      <c r="N206" s="12"/>
    </row>
    <row r="207" spans="1:14" ht="15" customHeight="1">
      <c r="A207" s="255" t="s">
        <v>275</v>
      </c>
      <c r="B207" s="256"/>
      <c r="C207" s="179">
        <v>1949</v>
      </c>
      <c r="D207" s="135">
        <v>1375</v>
      </c>
      <c r="E207" s="171"/>
      <c r="F207" s="177"/>
      <c r="G207" s="188">
        <v>0</v>
      </c>
      <c r="H207" s="137">
        <v>113.549256</v>
      </c>
      <c r="I207" s="188">
        <v>0</v>
      </c>
      <c r="J207" s="137">
        <v>114.61046399999999</v>
      </c>
      <c r="K207" s="24">
        <f t="shared" si="28"/>
        <v>130963.67928</v>
      </c>
      <c r="L207" s="25">
        <f t="shared" si="29"/>
        <v>313719.61499999999</v>
      </c>
      <c r="M207" s="25">
        <f t="shared" si="30"/>
        <v>444683.29427999997</v>
      </c>
      <c r="N207" s="12"/>
    </row>
    <row r="208" spans="1:14" ht="15" customHeight="1">
      <c r="A208" s="255" t="s">
        <v>276</v>
      </c>
      <c r="B208" s="256"/>
      <c r="C208" s="179">
        <v>1549</v>
      </c>
      <c r="D208" s="135">
        <v>1549</v>
      </c>
      <c r="E208" s="171"/>
      <c r="F208" s="177"/>
      <c r="G208" s="188">
        <v>0</v>
      </c>
      <c r="H208" s="137">
        <v>101.875968</v>
      </c>
      <c r="I208" s="188">
        <v>0</v>
      </c>
      <c r="J208" s="137">
        <v>109.30442400000001</v>
      </c>
      <c r="K208" s="24">
        <f t="shared" si="28"/>
        <v>0</v>
      </c>
      <c r="L208" s="25">
        <f t="shared" si="29"/>
        <v>327118.42720800004</v>
      </c>
      <c r="M208" s="25">
        <f t="shared" si="30"/>
        <v>327118.42720800004</v>
      </c>
      <c r="N208" s="12"/>
    </row>
    <row r="209" spans="1:14" ht="15" customHeight="1">
      <c r="A209" s="255" t="s">
        <v>277</v>
      </c>
      <c r="B209" s="256"/>
      <c r="C209" s="179">
        <v>999</v>
      </c>
      <c r="D209" s="135">
        <v>999</v>
      </c>
      <c r="E209" s="171"/>
      <c r="F209" s="177"/>
      <c r="G209" s="188">
        <v>0</v>
      </c>
      <c r="H209" s="137">
        <v>164.48724000000001</v>
      </c>
      <c r="I209" s="188">
        <v>0</v>
      </c>
      <c r="J209" s="137">
        <v>189.95623200000003</v>
      </c>
      <c r="K209" s="24">
        <f t="shared" si="28"/>
        <v>0</v>
      </c>
      <c r="L209" s="25">
        <f t="shared" si="29"/>
        <v>354089.02852800005</v>
      </c>
      <c r="M209" s="25">
        <f t="shared" si="30"/>
        <v>354089.02852800005</v>
      </c>
      <c r="N209" s="12"/>
    </row>
    <row r="210" spans="1:14" ht="15" customHeight="1">
      <c r="A210" s="255" t="s">
        <v>278</v>
      </c>
      <c r="B210" s="256"/>
      <c r="C210" s="179">
        <v>499</v>
      </c>
      <c r="D210" s="135">
        <v>499</v>
      </c>
      <c r="E210" s="171"/>
      <c r="F210" s="177"/>
      <c r="G210" s="138">
        <v>0</v>
      </c>
      <c r="H210" s="137">
        <v>475.42118400000004</v>
      </c>
      <c r="I210" s="138">
        <v>0</v>
      </c>
      <c r="J210" s="137">
        <v>504.07380000000001</v>
      </c>
      <c r="K210" s="24">
        <f t="shared" si="28"/>
        <v>0</v>
      </c>
      <c r="L210" s="25">
        <f t="shared" si="29"/>
        <v>488767.99701600004</v>
      </c>
      <c r="M210" s="25">
        <f t="shared" si="30"/>
        <v>488767.99701600004</v>
      </c>
    </row>
    <row r="211" spans="1:14" ht="15" customHeight="1">
      <c r="A211" s="255" t="s">
        <v>279</v>
      </c>
      <c r="B211" s="256"/>
      <c r="C211" s="179">
        <v>100</v>
      </c>
      <c r="D211" s="135">
        <v>100</v>
      </c>
      <c r="E211" s="188">
        <v>31087</v>
      </c>
      <c r="F211" s="137"/>
      <c r="G211" s="188">
        <v>31087</v>
      </c>
      <c r="H211" s="137"/>
      <c r="I211" s="188">
        <v>31087</v>
      </c>
      <c r="J211" s="137"/>
      <c r="K211" s="24">
        <f t="shared" si="28"/>
        <v>0</v>
      </c>
      <c r="L211" s="25">
        <f t="shared" si="29"/>
        <v>9326100</v>
      </c>
      <c r="M211" s="25">
        <f t="shared" si="30"/>
        <v>9326100</v>
      </c>
    </row>
    <row r="212" spans="1:14" ht="15" customHeight="1">
      <c r="A212" s="255" t="s">
        <v>271</v>
      </c>
      <c r="B212" s="256"/>
      <c r="C212" s="179">
        <v>952</v>
      </c>
      <c r="D212" s="135">
        <v>125</v>
      </c>
      <c r="E212" s="188">
        <v>179</v>
      </c>
      <c r="F212" s="137"/>
      <c r="G212" s="168"/>
      <c r="H212" s="177"/>
      <c r="I212" s="168"/>
      <c r="J212" s="177"/>
      <c r="K212" s="24">
        <f t="shared" si="28"/>
        <v>148033</v>
      </c>
      <c r="L212" s="25">
        <f t="shared" si="29"/>
        <v>22375</v>
      </c>
      <c r="M212" s="25">
        <f t="shared" si="30"/>
        <v>170408</v>
      </c>
    </row>
    <row r="213" spans="1:14" ht="15" customHeight="1">
      <c r="A213" s="255" t="s">
        <v>272</v>
      </c>
      <c r="B213" s="256"/>
      <c r="C213" s="179">
        <v>958</v>
      </c>
      <c r="D213" s="135">
        <v>75</v>
      </c>
      <c r="E213" s="188">
        <v>163</v>
      </c>
      <c r="F213" s="137"/>
      <c r="G213" s="168"/>
      <c r="H213" s="177"/>
      <c r="I213" s="168"/>
      <c r="J213" s="177"/>
      <c r="K213" s="24">
        <f t="shared" si="28"/>
        <v>143929</v>
      </c>
      <c r="L213" s="25">
        <f t="shared" si="29"/>
        <v>12225</v>
      </c>
      <c r="M213" s="25">
        <f t="shared" si="30"/>
        <v>156154</v>
      </c>
    </row>
    <row r="214" spans="1:14" ht="15" customHeight="1">
      <c r="A214" s="255" t="s">
        <v>280</v>
      </c>
      <c r="B214" s="256"/>
      <c r="C214" s="179">
        <v>738</v>
      </c>
      <c r="D214" s="135">
        <v>0</v>
      </c>
      <c r="E214" s="138">
        <v>0</v>
      </c>
      <c r="F214" s="137"/>
      <c r="G214" s="168"/>
      <c r="H214" s="177"/>
      <c r="I214" s="168"/>
      <c r="J214" s="177"/>
      <c r="K214" s="24">
        <f t="shared" si="28"/>
        <v>0</v>
      </c>
      <c r="L214" s="25">
        <f t="shared" si="29"/>
        <v>0</v>
      </c>
      <c r="M214" s="25">
        <f t="shared" si="30"/>
        <v>0</v>
      </c>
    </row>
    <row r="215" spans="1:14" ht="15" customHeight="1">
      <c r="A215" s="255" t="s">
        <v>259</v>
      </c>
      <c r="B215" s="256"/>
      <c r="C215" s="179">
        <v>775</v>
      </c>
      <c r="D215" s="135">
        <v>775</v>
      </c>
      <c r="E215" s="138">
        <v>0</v>
      </c>
      <c r="F215" s="137"/>
      <c r="G215" s="168"/>
      <c r="H215" s="177"/>
      <c r="I215" s="168"/>
      <c r="J215" s="177"/>
      <c r="K215" s="24">
        <f t="shared" si="28"/>
        <v>0</v>
      </c>
      <c r="L215" s="25">
        <f t="shared" si="29"/>
        <v>0</v>
      </c>
      <c r="M215" s="25">
        <f t="shared" si="30"/>
        <v>0</v>
      </c>
    </row>
    <row r="216" spans="1:14" ht="15" customHeight="1">
      <c r="A216" s="255" t="s">
        <v>260</v>
      </c>
      <c r="B216" s="256"/>
      <c r="C216" s="179">
        <v>350</v>
      </c>
      <c r="D216" s="135">
        <v>350</v>
      </c>
      <c r="E216" s="138">
        <v>0</v>
      </c>
      <c r="F216" s="137"/>
      <c r="G216" s="168"/>
      <c r="H216" s="177"/>
      <c r="I216" s="168"/>
      <c r="J216" s="177"/>
      <c r="K216" s="24">
        <f t="shared" si="28"/>
        <v>0</v>
      </c>
      <c r="L216" s="25">
        <f t="shared" si="29"/>
        <v>0</v>
      </c>
      <c r="M216" s="25">
        <f t="shared" si="30"/>
        <v>0</v>
      </c>
    </row>
    <row r="217" spans="1:14" ht="15" customHeight="1">
      <c r="A217" s="257" t="s">
        <v>261</v>
      </c>
      <c r="B217" s="258"/>
      <c r="C217" s="182">
        <v>250</v>
      </c>
      <c r="D217" s="164">
        <v>250</v>
      </c>
      <c r="E217" s="139">
        <f>E182</f>
        <v>0</v>
      </c>
      <c r="F217" s="137">
        <v>0</v>
      </c>
      <c r="G217" s="178">
        <v>0</v>
      </c>
      <c r="H217" s="177">
        <v>0</v>
      </c>
      <c r="I217" s="178">
        <v>0</v>
      </c>
      <c r="J217" s="177">
        <v>0</v>
      </c>
      <c r="K217" s="24">
        <f t="shared" si="28"/>
        <v>0</v>
      </c>
      <c r="L217" s="25">
        <f t="shared" si="29"/>
        <v>0</v>
      </c>
      <c r="M217" s="25">
        <f t="shared" si="30"/>
        <v>0</v>
      </c>
    </row>
    <row r="218" spans="1:14" ht="15" customHeight="1">
      <c r="B218" s="59" t="s">
        <v>262</v>
      </c>
      <c r="C218" s="180"/>
      <c r="D218" s="181"/>
      <c r="E218" s="57">
        <f t="shared" ref="E218:M218" si="31">SUM(E203:E217)</f>
        <v>31429</v>
      </c>
      <c r="F218" s="60">
        <f t="shared" si="31"/>
        <v>0</v>
      </c>
      <c r="G218" s="58">
        <f t="shared" si="31"/>
        <v>31730</v>
      </c>
      <c r="H218" s="60">
        <f t="shared" si="31"/>
        <v>1420.957512</v>
      </c>
      <c r="I218" s="58">
        <f t="shared" si="31"/>
        <v>31730</v>
      </c>
      <c r="J218" s="60">
        <f t="shared" si="31"/>
        <v>1481.4463679999999</v>
      </c>
      <c r="K218" s="66">
        <f t="shared" si="31"/>
        <v>4175168.3319279994</v>
      </c>
      <c r="L218" s="26">
        <f t="shared" si="31"/>
        <v>11853358.410552001</v>
      </c>
      <c r="M218" s="26">
        <f t="shared" si="31"/>
        <v>16028526.742479999</v>
      </c>
    </row>
    <row r="219" spans="1:14" ht="15" customHeight="1">
      <c r="B219" s="59"/>
      <c r="C219" s="27"/>
      <c r="D219" s="52"/>
      <c r="E219" s="64"/>
      <c r="F219" s="64"/>
      <c r="G219" s="65"/>
      <c r="H219" s="64"/>
      <c r="I219" s="65"/>
      <c r="J219" s="64"/>
    </row>
    <row r="220" spans="1:14" ht="15" customHeight="1">
      <c r="B220" s="59"/>
      <c r="C220" s="27"/>
      <c r="D220" s="52"/>
      <c r="E220" s="64"/>
      <c r="F220" s="64"/>
      <c r="G220" s="65"/>
      <c r="H220" s="64"/>
      <c r="I220" s="65"/>
      <c r="J220" s="64"/>
      <c r="K220" s="61" t="s">
        <v>281</v>
      </c>
      <c r="L220" s="195">
        <f>L211*0.25</f>
        <v>2331525</v>
      </c>
    </row>
    <row r="221" spans="1:14" ht="15" customHeight="1">
      <c r="B221" s="59"/>
      <c r="C221" s="27"/>
      <c r="D221" s="52"/>
      <c r="E221" s="64"/>
      <c r="F221" s="64"/>
      <c r="G221" s="65"/>
      <c r="H221" s="64"/>
      <c r="I221" s="65"/>
      <c r="J221" s="64"/>
      <c r="K221" s="61" t="s">
        <v>282</v>
      </c>
      <c r="L221" s="160">
        <f>L218-L220</f>
        <v>9521833.4105520006</v>
      </c>
    </row>
    <row r="222" spans="1:14">
      <c r="A222" s="54" t="s">
        <v>263</v>
      </c>
      <c r="B222" s="71"/>
      <c r="C222" s="70"/>
      <c r="D222" s="54"/>
      <c r="E222" s="72"/>
      <c r="F222" s="54"/>
      <c r="G222" s="72"/>
      <c r="H222" s="31"/>
    </row>
    <row r="223" spans="1:14">
      <c r="A223" s="73" t="s">
        <v>264</v>
      </c>
      <c r="B223" s="73"/>
      <c r="C223" s="74"/>
      <c r="D223" s="73"/>
      <c r="E223" s="73"/>
      <c r="F223" s="73"/>
      <c r="G223" s="73"/>
      <c r="J223" s="61" t="s">
        <v>265</v>
      </c>
      <c r="K223" s="67">
        <f>(C203-D203)*(G203+I203)+(C204-D204)*(G204+I204)+(C205-D205)*(G205+I205)+(C206-D206)*(G206+I206)+(C207-D207)*(G207+I207)+(C212-D212)*E212+(C213-D213)*E213+(C214-D214)*E214</f>
        <v>2389324</v>
      </c>
      <c r="L223" s="30">
        <f>D203*(G203+I203)+D204*(G204+I204)+D205*(G205+I205)+D206*(G206+I206)+D207*(G207+I207)+D208*(G208+I208)+D209*(G209+I209)+D210*(G210+I210)+D211*(G211+I211)+D212*E212+D213*E213+D217*(G217+I217)</f>
        <v>6740600</v>
      </c>
      <c r="M223" s="62">
        <f>SUM(K223:L223)</f>
        <v>9129924</v>
      </c>
    </row>
    <row r="224" spans="1:14">
      <c r="A224" s="75" t="s">
        <v>266</v>
      </c>
      <c r="B224" s="75"/>
      <c r="C224" s="76"/>
      <c r="D224" s="75"/>
      <c r="E224" s="75"/>
      <c r="F224" s="75"/>
      <c r="G224" s="75"/>
      <c r="J224" s="61" t="s">
        <v>267</v>
      </c>
      <c r="K224" s="68">
        <f>(C203-D203)*(H203+J203)+(C204-D204)*(H204+J204)+(C205-D205)*(H205+J205)+(C206-D206)*(H206+J206)+(C207-D207)*(H207+J207)+(C212-D212)*F212+(C213-D213)*F213+(C214-D214)*F214</f>
        <v>1785844.3319279999</v>
      </c>
      <c r="L224" s="30">
        <f>D203*(H203+J203)+D204*(H204+J204)+D205*(H205+J205)+D206*(H206+J206)+D207*(H207+J207)+D208*(H208+J208)+D209*(H209+J209)+D210*(H210+J210)+D211*(H211+J211)+D212*F212+D213*F213+D215*F215+D216*F216+D217*(F217)</f>
        <v>2004058.4105520002</v>
      </c>
      <c r="M224" s="62">
        <f>SUM(K224:L224)</f>
        <v>3789902.74248</v>
      </c>
    </row>
    <row r="226" spans="1:14">
      <c r="A226" s="1" t="s">
        <v>295</v>
      </c>
      <c r="C226" s="46" t="s">
        <v>218</v>
      </c>
      <c r="D226" s="77" t="s">
        <v>218</v>
      </c>
      <c r="E226" s="259" t="s">
        <v>233</v>
      </c>
      <c r="F226" s="260"/>
      <c r="G226" s="259" t="s">
        <v>234</v>
      </c>
      <c r="H226" s="260"/>
      <c r="I226" s="261" t="s">
        <v>235</v>
      </c>
      <c r="J226" s="262"/>
    </row>
    <row r="227" spans="1:14" s="23" customFormat="1" ht="45" customHeight="1">
      <c r="A227" s="263" t="s">
        <v>63</v>
      </c>
      <c r="B227" s="264"/>
      <c r="C227" s="20" t="s">
        <v>296</v>
      </c>
      <c r="D227" s="21" t="s">
        <v>237</v>
      </c>
      <c r="E227" s="55" t="s">
        <v>238</v>
      </c>
      <c r="F227" s="56" t="s">
        <v>239</v>
      </c>
      <c r="G227" s="55" t="s">
        <v>238</v>
      </c>
      <c r="H227" s="56" t="s">
        <v>239</v>
      </c>
      <c r="I227" s="55" t="s">
        <v>238</v>
      </c>
      <c r="J227" s="56" t="s">
        <v>239</v>
      </c>
      <c r="K227" s="22" t="s">
        <v>240</v>
      </c>
      <c r="L227" s="183" t="s">
        <v>270</v>
      </c>
      <c r="M227" s="183" t="s">
        <v>242</v>
      </c>
    </row>
    <row r="228" spans="1:14" ht="15" customHeight="1">
      <c r="A228" s="255" t="s">
        <v>271</v>
      </c>
      <c r="B228" s="256"/>
      <c r="C228" s="179">
        <v>2191</v>
      </c>
      <c r="D228" s="196">
        <v>200</v>
      </c>
      <c r="E228" s="175"/>
      <c r="F228" s="176"/>
      <c r="G228" s="189">
        <v>80</v>
      </c>
      <c r="H228" s="136">
        <v>34.637829119999999</v>
      </c>
      <c r="I228" s="189">
        <v>80</v>
      </c>
      <c r="J228" s="136">
        <v>37.885125600000002</v>
      </c>
      <c r="K228" s="24">
        <f t="shared" ref="K228:K242" si="32">(C228-D228)*(E228+F228+G228+H228+I228+J228)</f>
        <v>462953.20284752001</v>
      </c>
      <c r="L228" s="25">
        <f>(E228+F228+G228+H228+I228+J228)*D228</f>
        <v>46504.590944000003</v>
      </c>
      <c r="M228" s="25">
        <f>SUM(K228:L228)</f>
        <v>509457.79379152</v>
      </c>
      <c r="N228" s="12"/>
    </row>
    <row r="229" spans="1:14" ht="15" customHeight="1">
      <c r="A229" s="255" t="s">
        <v>272</v>
      </c>
      <c r="B229" s="256"/>
      <c r="C229" s="179">
        <v>2383</v>
      </c>
      <c r="D229" s="196">
        <v>100</v>
      </c>
      <c r="E229" s="171"/>
      <c r="F229" s="177"/>
      <c r="G229" s="188">
        <v>111</v>
      </c>
      <c r="H229" s="137">
        <v>50.874311519999999</v>
      </c>
      <c r="I229" s="188">
        <v>111</v>
      </c>
      <c r="J229" s="137">
        <v>49.79187936000001</v>
      </c>
      <c r="K229" s="24">
        <f t="shared" si="32"/>
        <v>736646.91377903998</v>
      </c>
      <c r="L229" s="25">
        <f t="shared" ref="L229:L242" si="33">(E229+F229+G229+H229+I229+J229)*D229</f>
        <v>32266.619087999999</v>
      </c>
      <c r="M229" s="25">
        <f t="shared" ref="M229:M242" si="34">SUM(K229:L229)</f>
        <v>768913.53286704002</v>
      </c>
    </row>
    <row r="230" spans="1:14" ht="15" customHeight="1">
      <c r="A230" s="255" t="s">
        <v>273</v>
      </c>
      <c r="B230" s="256"/>
      <c r="C230" s="179">
        <v>2073</v>
      </c>
      <c r="D230" s="135">
        <v>350</v>
      </c>
      <c r="E230" s="171"/>
      <c r="F230" s="177"/>
      <c r="G230" s="188">
        <v>216</v>
      </c>
      <c r="H230" s="137">
        <v>164.52968831999999</v>
      </c>
      <c r="I230" s="188">
        <v>216</v>
      </c>
      <c r="J230" s="137">
        <v>159.11752751999998</v>
      </c>
      <c r="K230" s="24">
        <f t="shared" si="32"/>
        <v>1301980.15289232</v>
      </c>
      <c r="L230" s="25">
        <f t="shared" si="33"/>
        <v>264476.52554399997</v>
      </c>
      <c r="M230" s="25">
        <f t="shared" si="34"/>
        <v>1566456.6784363198</v>
      </c>
    </row>
    <row r="231" spans="1:14" ht="15" customHeight="1">
      <c r="A231" s="255" t="s">
        <v>274</v>
      </c>
      <c r="B231" s="256"/>
      <c r="C231" s="179">
        <v>1806</v>
      </c>
      <c r="D231" s="135">
        <v>600</v>
      </c>
      <c r="E231" s="171"/>
      <c r="F231" s="177"/>
      <c r="G231" s="188">
        <v>236</v>
      </c>
      <c r="H231" s="137">
        <v>326.89451232000005</v>
      </c>
      <c r="I231" s="188">
        <v>236</v>
      </c>
      <c r="J231" s="137">
        <v>327.97694447999999</v>
      </c>
      <c r="K231" s="24">
        <f t="shared" si="32"/>
        <v>1359006.9769008001</v>
      </c>
      <c r="L231" s="25">
        <f t="shared" si="33"/>
        <v>676122.87407999998</v>
      </c>
      <c r="M231" s="25">
        <f t="shared" si="34"/>
        <v>2035129.8509808001</v>
      </c>
    </row>
    <row r="232" spans="1:14" ht="15" customHeight="1">
      <c r="A232" s="255" t="s">
        <v>275</v>
      </c>
      <c r="B232" s="256"/>
      <c r="C232" s="179">
        <v>1961</v>
      </c>
      <c r="D232" s="135">
        <v>1375</v>
      </c>
      <c r="E232" s="171"/>
      <c r="F232" s="177"/>
      <c r="G232" s="188">
        <v>0</v>
      </c>
      <c r="H232" s="137">
        <v>115.82024112000001</v>
      </c>
      <c r="I232" s="188">
        <v>0</v>
      </c>
      <c r="J232" s="137">
        <v>116.90267328</v>
      </c>
      <c r="K232" s="24">
        <f t="shared" si="32"/>
        <v>136375.62783840002</v>
      </c>
      <c r="L232" s="25">
        <f t="shared" si="33"/>
        <v>319994.0073</v>
      </c>
      <c r="M232" s="25">
        <f t="shared" si="34"/>
        <v>456369.63513840002</v>
      </c>
    </row>
    <row r="233" spans="1:14" ht="15" customHeight="1">
      <c r="A233" s="255" t="s">
        <v>276</v>
      </c>
      <c r="B233" s="256"/>
      <c r="C233" s="179">
        <v>1549</v>
      </c>
      <c r="D233" s="135">
        <v>1549</v>
      </c>
      <c r="E233" s="171"/>
      <c r="F233" s="177"/>
      <c r="G233" s="188">
        <v>0</v>
      </c>
      <c r="H233" s="137">
        <v>103.91348736</v>
      </c>
      <c r="I233" s="188">
        <v>0</v>
      </c>
      <c r="J233" s="137">
        <v>111.49051248000001</v>
      </c>
      <c r="K233" s="24">
        <f t="shared" si="32"/>
        <v>0</v>
      </c>
      <c r="L233" s="25">
        <f t="shared" si="33"/>
        <v>333660.79575216002</v>
      </c>
      <c r="M233" s="25">
        <f t="shared" si="34"/>
        <v>333660.79575216002</v>
      </c>
    </row>
    <row r="234" spans="1:14" ht="15" customHeight="1">
      <c r="A234" s="255" t="s">
        <v>277</v>
      </c>
      <c r="B234" s="256"/>
      <c r="C234" s="179">
        <v>999</v>
      </c>
      <c r="D234" s="135">
        <v>999</v>
      </c>
      <c r="E234" s="171"/>
      <c r="F234" s="177"/>
      <c r="G234" s="188">
        <v>0</v>
      </c>
      <c r="H234" s="137">
        <v>167.77698480000001</v>
      </c>
      <c r="I234" s="188">
        <v>0</v>
      </c>
      <c r="J234" s="137">
        <v>193.75535664000003</v>
      </c>
      <c r="K234" s="24">
        <f t="shared" si="32"/>
        <v>0</v>
      </c>
      <c r="L234" s="25">
        <f t="shared" si="33"/>
        <v>361170.80909856001</v>
      </c>
      <c r="M234" s="25">
        <f t="shared" si="34"/>
        <v>361170.80909856001</v>
      </c>
    </row>
    <row r="235" spans="1:14" ht="15" customHeight="1">
      <c r="A235" s="255" t="s">
        <v>278</v>
      </c>
      <c r="B235" s="256"/>
      <c r="C235" s="179">
        <v>499</v>
      </c>
      <c r="D235" s="135">
        <v>499</v>
      </c>
      <c r="E235" s="171"/>
      <c r="F235" s="177"/>
      <c r="G235" s="138">
        <v>0</v>
      </c>
      <c r="H235" s="137">
        <v>484.92960768000006</v>
      </c>
      <c r="I235" s="138">
        <v>0</v>
      </c>
      <c r="J235" s="137">
        <v>514.15527599999996</v>
      </c>
      <c r="K235" s="24">
        <f t="shared" si="32"/>
        <v>0</v>
      </c>
      <c r="L235" s="25">
        <f t="shared" si="33"/>
        <v>498543.35695632006</v>
      </c>
      <c r="M235" s="25">
        <f t="shared" si="34"/>
        <v>498543.35695632006</v>
      </c>
    </row>
    <row r="236" spans="1:14" ht="15" customHeight="1">
      <c r="A236" s="255" t="s">
        <v>279</v>
      </c>
      <c r="B236" s="256"/>
      <c r="C236" s="179">
        <v>100</v>
      </c>
      <c r="D236" s="135">
        <v>100</v>
      </c>
      <c r="E236" s="188">
        <v>31087</v>
      </c>
      <c r="F236" s="137"/>
      <c r="G236" s="188">
        <v>31087</v>
      </c>
      <c r="H236" s="137"/>
      <c r="I236" s="188">
        <v>31087</v>
      </c>
      <c r="J236" s="137"/>
      <c r="K236" s="24">
        <f t="shared" si="32"/>
        <v>0</v>
      </c>
      <c r="L236" s="25">
        <f t="shared" si="33"/>
        <v>9326100</v>
      </c>
      <c r="M236" s="25">
        <f t="shared" si="34"/>
        <v>9326100</v>
      </c>
    </row>
    <row r="237" spans="1:14" ht="15" customHeight="1">
      <c r="A237" s="255" t="s">
        <v>271</v>
      </c>
      <c r="B237" s="256"/>
      <c r="C237" s="179">
        <v>969</v>
      </c>
      <c r="D237" s="135">
        <v>125</v>
      </c>
      <c r="E237" s="188">
        <v>179</v>
      </c>
      <c r="F237" s="137"/>
      <c r="G237" s="168"/>
      <c r="H237" s="177"/>
      <c r="I237" s="168"/>
      <c r="J237" s="177"/>
      <c r="K237" s="24">
        <f t="shared" si="32"/>
        <v>151076</v>
      </c>
      <c r="L237" s="25">
        <f t="shared" si="33"/>
        <v>22375</v>
      </c>
      <c r="M237" s="25">
        <f t="shared" si="34"/>
        <v>173451</v>
      </c>
    </row>
    <row r="238" spans="1:14" ht="15" customHeight="1">
      <c r="A238" s="255" t="s">
        <v>272</v>
      </c>
      <c r="B238" s="256"/>
      <c r="C238" s="179">
        <v>976</v>
      </c>
      <c r="D238" s="135">
        <v>75</v>
      </c>
      <c r="E238" s="188">
        <v>163</v>
      </c>
      <c r="F238" s="137"/>
      <c r="G238" s="168"/>
      <c r="H238" s="177"/>
      <c r="I238" s="168"/>
      <c r="J238" s="177"/>
      <c r="K238" s="24">
        <f t="shared" si="32"/>
        <v>146863</v>
      </c>
      <c r="L238" s="25">
        <f t="shared" si="33"/>
        <v>12225</v>
      </c>
      <c r="M238" s="25">
        <f t="shared" si="34"/>
        <v>159088</v>
      </c>
    </row>
    <row r="239" spans="1:14" ht="15" customHeight="1">
      <c r="A239" s="255" t="s">
        <v>280</v>
      </c>
      <c r="B239" s="256"/>
      <c r="C239" s="179">
        <v>753</v>
      </c>
      <c r="D239" s="135">
        <v>0</v>
      </c>
      <c r="E239" s="138">
        <v>0</v>
      </c>
      <c r="F239" s="137"/>
      <c r="G239" s="168"/>
      <c r="H239" s="177"/>
      <c r="I239" s="168"/>
      <c r="J239" s="177"/>
      <c r="K239" s="24">
        <f t="shared" si="32"/>
        <v>0</v>
      </c>
      <c r="L239" s="25">
        <f t="shared" si="33"/>
        <v>0</v>
      </c>
      <c r="M239" s="25">
        <f t="shared" si="34"/>
        <v>0</v>
      </c>
    </row>
    <row r="240" spans="1:14" ht="15" customHeight="1">
      <c r="A240" s="255" t="s">
        <v>259</v>
      </c>
      <c r="B240" s="256"/>
      <c r="C240" s="179">
        <v>775</v>
      </c>
      <c r="D240" s="135">
        <v>775</v>
      </c>
      <c r="E240" s="138">
        <v>0</v>
      </c>
      <c r="F240" s="137"/>
      <c r="G240" s="168"/>
      <c r="H240" s="177"/>
      <c r="I240" s="168"/>
      <c r="J240" s="177"/>
      <c r="K240" s="24">
        <f t="shared" si="32"/>
        <v>0</v>
      </c>
      <c r="L240" s="25">
        <f t="shared" si="33"/>
        <v>0</v>
      </c>
      <c r="M240" s="25">
        <f t="shared" si="34"/>
        <v>0</v>
      </c>
    </row>
    <row r="241" spans="1:14" ht="15" customHeight="1">
      <c r="A241" s="255" t="s">
        <v>260</v>
      </c>
      <c r="B241" s="256"/>
      <c r="C241" s="179">
        <v>350</v>
      </c>
      <c r="D241" s="135">
        <v>350</v>
      </c>
      <c r="E241" s="138">
        <v>0</v>
      </c>
      <c r="F241" s="137"/>
      <c r="G241" s="168"/>
      <c r="H241" s="177"/>
      <c r="I241" s="168"/>
      <c r="J241" s="177"/>
      <c r="K241" s="24">
        <f t="shared" si="32"/>
        <v>0</v>
      </c>
      <c r="L241" s="25">
        <f t="shared" si="33"/>
        <v>0</v>
      </c>
      <c r="M241" s="25">
        <f t="shared" si="34"/>
        <v>0</v>
      </c>
    </row>
    <row r="242" spans="1:14" ht="15" customHeight="1">
      <c r="A242" s="257" t="s">
        <v>261</v>
      </c>
      <c r="B242" s="258"/>
      <c r="C242" s="182">
        <v>250</v>
      </c>
      <c r="D242" s="164">
        <v>250</v>
      </c>
      <c r="E242" s="139">
        <f>E207</f>
        <v>0</v>
      </c>
      <c r="F242" s="137">
        <v>0</v>
      </c>
      <c r="G242" s="178">
        <v>0</v>
      </c>
      <c r="H242" s="177">
        <v>0</v>
      </c>
      <c r="I242" s="178">
        <v>0</v>
      </c>
      <c r="J242" s="177">
        <v>0</v>
      </c>
      <c r="K242" s="24">
        <f t="shared" si="32"/>
        <v>0</v>
      </c>
      <c r="L242" s="25">
        <f t="shared" si="33"/>
        <v>0</v>
      </c>
      <c r="M242" s="25">
        <f t="shared" si="34"/>
        <v>0</v>
      </c>
    </row>
    <row r="243" spans="1:14" ht="15" customHeight="1">
      <c r="B243" s="59" t="s">
        <v>262</v>
      </c>
      <c r="C243" s="180"/>
      <c r="D243" s="181"/>
      <c r="E243" s="57">
        <f t="shared" ref="E243:M243" si="35">SUM(E228:E242)</f>
        <v>31429</v>
      </c>
      <c r="F243" s="60">
        <f t="shared" si="35"/>
        <v>0</v>
      </c>
      <c r="G243" s="58">
        <f t="shared" si="35"/>
        <v>31730</v>
      </c>
      <c r="H243" s="60">
        <f t="shared" si="35"/>
        <v>1449.3766622400001</v>
      </c>
      <c r="I243" s="58">
        <f t="shared" si="35"/>
        <v>31730</v>
      </c>
      <c r="J243" s="60">
        <f t="shared" si="35"/>
        <v>1511.0752953599999</v>
      </c>
      <c r="K243" s="66">
        <f t="shared" si="35"/>
        <v>4294901.8742580805</v>
      </c>
      <c r="L243" s="26">
        <f t="shared" si="35"/>
        <v>11893439.57876304</v>
      </c>
      <c r="M243" s="26">
        <f t="shared" si="35"/>
        <v>16188341.45302112</v>
      </c>
    </row>
    <row r="244" spans="1:14" ht="15.75" customHeight="1">
      <c r="B244" s="59"/>
      <c r="C244" s="27"/>
      <c r="D244" s="52"/>
      <c r="E244" s="64"/>
      <c r="F244" s="64"/>
      <c r="G244" s="65"/>
      <c r="H244" s="64"/>
      <c r="I244" s="65"/>
      <c r="J244" s="64"/>
    </row>
    <row r="245" spans="1:14" ht="15.75" customHeight="1">
      <c r="B245" s="59"/>
      <c r="C245" s="27"/>
      <c r="D245" s="52"/>
      <c r="E245" s="64"/>
      <c r="F245" s="64"/>
      <c r="G245" s="65"/>
      <c r="H245" s="64"/>
      <c r="I245" s="65"/>
      <c r="J245" s="64"/>
      <c r="K245" s="61" t="s">
        <v>281</v>
      </c>
      <c r="L245" s="195">
        <f>L236*0.25</f>
        <v>2331525</v>
      </c>
    </row>
    <row r="246" spans="1:14" ht="15" customHeight="1">
      <c r="B246" s="59"/>
      <c r="C246" s="27"/>
      <c r="D246" s="52"/>
      <c r="E246" s="64"/>
      <c r="F246" s="64"/>
      <c r="G246" s="65"/>
      <c r="H246" s="64"/>
      <c r="I246" s="65"/>
      <c r="J246" s="64"/>
      <c r="K246" s="61" t="s">
        <v>282</v>
      </c>
      <c r="L246" s="160">
        <f>L243-L245</f>
        <v>9561914.5787630398</v>
      </c>
    </row>
    <row r="247" spans="1:14">
      <c r="A247" s="54" t="s">
        <v>263</v>
      </c>
      <c r="B247" s="71"/>
      <c r="C247" s="70"/>
      <c r="D247" s="54"/>
      <c r="E247" s="72"/>
      <c r="F247" s="54"/>
      <c r="G247" s="72"/>
      <c r="H247" s="31"/>
    </row>
    <row r="248" spans="1:14">
      <c r="A248" s="73" t="s">
        <v>264</v>
      </c>
      <c r="B248" s="73"/>
      <c r="C248" s="74"/>
      <c r="D248" s="73"/>
      <c r="E248" s="73"/>
      <c r="F248" s="73"/>
      <c r="G248" s="73"/>
      <c r="J248" s="61" t="s">
        <v>265</v>
      </c>
      <c r="K248" s="67">
        <f>(C228-D228)*(G228+I228)+(C229-D229)*(G229+I229)+(C230-D230)*(G230+I230)+(C231-D231)*(G231+I231)+(C232-D232)*(G232+I232)+(C237-D237)*E237+(C238-D238)*E238+(C239-D239)*E239</f>
        <v>2436893</v>
      </c>
      <c r="L248" s="30">
        <f>D228*(G228+I228)+D229*(G229+I229)+D230*(G230+I230)+D231*(G231+I231)+D232*(G232+I232)+D233*(G233+I233)+D234*(G234+I234)+D235*(G235+I235)+D236*(G236+I236)+D237*E237+D238*E238+D242*(G242+I242)</f>
        <v>6740600</v>
      </c>
      <c r="M248" s="62">
        <f>SUM(K248:L248)</f>
        <v>9177493</v>
      </c>
    </row>
    <row r="249" spans="1:14">
      <c r="A249" s="75" t="s">
        <v>266</v>
      </c>
      <c r="B249" s="75"/>
      <c r="C249" s="76"/>
      <c r="D249" s="75"/>
      <c r="E249" s="75"/>
      <c r="F249" s="75"/>
      <c r="G249" s="75"/>
      <c r="J249" s="61" t="s">
        <v>267</v>
      </c>
      <c r="K249" s="68">
        <f>(C228-D228)*(H228+J228)+(C229-D229)*(H229+J229)+(C230-D230)*(H230+J230)+(C231-D231)*(H231+J231)+(C232-D232)*(H232+J232)+(C237-D237)*F237+(C238-D238)*F238+(C239-D239)*F239</f>
        <v>1858008.8742580798</v>
      </c>
      <c r="L249" s="30">
        <f>D228*(H228+J228)+D229*(H229+J229)+D230*(H230+J230)+D231*(H231+J231)+D232*(H232+J232)+D233*(H233+J233)+D234*(H234+J234)+D235*(H235+J235)+D236*(H236+J236)+D237*F237+D238*F238+D240*F240+D241*F241+D242*(F242)</f>
        <v>2044139.57876304</v>
      </c>
      <c r="M249" s="62">
        <f>SUM(K249:L249)</f>
        <v>3902148.4530211198</v>
      </c>
    </row>
    <row r="251" spans="1:14">
      <c r="A251" s="1" t="s">
        <v>297</v>
      </c>
      <c r="C251" s="46" t="s">
        <v>218</v>
      </c>
      <c r="D251" s="77" t="s">
        <v>218</v>
      </c>
      <c r="E251" s="259" t="s">
        <v>233</v>
      </c>
      <c r="F251" s="260"/>
      <c r="G251" s="259" t="s">
        <v>234</v>
      </c>
      <c r="H251" s="260"/>
      <c r="I251" s="261" t="s">
        <v>235</v>
      </c>
      <c r="J251" s="262"/>
    </row>
    <row r="252" spans="1:14" s="23" customFormat="1" ht="45" customHeight="1">
      <c r="A252" s="263" t="s">
        <v>63</v>
      </c>
      <c r="B252" s="264"/>
      <c r="C252" s="20" t="s">
        <v>298</v>
      </c>
      <c r="D252" s="21" t="s">
        <v>237</v>
      </c>
      <c r="E252" s="55" t="s">
        <v>238</v>
      </c>
      <c r="F252" s="56" t="s">
        <v>239</v>
      </c>
      <c r="G252" s="55" t="s">
        <v>238</v>
      </c>
      <c r="H252" s="56" t="s">
        <v>239</v>
      </c>
      <c r="I252" s="55" t="s">
        <v>238</v>
      </c>
      <c r="J252" s="56" t="s">
        <v>239</v>
      </c>
      <c r="K252" s="22" t="s">
        <v>240</v>
      </c>
      <c r="L252" s="183" t="s">
        <v>270</v>
      </c>
      <c r="M252" s="183" t="s">
        <v>242</v>
      </c>
    </row>
    <row r="253" spans="1:14" ht="15" customHeight="1">
      <c r="A253" s="255" t="s">
        <v>271</v>
      </c>
      <c r="B253" s="256"/>
      <c r="C253" s="179">
        <v>2231</v>
      </c>
      <c r="D253" s="196">
        <v>200</v>
      </c>
      <c r="E253" s="175"/>
      <c r="F253" s="176"/>
      <c r="G253" s="189">
        <v>80</v>
      </c>
      <c r="H253" s="136">
        <v>35.330585702400001</v>
      </c>
      <c r="I253" s="189">
        <v>80</v>
      </c>
      <c r="J253" s="136">
        <v>38.642828112000004</v>
      </c>
      <c r="K253" s="24">
        <f t="shared" ref="K253:K267" si="36">(C253-D253)*(E253+F253+G253+H253+I253+J253)</f>
        <v>475200.00345704646</v>
      </c>
      <c r="L253" s="25">
        <f>(E253+F253+G253+H253+I253+J253)*D253</f>
        <v>46794.682762880009</v>
      </c>
      <c r="M253" s="25">
        <f>SUM(K253:L253)</f>
        <v>521994.68621992646</v>
      </c>
      <c r="N253" s="12"/>
    </row>
    <row r="254" spans="1:14" ht="15" customHeight="1">
      <c r="A254" s="255" t="s">
        <v>272</v>
      </c>
      <c r="B254" s="256"/>
      <c r="C254" s="179">
        <v>2429</v>
      </c>
      <c r="D254" s="196">
        <v>100</v>
      </c>
      <c r="E254" s="171"/>
      <c r="F254" s="177"/>
      <c r="G254" s="188">
        <v>111</v>
      </c>
      <c r="H254" s="137">
        <v>51.891797750400002</v>
      </c>
      <c r="I254" s="188">
        <v>111</v>
      </c>
      <c r="J254" s="137">
        <v>50.787716947200011</v>
      </c>
      <c r="K254" s="24">
        <f t="shared" si="36"/>
        <v>756178.58973071037</v>
      </c>
      <c r="L254" s="25">
        <f t="shared" ref="L254:L267" si="37">(E254+F254+G254+H254+I254+J254)*D254</f>
        <v>32467.951469759999</v>
      </c>
      <c r="M254" s="25">
        <f t="shared" ref="M254:M267" si="38">SUM(K254:L254)</f>
        <v>788646.54120047041</v>
      </c>
      <c r="N254" s="12"/>
    </row>
    <row r="255" spans="1:14" ht="15" customHeight="1">
      <c r="A255" s="255" t="s">
        <v>273</v>
      </c>
      <c r="B255" s="256"/>
      <c r="C255" s="179">
        <v>2108</v>
      </c>
      <c r="D255" s="135">
        <v>350</v>
      </c>
      <c r="E255" s="171"/>
      <c r="F255" s="177"/>
      <c r="G255" s="188">
        <v>216</v>
      </c>
      <c r="H255" s="137">
        <v>167.8202820864</v>
      </c>
      <c r="I255" s="188">
        <v>216</v>
      </c>
      <c r="J255" s="137">
        <v>162.29987807039998</v>
      </c>
      <c r="K255" s="24">
        <f t="shared" si="36"/>
        <v>1339807.2415556544</v>
      </c>
      <c r="L255" s="25">
        <f t="shared" si="37"/>
        <v>266742.05605488003</v>
      </c>
      <c r="M255" s="25">
        <f t="shared" si="38"/>
        <v>1606549.2976105344</v>
      </c>
      <c r="N255" s="12"/>
    </row>
    <row r="256" spans="1:14" ht="15" customHeight="1">
      <c r="A256" s="255" t="s">
        <v>274</v>
      </c>
      <c r="B256" s="256"/>
      <c r="C256" s="179">
        <v>1830</v>
      </c>
      <c r="D256" s="135">
        <v>600</v>
      </c>
      <c r="E256" s="171"/>
      <c r="F256" s="177"/>
      <c r="G256" s="188">
        <v>236</v>
      </c>
      <c r="H256" s="137">
        <v>333.43240256640007</v>
      </c>
      <c r="I256" s="188">
        <v>236</v>
      </c>
      <c r="J256" s="137">
        <v>334.53648336959998</v>
      </c>
      <c r="K256" s="24">
        <f t="shared" si="36"/>
        <v>1402161.7297012799</v>
      </c>
      <c r="L256" s="25">
        <f t="shared" si="37"/>
        <v>683981.33156159997</v>
      </c>
      <c r="M256" s="25">
        <f t="shared" si="38"/>
        <v>2086143.06126288</v>
      </c>
      <c r="N256" s="12"/>
    </row>
    <row r="257" spans="1:14" ht="15" customHeight="1">
      <c r="A257" s="255" t="s">
        <v>275</v>
      </c>
      <c r="B257" s="256"/>
      <c r="C257" s="179">
        <v>1973</v>
      </c>
      <c r="D257" s="135">
        <v>1375</v>
      </c>
      <c r="E257" s="171"/>
      <c r="F257" s="177"/>
      <c r="G257" s="188">
        <v>0</v>
      </c>
      <c r="H257" s="137">
        <v>118.13664594240001</v>
      </c>
      <c r="I257" s="188">
        <v>0</v>
      </c>
      <c r="J257" s="137">
        <v>119.2407267456</v>
      </c>
      <c r="K257" s="24">
        <f t="shared" si="36"/>
        <v>141951.66886742401</v>
      </c>
      <c r="L257" s="25">
        <f t="shared" si="37"/>
        <v>326393.88744600001</v>
      </c>
      <c r="M257" s="25">
        <f t="shared" si="38"/>
        <v>468345.55631342402</v>
      </c>
      <c r="N257" s="12"/>
    </row>
    <row r="258" spans="1:14" ht="15" customHeight="1">
      <c r="A258" s="255" t="s">
        <v>276</v>
      </c>
      <c r="B258" s="256"/>
      <c r="C258" s="179">
        <v>1549</v>
      </c>
      <c r="D258" s="135">
        <v>1549</v>
      </c>
      <c r="E258" s="171"/>
      <c r="F258" s="177"/>
      <c r="G258" s="188">
        <v>0</v>
      </c>
      <c r="H258" s="137">
        <v>105.9917571072</v>
      </c>
      <c r="I258" s="188">
        <v>0</v>
      </c>
      <c r="J258" s="137">
        <v>113.72032272960001</v>
      </c>
      <c r="K258" s="24">
        <f t="shared" si="36"/>
        <v>0</v>
      </c>
      <c r="L258" s="25">
        <f t="shared" si="37"/>
        <v>340334.01166720322</v>
      </c>
      <c r="M258" s="25">
        <f t="shared" si="38"/>
        <v>340334.01166720322</v>
      </c>
      <c r="N258" s="12"/>
    </row>
    <row r="259" spans="1:14" ht="15" customHeight="1">
      <c r="A259" s="255" t="s">
        <v>277</v>
      </c>
      <c r="B259" s="256"/>
      <c r="C259" s="179">
        <v>999</v>
      </c>
      <c r="D259" s="135">
        <v>999</v>
      </c>
      <c r="E259" s="171"/>
      <c r="F259" s="177"/>
      <c r="G259" s="188">
        <v>0</v>
      </c>
      <c r="H259" s="137">
        <v>171.132524496</v>
      </c>
      <c r="I259" s="188">
        <v>0</v>
      </c>
      <c r="J259" s="137">
        <v>197.63046377280003</v>
      </c>
      <c r="K259" s="24">
        <f t="shared" si="36"/>
        <v>0</v>
      </c>
      <c r="L259" s="25">
        <f t="shared" si="37"/>
        <v>368394.22528053122</v>
      </c>
      <c r="M259" s="25">
        <f t="shared" si="38"/>
        <v>368394.22528053122</v>
      </c>
      <c r="N259" s="12"/>
    </row>
    <row r="260" spans="1:14" ht="15" customHeight="1">
      <c r="A260" s="255" t="s">
        <v>278</v>
      </c>
      <c r="B260" s="256"/>
      <c r="C260" s="179">
        <v>499</v>
      </c>
      <c r="D260" s="135">
        <v>499</v>
      </c>
      <c r="E260" s="171"/>
      <c r="F260" s="177"/>
      <c r="G260" s="138">
        <v>0</v>
      </c>
      <c r="H260" s="137">
        <v>494.62819983360009</v>
      </c>
      <c r="I260" s="138">
        <v>0</v>
      </c>
      <c r="J260" s="137">
        <v>524.43838152000001</v>
      </c>
      <c r="K260" s="24">
        <f t="shared" si="36"/>
        <v>0</v>
      </c>
      <c r="L260" s="25">
        <f t="shared" si="37"/>
        <v>508514.22409544647</v>
      </c>
      <c r="M260" s="25">
        <f t="shared" si="38"/>
        <v>508514.22409544647</v>
      </c>
    </row>
    <row r="261" spans="1:14" ht="15" customHeight="1">
      <c r="A261" s="255" t="s">
        <v>279</v>
      </c>
      <c r="B261" s="256"/>
      <c r="C261" s="179">
        <v>100</v>
      </c>
      <c r="D261" s="135">
        <v>100</v>
      </c>
      <c r="E261" s="188">
        <v>31087</v>
      </c>
      <c r="F261" s="137"/>
      <c r="G261" s="188">
        <v>31087</v>
      </c>
      <c r="H261" s="137"/>
      <c r="I261" s="188">
        <v>31087</v>
      </c>
      <c r="J261" s="137"/>
      <c r="K261" s="24">
        <f t="shared" si="36"/>
        <v>0</v>
      </c>
      <c r="L261" s="25">
        <f t="shared" si="37"/>
        <v>9326100</v>
      </c>
      <c r="M261" s="25">
        <f t="shared" si="38"/>
        <v>9326100</v>
      </c>
    </row>
    <row r="262" spans="1:14" ht="15" customHeight="1">
      <c r="A262" s="255" t="s">
        <v>271</v>
      </c>
      <c r="B262" s="256"/>
      <c r="C262" s="179">
        <v>986</v>
      </c>
      <c r="D262" s="135">
        <v>125</v>
      </c>
      <c r="E262" s="188">
        <v>179</v>
      </c>
      <c r="F262" s="137"/>
      <c r="G262" s="168"/>
      <c r="H262" s="177"/>
      <c r="I262" s="168"/>
      <c r="J262" s="177"/>
      <c r="K262" s="24">
        <f t="shared" si="36"/>
        <v>154119</v>
      </c>
      <c r="L262" s="25">
        <f t="shared" si="37"/>
        <v>22375</v>
      </c>
      <c r="M262" s="25">
        <f t="shared" si="38"/>
        <v>176494</v>
      </c>
    </row>
    <row r="263" spans="1:14" ht="15" customHeight="1">
      <c r="A263" s="255" t="s">
        <v>272</v>
      </c>
      <c r="B263" s="256"/>
      <c r="C263" s="179">
        <v>994</v>
      </c>
      <c r="D263" s="135">
        <v>75</v>
      </c>
      <c r="E263" s="188">
        <v>163</v>
      </c>
      <c r="F263" s="137"/>
      <c r="G263" s="168"/>
      <c r="H263" s="177"/>
      <c r="I263" s="168"/>
      <c r="J263" s="177"/>
      <c r="K263" s="24">
        <f t="shared" si="36"/>
        <v>149797</v>
      </c>
      <c r="L263" s="25">
        <f t="shared" si="37"/>
        <v>12225</v>
      </c>
      <c r="M263" s="25">
        <f t="shared" si="38"/>
        <v>162022</v>
      </c>
    </row>
    <row r="264" spans="1:14" ht="15" customHeight="1">
      <c r="A264" s="255" t="s">
        <v>280</v>
      </c>
      <c r="B264" s="256"/>
      <c r="C264" s="179">
        <v>768</v>
      </c>
      <c r="D264" s="135">
        <v>0</v>
      </c>
      <c r="E264" s="138">
        <v>0</v>
      </c>
      <c r="F264" s="137"/>
      <c r="G264" s="168"/>
      <c r="H264" s="177"/>
      <c r="I264" s="168"/>
      <c r="J264" s="177"/>
      <c r="K264" s="24">
        <f t="shared" si="36"/>
        <v>0</v>
      </c>
      <c r="L264" s="25">
        <f t="shared" si="37"/>
        <v>0</v>
      </c>
      <c r="M264" s="25">
        <f t="shared" si="38"/>
        <v>0</v>
      </c>
    </row>
    <row r="265" spans="1:14" ht="15" customHeight="1">
      <c r="A265" s="255" t="s">
        <v>259</v>
      </c>
      <c r="B265" s="256"/>
      <c r="C265" s="179">
        <v>775</v>
      </c>
      <c r="D265" s="135">
        <v>775</v>
      </c>
      <c r="E265" s="138">
        <v>0</v>
      </c>
      <c r="F265" s="137"/>
      <c r="G265" s="168"/>
      <c r="H265" s="177"/>
      <c r="I265" s="168"/>
      <c r="J265" s="177"/>
      <c r="K265" s="24">
        <f t="shared" si="36"/>
        <v>0</v>
      </c>
      <c r="L265" s="25">
        <f t="shared" si="37"/>
        <v>0</v>
      </c>
      <c r="M265" s="25">
        <f t="shared" si="38"/>
        <v>0</v>
      </c>
    </row>
    <row r="266" spans="1:14" ht="15" customHeight="1">
      <c r="A266" s="255" t="s">
        <v>260</v>
      </c>
      <c r="B266" s="256"/>
      <c r="C266" s="179">
        <v>350</v>
      </c>
      <c r="D266" s="135">
        <v>350</v>
      </c>
      <c r="E266" s="138">
        <v>0</v>
      </c>
      <c r="F266" s="137"/>
      <c r="G266" s="168"/>
      <c r="H266" s="177"/>
      <c r="I266" s="168"/>
      <c r="J266" s="177"/>
      <c r="K266" s="24">
        <f t="shared" si="36"/>
        <v>0</v>
      </c>
      <c r="L266" s="25">
        <f t="shared" si="37"/>
        <v>0</v>
      </c>
      <c r="M266" s="25">
        <f t="shared" si="38"/>
        <v>0</v>
      </c>
    </row>
    <row r="267" spans="1:14" ht="15" customHeight="1">
      <c r="A267" s="257" t="s">
        <v>261</v>
      </c>
      <c r="B267" s="258"/>
      <c r="C267" s="182">
        <v>250</v>
      </c>
      <c r="D267" s="164">
        <v>250</v>
      </c>
      <c r="E267" s="139">
        <f>E232</f>
        <v>0</v>
      </c>
      <c r="F267" s="137">
        <v>0</v>
      </c>
      <c r="G267" s="178">
        <v>0</v>
      </c>
      <c r="H267" s="177">
        <v>0</v>
      </c>
      <c r="I267" s="178">
        <v>0</v>
      </c>
      <c r="J267" s="177">
        <v>0</v>
      </c>
      <c r="K267" s="24">
        <f t="shared" si="36"/>
        <v>0</v>
      </c>
      <c r="L267" s="25">
        <f t="shared" si="37"/>
        <v>0</v>
      </c>
      <c r="M267" s="25">
        <f t="shared" si="38"/>
        <v>0</v>
      </c>
    </row>
    <row r="268" spans="1:14" ht="15" customHeight="1">
      <c r="B268" s="59" t="s">
        <v>262</v>
      </c>
      <c r="C268" s="180"/>
      <c r="D268" s="181"/>
      <c r="E268" s="57">
        <f t="shared" ref="E268:M268" si="39">SUM(E253:E267)</f>
        <v>31429</v>
      </c>
      <c r="F268" s="60">
        <f t="shared" si="39"/>
        <v>0</v>
      </c>
      <c r="G268" s="58">
        <f t="shared" si="39"/>
        <v>31730</v>
      </c>
      <c r="H268" s="60">
        <f t="shared" si="39"/>
        <v>1478.3641954848001</v>
      </c>
      <c r="I268" s="58">
        <f t="shared" si="39"/>
        <v>31730</v>
      </c>
      <c r="J268" s="60">
        <f t="shared" si="39"/>
        <v>1541.2968012672</v>
      </c>
      <c r="K268" s="66">
        <f t="shared" si="39"/>
        <v>4419215.2333121151</v>
      </c>
      <c r="L268" s="26">
        <f t="shared" si="39"/>
        <v>11934322.3703383</v>
      </c>
      <c r="M268" s="26">
        <f t="shared" si="39"/>
        <v>16353537.603650417</v>
      </c>
    </row>
    <row r="269" spans="1:14" ht="16.5" customHeight="1">
      <c r="B269" s="59"/>
      <c r="C269" s="27"/>
      <c r="D269" s="52"/>
      <c r="E269" s="64"/>
      <c r="F269" s="64"/>
      <c r="G269" s="65"/>
      <c r="H269" s="64"/>
      <c r="I269" s="65"/>
      <c r="J269" s="64"/>
    </row>
    <row r="270" spans="1:14" ht="16.5" customHeight="1">
      <c r="B270" s="59"/>
      <c r="C270" s="27"/>
      <c r="D270" s="52"/>
      <c r="E270" s="64"/>
      <c r="F270" s="64"/>
      <c r="G270" s="65"/>
      <c r="H270" s="64"/>
      <c r="I270" s="65"/>
      <c r="J270" s="64"/>
      <c r="K270" s="61" t="s">
        <v>281</v>
      </c>
      <c r="L270" s="195">
        <f>L261*0.25</f>
        <v>2331525</v>
      </c>
    </row>
    <row r="271" spans="1:14" ht="15" customHeight="1">
      <c r="B271" s="59"/>
      <c r="C271" s="27"/>
      <c r="D271" s="52"/>
      <c r="E271" s="64"/>
      <c r="F271" s="64"/>
      <c r="G271" s="65"/>
      <c r="H271" s="64"/>
      <c r="I271" s="65"/>
      <c r="J271" s="64"/>
      <c r="K271" s="61" t="s">
        <v>282</v>
      </c>
      <c r="L271" s="160">
        <f>L268-L270</f>
        <v>9602797.3703383002</v>
      </c>
    </row>
    <row r="272" spans="1:14">
      <c r="A272" s="54" t="s">
        <v>263</v>
      </c>
      <c r="B272" s="71"/>
      <c r="C272" s="70"/>
      <c r="D272" s="54"/>
      <c r="E272" s="72"/>
      <c r="F272" s="54"/>
      <c r="G272" s="72"/>
      <c r="H272" s="31"/>
    </row>
    <row r="273" spans="1:13">
      <c r="A273" s="73" t="s">
        <v>264</v>
      </c>
      <c r="B273" s="73"/>
      <c r="C273" s="74"/>
      <c r="D273" s="73"/>
      <c r="E273" s="73"/>
      <c r="F273" s="73"/>
      <c r="G273" s="73"/>
      <c r="J273" s="61" t="s">
        <v>265</v>
      </c>
      <c r="K273" s="67">
        <f>(C253-D253)*(G253+I253)+(C254-D254)*(G254+I254)+(C255-D255)*(G255+I255)+(C256-D256)*(G256+I256)+(C257-D257)*(G257+I257)+(C262-D262)*E262+(C263-D263)*E263+(C264-D264)*E264</f>
        <v>2485930</v>
      </c>
      <c r="L273" s="30">
        <f>D253*(G253+I253)+D254*(G254+I254)+D255*(G255+I255)+D256*(G256+I256)+D257*(G257+I257)+D258*(G258+I258)+D259*(G259+I259)+D260*(G260+I260)+D261*(G261+I261)+D262*E262+D263*E263+D267*(G267+I267)</f>
        <v>6740600</v>
      </c>
      <c r="M273" s="62">
        <f>SUM(K273:L273)</f>
        <v>9226530</v>
      </c>
    </row>
    <row r="274" spans="1:13">
      <c r="A274" s="75" t="s">
        <v>266</v>
      </c>
      <c r="B274" s="75"/>
      <c r="C274" s="76"/>
      <c r="D274" s="75"/>
      <c r="E274" s="75"/>
      <c r="F274" s="75"/>
      <c r="G274" s="75"/>
      <c r="J274" s="61" t="s">
        <v>267</v>
      </c>
      <c r="K274" s="68">
        <f>(C253-D253)*(H253+J253)+(C254-D254)*(H254+J254)+(C255-D255)*(H255+J255)+(C256-D256)*(H256+J256)+(C257-D257)*(H257+J257)+(C262-D262)*F262+(C263-D263)*F263+(C264-D264)*F264</f>
        <v>1933285.2333121155</v>
      </c>
      <c r="L274" s="30">
        <f>D253*(H253+J253)+D254*(H254+J254)+D255*(H255+J255)+D256*(H256+J256)+D257*(H257+J257)+D258*(H258+J258)+D259*(H259+J259)+D260*(H260+J260)+D261*(H261+J261)+D262*F262+D263*F263+D265*F265+D266*F266+D267*(F267)</f>
        <v>2085022.3703383009</v>
      </c>
      <c r="M274" s="62">
        <f>SUM(K274:L274)</f>
        <v>4018307.6036504162</v>
      </c>
    </row>
  </sheetData>
  <mergeCells count="197">
    <mergeCell ref="A23:B23"/>
    <mergeCell ref="E19:F19"/>
    <mergeCell ref="G19:H19"/>
    <mergeCell ref="I19:J19"/>
    <mergeCell ref="A24:B24"/>
    <mergeCell ref="A25:B25"/>
    <mergeCell ref="A20:B20"/>
    <mergeCell ref="A21:B21"/>
    <mergeCell ref="A22:B22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G50:H50"/>
    <mergeCell ref="I50:J50"/>
    <mergeCell ref="A51:B51"/>
    <mergeCell ref="A52:B52"/>
    <mergeCell ref="A53:B53"/>
    <mergeCell ref="A54:B54"/>
    <mergeCell ref="A38:B38"/>
    <mergeCell ref="A39:B39"/>
    <mergeCell ref="A40:B40"/>
    <mergeCell ref="A41:B41"/>
    <mergeCell ref="A42:B42"/>
    <mergeCell ref="E50:F50"/>
    <mergeCell ref="A61:B61"/>
    <mergeCell ref="A62:B62"/>
    <mergeCell ref="A63:B63"/>
    <mergeCell ref="A64:B64"/>
    <mergeCell ref="A65:B65"/>
    <mergeCell ref="A66:B66"/>
    <mergeCell ref="A55:B55"/>
    <mergeCell ref="A56:B56"/>
    <mergeCell ref="A57:B57"/>
    <mergeCell ref="A58:B58"/>
    <mergeCell ref="A59:B59"/>
    <mergeCell ref="A60:B60"/>
    <mergeCell ref="A80:B80"/>
    <mergeCell ref="A81:B81"/>
    <mergeCell ref="A82:B82"/>
    <mergeCell ref="A83:B83"/>
    <mergeCell ref="A84:B84"/>
    <mergeCell ref="A85:B85"/>
    <mergeCell ref="E76:F76"/>
    <mergeCell ref="G76:H76"/>
    <mergeCell ref="I76:J76"/>
    <mergeCell ref="A77:B77"/>
    <mergeCell ref="A78:B78"/>
    <mergeCell ref="A79:B79"/>
    <mergeCell ref="I101:J101"/>
    <mergeCell ref="A102:B102"/>
    <mergeCell ref="A103:B103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2:B92"/>
    <mergeCell ref="E101:F101"/>
    <mergeCell ref="G101:H101"/>
    <mergeCell ref="G126:H126"/>
    <mergeCell ref="I126:J126"/>
    <mergeCell ref="A127:B127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16:B116"/>
    <mergeCell ref="A117:B117"/>
    <mergeCell ref="E126:F126"/>
    <mergeCell ref="E151:F151"/>
    <mergeCell ref="G151:H151"/>
    <mergeCell ref="I151:J151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0:B140"/>
    <mergeCell ref="A141:B141"/>
    <mergeCell ref="A142:B142"/>
    <mergeCell ref="A164:B164"/>
    <mergeCell ref="A165:B165"/>
    <mergeCell ref="A166:B166"/>
    <mergeCell ref="A167:B167"/>
    <mergeCell ref="E176:F176"/>
    <mergeCell ref="G176:H176"/>
    <mergeCell ref="A158:B158"/>
    <mergeCell ref="A159:B159"/>
    <mergeCell ref="A160:B160"/>
    <mergeCell ref="A161:B161"/>
    <mergeCell ref="A162:B162"/>
    <mergeCell ref="A163:B163"/>
    <mergeCell ref="A182:B182"/>
    <mergeCell ref="A183:B183"/>
    <mergeCell ref="A184:B184"/>
    <mergeCell ref="A185:B185"/>
    <mergeCell ref="A186:B186"/>
    <mergeCell ref="A187:B187"/>
    <mergeCell ref="I176:J176"/>
    <mergeCell ref="A177:B177"/>
    <mergeCell ref="A178:B178"/>
    <mergeCell ref="A179:B179"/>
    <mergeCell ref="A180:B180"/>
    <mergeCell ref="A181:B181"/>
    <mergeCell ref="G201:H201"/>
    <mergeCell ref="I201:J201"/>
    <mergeCell ref="A202:B202"/>
    <mergeCell ref="A203:B203"/>
    <mergeCell ref="A204:B204"/>
    <mergeCell ref="A205:B205"/>
    <mergeCell ref="A188:B188"/>
    <mergeCell ref="A189:B189"/>
    <mergeCell ref="A190:B190"/>
    <mergeCell ref="A191:B191"/>
    <mergeCell ref="A192:B192"/>
    <mergeCell ref="E201:F201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30:B230"/>
    <mergeCell ref="A231:B231"/>
    <mergeCell ref="A232:B232"/>
    <mergeCell ref="A233:B233"/>
    <mergeCell ref="A234:B234"/>
    <mergeCell ref="A235:B235"/>
    <mergeCell ref="E226:F226"/>
    <mergeCell ref="G226:H226"/>
    <mergeCell ref="I226:J226"/>
    <mergeCell ref="A227:B227"/>
    <mergeCell ref="A228:B228"/>
    <mergeCell ref="A229:B229"/>
    <mergeCell ref="A242:B242"/>
    <mergeCell ref="E251:F251"/>
    <mergeCell ref="G251:H251"/>
    <mergeCell ref="I251:J251"/>
    <mergeCell ref="A252:B252"/>
    <mergeCell ref="A253:B253"/>
    <mergeCell ref="A236:B236"/>
    <mergeCell ref="A237:B237"/>
    <mergeCell ref="A238:B238"/>
    <mergeCell ref="A239:B239"/>
    <mergeCell ref="A240:B240"/>
    <mergeCell ref="A241:B241"/>
    <mergeCell ref="A266:B266"/>
    <mergeCell ref="A267:B26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1:J124"/>
  <sheetViews>
    <sheetView zoomScale="85" zoomScaleNormal="85" workbookViewId="0" xr3:uid="{85D5C41F-068E-5C55-9968-509E7C2A5619}">
      <selection activeCell="K21" sqref="K21"/>
    </sheetView>
  </sheetViews>
  <sheetFormatPr defaultColWidth="9.140625" defaultRowHeight="12.75"/>
  <cols>
    <col min="1" max="1" width="4.5703125" style="2" customWidth="1"/>
    <col min="2" max="2" width="11" style="2" customWidth="1"/>
    <col min="3" max="3" width="30" style="2" customWidth="1"/>
    <col min="4" max="4" width="35.7109375" style="2" customWidth="1"/>
    <col min="5" max="5" width="2.5703125" style="2" customWidth="1"/>
    <col min="6" max="6" width="14.7109375" style="2" customWidth="1"/>
    <col min="7" max="7" width="2.5703125" style="2" customWidth="1"/>
    <col min="8" max="8" width="14.7109375" style="2" customWidth="1"/>
    <col min="9" max="16384" width="9.140625" style="2"/>
  </cols>
  <sheetData>
    <row r="1" spans="1:8">
      <c r="A1" s="1" t="s">
        <v>0</v>
      </c>
    </row>
    <row r="2" spans="1:8">
      <c r="A2" s="1" t="s">
        <v>1</v>
      </c>
    </row>
    <row r="3" spans="1:8">
      <c r="A3" s="1" t="s">
        <v>299</v>
      </c>
    </row>
    <row r="4" spans="1:8">
      <c r="A4" s="1"/>
    </row>
    <row r="5" spans="1:8">
      <c r="A5" s="1" t="s">
        <v>16</v>
      </c>
      <c r="C5" s="109" t="s">
        <v>220</v>
      </c>
      <c r="F5" s="2" t="s">
        <v>218</v>
      </c>
    </row>
    <row r="7" spans="1:8">
      <c r="A7" s="44">
        <v>1</v>
      </c>
      <c r="B7" s="44" t="s">
        <v>300</v>
      </c>
      <c r="C7" s="191"/>
      <c r="D7" s="191"/>
      <c r="E7" s="191"/>
      <c r="F7" s="191"/>
    </row>
    <row r="9" spans="1:8" ht="25.5">
      <c r="B9" s="263" t="s">
        <v>301</v>
      </c>
      <c r="C9" s="266"/>
      <c r="D9" s="264"/>
      <c r="F9" s="20" t="s">
        <v>269</v>
      </c>
      <c r="H9" s="20" t="s">
        <v>237</v>
      </c>
    </row>
    <row r="10" spans="1:8" ht="12" customHeight="1">
      <c r="B10" s="267" t="s">
        <v>302</v>
      </c>
      <c r="C10" s="268"/>
      <c r="D10" s="269"/>
      <c r="F10" s="134"/>
      <c r="H10" s="134"/>
    </row>
    <row r="11" spans="1:8" s="229" customFormat="1" ht="12" customHeight="1">
      <c r="B11" s="255"/>
      <c r="C11" s="265"/>
      <c r="D11" s="256"/>
      <c r="F11" s="230"/>
      <c r="H11" s="230"/>
    </row>
    <row r="12" spans="1:8" s="229" customFormat="1" ht="12" customHeight="1">
      <c r="B12" s="255" t="s">
        <v>303</v>
      </c>
      <c r="C12" s="265" t="s">
        <v>303</v>
      </c>
      <c r="D12" s="256" t="s">
        <v>303</v>
      </c>
      <c r="F12" s="230">
        <v>1850</v>
      </c>
      <c r="H12" s="230">
        <v>100</v>
      </c>
    </row>
    <row r="13" spans="1:8" s="229" customFormat="1" ht="12" customHeight="1">
      <c r="B13" s="255" t="s">
        <v>304</v>
      </c>
      <c r="C13" s="265" t="s">
        <v>304</v>
      </c>
      <c r="D13" s="256" t="s">
        <v>304</v>
      </c>
      <c r="F13" s="230">
        <v>1950</v>
      </c>
      <c r="H13" s="230">
        <v>200</v>
      </c>
    </row>
    <row r="14" spans="1:8" s="229" customFormat="1" ht="12" customHeight="1">
      <c r="B14" s="255" t="s">
        <v>305</v>
      </c>
      <c r="C14" s="265" t="s">
        <v>305</v>
      </c>
      <c r="D14" s="256" t="s">
        <v>305</v>
      </c>
      <c r="F14" s="230">
        <v>2050</v>
      </c>
      <c r="H14" s="230">
        <v>300</v>
      </c>
    </row>
    <row r="15" spans="1:8" s="229" customFormat="1" ht="12" customHeight="1">
      <c r="B15" s="255" t="s">
        <v>306</v>
      </c>
      <c r="C15" s="265" t="s">
        <v>306</v>
      </c>
      <c r="D15" s="256" t="s">
        <v>306</v>
      </c>
      <c r="F15" s="230">
        <v>2150</v>
      </c>
      <c r="H15" s="230">
        <v>400</v>
      </c>
    </row>
    <row r="16" spans="1:8" s="229" customFormat="1" ht="12" customHeight="1">
      <c r="B16" s="255" t="s">
        <v>307</v>
      </c>
      <c r="C16" s="265" t="s">
        <v>307</v>
      </c>
      <c r="D16" s="256" t="s">
        <v>307</v>
      </c>
      <c r="F16" s="230">
        <v>1949</v>
      </c>
      <c r="H16" s="230">
        <v>100</v>
      </c>
    </row>
    <row r="17" spans="2:8" s="229" customFormat="1" ht="12" customHeight="1">
      <c r="B17" s="255" t="s">
        <v>308</v>
      </c>
      <c r="C17" s="265" t="s">
        <v>308</v>
      </c>
      <c r="D17" s="256" t="s">
        <v>308</v>
      </c>
      <c r="F17" s="230">
        <v>2049</v>
      </c>
      <c r="H17" s="230">
        <v>200</v>
      </c>
    </row>
    <row r="18" spans="2:8" ht="12" customHeight="1">
      <c r="B18" s="255" t="s">
        <v>309</v>
      </c>
      <c r="C18" s="265" t="s">
        <v>309</v>
      </c>
      <c r="D18" s="256" t="s">
        <v>309</v>
      </c>
      <c r="F18" s="134">
        <v>2149</v>
      </c>
      <c r="H18" s="134">
        <v>300</v>
      </c>
    </row>
    <row r="19" spans="2:8" ht="12" customHeight="1">
      <c r="B19" s="255" t="s">
        <v>310</v>
      </c>
      <c r="C19" s="265" t="s">
        <v>310</v>
      </c>
      <c r="D19" s="256" t="s">
        <v>310</v>
      </c>
      <c r="F19" s="134">
        <v>2249</v>
      </c>
      <c r="H19" s="134">
        <v>400</v>
      </c>
    </row>
    <row r="20" spans="2:8" ht="12" customHeight="1">
      <c r="B20" s="255" t="s">
        <v>311</v>
      </c>
      <c r="C20" s="265" t="s">
        <v>311</v>
      </c>
      <c r="D20" s="256" t="s">
        <v>311</v>
      </c>
      <c r="F20" s="134">
        <v>1975</v>
      </c>
      <c r="H20" s="134">
        <v>100</v>
      </c>
    </row>
    <row r="21" spans="2:8" ht="12" customHeight="1">
      <c r="B21" s="255" t="s">
        <v>312</v>
      </c>
      <c r="C21" s="270" t="s">
        <v>312</v>
      </c>
      <c r="D21" s="271" t="s">
        <v>312</v>
      </c>
      <c r="F21" s="134">
        <v>2075</v>
      </c>
      <c r="H21" s="134">
        <v>200</v>
      </c>
    </row>
    <row r="22" spans="2:8" ht="12" customHeight="1">
      <c r="B22" s="255" t="s">
        <v>313</v>
      </c>
      <c r="C22" s="265" t="s">
        <v>313</v>
      </c>
      <c r="D22" s="256" t="s">
        <v>313</v>
      </c>
      <c r="F22" s="134">
        <v>2175</v>
      </c>
      <c r="H22" s="134">
        <v>300</v>
      </c>
    </row>
    <row r="23" spans="2:8" ht="12" customHeight="1">
      <c r="B23" s="255" t="s">
        <v>314</v>
      </c>
      <c r="C23" s="265" t="s">
        <v>314</v>
      </c>
      <c r="D23" s="256" t="s">
        <v>314</v>
      </c>
      <c r="F23" s="134">
        <v>2275</v>
      </c>
      <c r="H23" s="134">
        <v>400</v>
      </c>
    </row>
    <row r="24" spans="2:8" s="229" customFormat="1" ht="12" customHeight="1">
      <c r="B24" s="255" t="s">
        <v>315</v>
      </c>
      <c r="C24" s="265" t="s">
        <v>315</v>
      </c>
      <c r="D24" s="256" t="s">
        <v>315</v>
      </c>
      <c r="F24" s="230">
        <v>2074</v>
      </c>
      <c r="H24" s="230">
        <v>100</v>
      </c>
    </row>
    <row r="25" spans="2:8" s="229" customFormat="1" ht="12" customHeight="1">
      <c r="B25" s="255" t="s">
        <v>316</v>
      </c>
      <c r="C25" s="265" t="s">
        <v>316</v>
      </c>
      <c r="D25" s="256" t="s">
        <v>316</v>
      </c>
      <c r="F25" s="230">
        <v>2174</v>
      </c>
      <c r="H25" s="230">
        <v>200</v>
      </c>
    </row>
    <row r="26" spans="2:8" s="229" customFormat="1" ht="12" customHeight="1">
      <c r="B26" s="255" t="s">
        <v>317</v>
      </c>
      <c r="C26" s="265" t="s">
        <v>317</v>
      </c>
      <c r="D26" s="256" t="s">
        <v>317</v>
      </c>
      <c r="F26" s="230">
        <v>2274</v>
      </c>
      <c r="H26" s="230">
        <v>300</v>
      </c>
    </row>
    <row r="27" spans="2:8" s="229" customFormat="1" ht="12" customHeight="1">
      <c r="B27" s="255" t="s">
        <v>318</v>
      </c>
      <c r="C27" s="265" t="s">
        <v>318</v>
      </c>
      <c r="D27" s="256" t="s">
        <v>318</v>
      </c>
      <c r="F27" s="230">
        <v>2374</v>
      </c>
      <c r="H27" s="230">
        <v>400</v>
      </c>
    </row>
    <row r="28" spans="2:8" s="229" customFormat="1" ht="12" customHeight="1">
      <c r="B28" s="255" t="s">
        <v>319</v>
      </c>
      <c r="C28" s="265" t="s">
        <v>319</v>
      </c>
      <c r="D28" s="256" t="s">
        <v>319</v>
      </c>
      <c r="F28" s="230">
        <v>1650</v>
      </c>
      <c r="H28" s="230">
        <v>100</v>
      </c>
    </row>
    <row r="29" spans="2:8" s="229" customFormat="1" ht="12" customHeight="1">
      <c r="B29" s="255" t="s">
        <v>320</v>
      </c>
      <c r="C29" s="265" t="s">
        <v>320</v>
      </c>
      <c r="D29" s="256" t="s">
        <v>320</v>
      </c>
      <c r="F29" s="230">
        <v>537</v>
      </c>
      <c r="H29" s="230">
        <v>100</v>
      </c>
    </row>
    <row r="30" spans="2:8" s="229" customFormat="1" ht="12" customHeight="1">
      <c r="B30" s="255" t="s">
        <v>321</v>
      </c>
      <c r="C30" s="265" t="s">
        <v>321</v>
      </c>
      <c r="D30" s="256" t="s">
        <v>321</v>
      </c>
      <c r="F30" s="230">
        <v>850</v>
      </c>
      <c r="H30" s="230">
        <v>850</v>
      </c>
    </row>
    <row r="31" spans="2:8" s="229" customFormat="1" ht="12" customHeight="1">
      <c r="B31" s="255" t="s">
        <v>322</v>
      </c>
      <c r="C31" s="265" t="s">
        <v>322</v>
      </c>
      <c r="D31" s="256" t="s">
        <v>322</v>
      </c>
      <c r="F31" s="230">
        <v>500</v>
      </c>
      <c r="H31" s="230">
        <v>500</v>
      </c>
    </row>
    <row r="32" spans="2:8" ht="12" customHeight="1">
      <c r="B32" s="255" t="s">
        <v>323</v>
      </c>
      <c r="C32" s="265" t="s">
        <v>323</v>
      </c>
      <c r="D32" s="256" t="s">
        <v>323</v>
      </c>
      <c r="F32" s="134">
        <v>425</v>
      </c>
      <c r="H32" s="134">
        <v>200</v>
      </c>
    </row>
    <row r="33" spans="1:8" ht="12" customHeight="1">
      <c r="B33" s="255" t="s">
        <v>324</v>
      </c>
      <c r="C33" s="265" t="s">
        <v>324</v>
      </c>
      <c r="D33" s="256" t="s">
        <v>324</v>
      </c>
      <c r="F33" s="134">
        <v>859</v>
      </c>
      <c r="H33" s="134">
        <v>125</v>
      </c>
    </row>
    <row r="34" spans="1:8" ht="12" customHeight="1">
      <c r="B34" s="255" t="s">
        <v>325</v>
      </c>
      <c r="C34" s="265" t="s">
        <v>325</v>
      </c>
      <c r="D34" s="256" t="s">
        <v>325</v>
      </c>
      <c r="F34" s="134">
        <v>859</v>
      </c>
      <c r="H34" s="134">
        <v>75</v>
      </c>
    </row>
    <row r="35" spans="1:8" ht="12" customHeight="1">
      <c r="B35" s="257"/>
      <c r="C35" s="272"/>
      <c r="D35" s="273"/>
      <c r="E35" s="6"/>
      <c r="F35" s="152"/>
      <c r="G35" s="6"/>
      <c r="H35" s="152"/>
    </row>
    <row r="37" spans="1:8">
      <c r="B37" s="1" t="s">
        <v>326</v>
      </c>
    </row>
    <row r="40" spans="1:8">
      <c r="A40" s="108" t="s">
        <v>218</v>
      </c>
      <c r="B40" s="1" t="s">
        <v>327</v>
      </c>
    </row>
    <row r="41" spans="1:8">
      <c r="A41" s="50"/>
      <c r="B41" s="1" t="s">
        <v>328</v>
      </c>
      <c r="C41" s="1"/>
      <c r="D41" s="3"/>
      <c r="E41" s="3"/>
      <c r="G41" s="3"/>
    </row>
    <row r="42" spans="1:8">
      <c r="A42" s="50"/>
      <c r="B42" s="4" t="s">
        <v>329</v>
      </c>
      <c r="C42" s="4"/>
      <c r="D42" s="3"/>
      <c r="E42" s="3"/>
      <c r="G42" s="3"/>
    </row>
    <row r="43" spans="1:8">
      <c r="A43" s="51"/>
    </row>
    <row r="44" spans="1:8">
      <c r="A44" s="51"/>
      <c r="B44" s="239" t="s">
        <v>21</v>
      </c>
      <c r="C44" s="240"/>
      <c r="D44" s="93" t="s">
        <v>22</v>
      </c>
      <c r="E44" s="93"/>
      <c r="F44" s="93" t="s">
        <v>23</v>
      </c>
      <c r="G44" s="95"/>
      <c r="H44" s="93" t="s">
        <v>330</v>
      </c>
    </row>
    <row r="45" spans="1:8">
      <c r="A45" s="51"/>
      <c r="B45" s="241"/>
      <c r="C45" s="242"/>
      <c r="D45" s="87"/>
      <c r="E45" s="87"/>
      <c r="F45" s="87" t="s">
        <v>25</v>
      </c>
      <c r="G45" s="96"/>
      <c r="H45" s="87"/>
    </row>
    <row r="46" spans="1:8">
      <c r="A46" s="51"/>
      <c r="B46" s="103" t="s">
        <v>27</v>
      </c>
      <c r="C46" s="104"/>
      <c r="D46" s="28"/>
      <c r="E46" s="28"/>
      <c r="F46" s="28"/>
      <c r="G46" s="28"/>
      <c r="H46" s="98"/>
    </row>
    <row r="47" spans="1:8" ht="5.0999999999999996" customHeight="1">
      <c r="A47" s="51"/>
      <c r="B47" s="99"/>
      <c r="C47" s="1"/>
      <c r="H47" s="100"/>
    </row>
    <row r="48" spans="1:8">
      <c r="A48" s="51"/>
      <c r="B48" s="99" t="s">
        <v>28</v>
      </c>
      <c r="C48" s="1"/>
      <c r="H48" s="100"/>
    </row>
    <row r="49" spans="1:8">
      <c r="A49" s="51"/>
      <c r="B49" s="48" t="s">
        <v>29</v>
      </c>
      <c r="D49" s="109" t="str">
        <f>+B49</f>
        <v>Fresh Food Co. - Door Sales (Graham Center)</v>
      </c>
      <c r="F49" s="109" t="s">
        <v>30</v>
      </c>
      <c r="H49" s="146" t="s">
        <v>66</v>
      </c>
    </row>
    <row r="50" spans="1:8">
      <c r="A50" s="51"/>
      <c r="B50" s="48" t="s">
        <v>32</v>
      </c>
      <c r="D50" s="109" t="str">
        <f>+B50</f>
        <v>POD Market (Breezeway)</v>
      </c>
      <c r="F50" s="109" t="s">
        <v>30</v>
      </c>
      <c r="H50" s="146" t="s">
        <v>66</v>
      </c>
    </row>
    <row r="51" spans="1:8">
      <c r="A51" s="51"/>
      <c r="B51" s="48" t="s">
        <v>33</v>
      </c>
      <c r="D51" s="109" t="str">
        <f t="shared" ref="D51:D88" si="0">+B51</f>
        <v>Express (Green Library)</v>
      </c>
      <c r="F51" s="109" t="s">
        <v>30</v>
      </c>
      <c r="H51" s="146" t="s">
        <v>66</v>
      </c>
    </row>
    <row r="52" spans="1:8">
      <c r="A52" s="51"/>
      <c r="B52" s="48" t="s">
        <v>34</v>
      </c>
      <c r="D52" s="109" t="str">
        <f t="shared" si="0"/>
        <v>Starbucks (Green Library)</v>
      </c>
      <c r="F52" s="109" t="s">
        <v>30</v>
      </c>
      <c r="H52" s="146" t="s">
        <v>66</v>
      </c>
    </row>
    <row r="53" spans="1:8">
      <c r="A53" s="51"/>
      <c r="B53" s="48" t="s">
        <v>35</v>
      </c>
      <c r="D53" s="109" t="str">
        <f t="shared" si="0"/>
        <v>Miro's Food Truck (Green Library)</v>
      </c>
      <c r="F53" s="109" t="s">
        <v>36</v>
      </c>
      <c r="H53" s="146" t="s">
        <v>66</v>
      </c>
    </row>
    <row r="54" spans="1:8">
      <c r="A54" s="51"/>
      <c r="B54" s="48" t="s">
        <v>37</v>
      </c>
      <c r="D54" s="109" t="str">
        <f t="shared" si="0"/>
        <v>Faculty Club (Graham Center)</v>
      </c>
      <c r="F54" s="109" t="s">
        <v>30</v>
      </c>
      <c r="H54" s="146" t="s">
        <v>66</v>
      </c>
    </row>
    <row r="55" spans="1:8">
      <c r="A55" s="51"/>
      <c r="B55" s="48" t="s">
        <v>38</v>
      </c>
      <c r="D55" s="109" t="str">
        <f t="shared" si="0"/>
        <v>Almazar (Graham Center)</v>
      </c>
      <c r="F55" s="109" t="s">
        <v>36</v>
      </c>
      <c r="H55" s="146" t="s">
        <v>66</v>
      </c>
    </row>
    <row r="56" spans="1:8">
      <c r="A56" s="51"/>
      <c r="B56" s="48" t="s">
        <v>39</v>
      </c>
      <c r="D56" s="109" t="str">
        <f t="shared" si="0"/>
        <v>Burger King (Graham Center)</v>
      </c>
      <c r="F56" s="109" t="s">
        <v>30</v>
      </c>
      <c r="H56" s="146" t="s">
        <v>66</v>
      </c>
    </row>
    <row r="57" spans="1:8">
      <c r="A57" s="51"/>
      <c r="B57" s="48" t="s">
        <v>40</v>
      </c>
      <c r="D57" s="109" t="str">
        <f t="shared" si="0"/>
        <v>Café Bustelo (Graham Center)</v>
      </c>
      <c r="F57" s="109" t="s">
        <v>30</v>
      </c>
      <c r="H57" s="146" t="s">
        <v>66</v>
      </c>
    </row>
    <row r="58" spans="1:8">
      <c r="A58" s="51"/>
      <c r="B58" s="48" t="s">
        <v>41</v>
      </c>
      <c r="D58" s="109" t="str">
        <f t="shared" si="0"/>
        <v>Chili's (Graham Center)</v>
      </c>
      <c r="F58" s="109" t="s">
        <v>30</v>
      </c>
      <c r="H58" s="146" t="s">
        <v>66</v>
      </c>
    </row>
    <row r="59" spans="1:8">
      <c r="A59" s="51"/>
      <c r="B59" s="48" t="s">
        <v>42</v>
      </c>
      <c r="D59" s="109" t="str">
        <f t="shared" si="0"/>
        <v>Einstein Bros. Bagels (Graham Center)</v>
      </c>
      <c r="F59" s="109" t="s">
        <v>30</v>
      </c>
      <c r="H59" s="146" t="s">
        <v>66</v>
      </c>
    </row>
    <row r="60" spans="1:8">
      <c r="A60" s="51"/>
      <c r="B60" s="48" t="s">
        <v>43</v>
      </c>
      <c r="D60" s="109" t="str">
        <f t="shared" si="0"/>
        <v>Jamba Juice (Graham Center)</v>
      </c>
      <c r="F60" s="109" t="s">
        <v>30</v>
      </c>
      <c r="H60" s="146" t="s">
        <v>66</v>
      </c>
    </row>
    <row r="61" spans="1:8">
      <c r="A61" s="51"/>
      <c r="B61" s="48" t="s">
        <v>44</v>
      </c>
      <c r="D61" s="109" t="str">
        <f t="shared" si="0"/>
        <v>Pollo Tropical (Graham Center)</v>
      </c>
      <c r="F61" s="109" t="s">
        <v>30</v>
      </c>
      <c r="H61" s="146" t="s">
        <v>66</v>
      </c>
    </row>
    <row r="62" spans="1:8">
      <c r="A62" s="51"/>
      <c r="B62" s="48" t="s">
        <v>45</v>
      </c>
      <c r="D62" s="109" t="str">
        <f t="shared" si="0"/>
        <v>Subway (Graham Center)</v>
      </c>
      <c r="F62" s="109" t="s">
        <v>30</v>
      </c>
      <c r="H62" s="146" t="s">
        <v>66</v>
      </c>
    </row>
    <row r="63" spans="1:8">
      <c r="A63" s="51"/>
      <c r="B63" s="48" t="s">
        <v>46</v>
      </c>
      <c r="D63" s="109" t="str">
        <f t="shared" si="0"/>
        <v>Sushi Maki (Graham Center)</v>
      </c>
      <c r="F63" s="109" t="s">
        <v>36</v>
      </c>
      <c r="H63" s="146" t="s">
        <v>66</v>
      </c>
    </row>
    <row r="64" spans="1:8">
      <c r="A64" s="51"/>
      <c r="B64" s="48" t="s">
        <v>47</v>
      </c>
      <c r="D64" s="109" t="str">
        <f t="shared" si="0"/>
        <v>Panda Express (Mango)</v>
      </c>
      <c r="F64" s="109" t="s">
        <v>30</v>
      </c>
      <c r="H64" s="146" t="s">
        <v>66</v>
      </c>
    </row>
    <row r="65" spans="1:8">
      <c r="A65" s="51"/>
      <c r="B65" s="48" t="s">
        <v>48</v>
      </c>
      <c r="D65" s="109" t="str">
        <f t="shared" si="0"/>
        <v>Starbucks (Mango)</v>
      </c>
      <c r="F65" s="109" t="s">
        <v>30</v>
      </c>
      <c r="H65" s="146" t="s">
        <v>66</v>
      </c>
    </row>
    <row r="66" spans="1:8">
      <c r="A66" s="51"/>
      <c r="B66" s="48" t="s">
        <v>49</v>
      </c>
      <c r="D66" s="109" t="str">
        <f t="shared" si="0"/>
        <v>Taco Bell (Mango)</v>
      </c>
      <c r="F66" s="109" t="s">
        <v>30</v>
      </c>
      <c r="H66" s="146" t="s">
        <v>66</v>
      </c>
    </row>
    <row r="67" spans="1:8">
      <c r="A67" s="51"/>
      <c r="B67" s="48" t="s">
        <v>50</v>
      </c>
      <c r="D67" s="109" t="str">
        <f t="shared" si="0"/>
        <v>Chick-fil-A (Parking Garage 5)</v>
      </c>
      <c r="F67" s="109" t="s">
        <v>30</v>
      </c>
      <c r="H67" s="146" t="s">
        <v>66</v>
      </c>
    </row>
    <row r="68" spans="1:8">
      <c r="A68" s="51"/>
      <c r="B68" s="48" t="s">
        <v>51</v>
      </c>
      <c r="D68" s="109" t="str">
        <f t="shared" si="0"/>
        <v>Dunkin Donuts (Parking Garage 5)</v>
      </c>
      <c r="F68" s="109" t="s">
        <v>30</v>
      </c>
      <c r="H68" s="146" t="s">
        <v>66</v>
      </c>
    </row>
    <row r="69" spans="1:8">
      <c r="A69" s="51"/>
      <c r="B69" s="48" t="s">
        <v>52</v>
      </c>
      <c r="D69" s="109" t="str">
        <f t="shared" si="0"/>
        <v>Misha's Cupcakes (Parking Garage 5)</v>
      </c>
      <c r="F69" s="109" t="s">
        <v>36</v>
      </c>
      <c r="H69" s="146" t="s">
        <v>66</v>
      </c>
    </row>
    <row r="70" spans="1:8">
      <c r="A70" s="51"/>
      <c r="B70" s="48" t="s">
        <v>53</v>
      </c>
      <c r="D70" s="109" t="str">
        <f t="shared" si="0"/>
        <v>Sergio's Cuban Café &amp; Grill (Parking Garage 5)</v>
      </c>
      <c r="F70" s="109" t="s">
        <v>30</v>
      </c>
      <c r="H70" s="146" t="s">
        <v>66</v>
      </c>
    </row>
    <row r="71" spans="1:8">
      <c r="A71" s="51"/>
      <c r="B71" s="48" t="s">
        <v>54</v>
      </c>
      <c r="D71" s="109" t="str">
        <f t="shared" si="0"/>
        <v>Moe's Southwest Grill (Parking Garage 5)</v>
      </c>
      <c r="F71" s="109" t="s">
        <v>30</v>
      </c>
      <c r="H71" s="146" t="s">
        <v>66</v>
      </c>
    </row>
    <row r="72" spans="1:8">
      <c r="A72" s="51"/>
      <c r="B72" s="48" t="s">
        <v>55</v>
      </c>
      <c r="D72" s="109" t="str">
        <f t="shared" si="0"/>
        <v>Papa John's Pizza (Parking Garage 5)</v>
      </c>
      <c r="F72" s="109" t="s">
        <v>30</v>
      </c>
      <c r="H72" s="146" t="s">
        <v>66</v>
      </c>
    </row>
    <row r="73" spans="1:8">
      <c r="A73" s="51"/>
      <c r="B73" s="48" t="s">
        <v>56</v>
      </c>
      <c r="D73" s="109" t="str">
        <f t="shared" si="0"/>
        <v>Salad Creations (Parking Garage 5)</v>
      </c>
      <c r="F73" s="109" t="s">
        <v>36</v>
      </c>
      <c r="H73" s="146" t="s">
        <v>66</v>
      </c>
    </row>
    <row r="74" spans="1:8">
      <c r="A74" s="51"/>
      <c r="B74" s="48" t="s">
        <v>57</v>
      </c>
      <c r="D74" s="109" t="str">
        <f t="shared" si="0"/>
        <v>Half Moon Empanadas (Parking Garage 6)</v>
      </c>
      <c r="F74" s="109" t="s">
        <v>36</v>
      </c>
      <c r="H74" s="146" t="s">
        <v>66</v>
      </c>
    </row>
    <row r="75" spans="1:8">
      <c r="A75" s="51"/>
      <c r="B75" s="48" t="s">
        <v>58</v>
      </c>
      <c r="D75" s="109" t="str">
        <f t="shared" si="0"/>
        <v>Tropical Café Smoothies (Recreation Center)</v>
      </c>
      <c r="F75" s="109" t="s">
        <v>36</v>
      </c>
      <c r="H75" s="146" t="s">
        <v>66</v>
      </c>
    </row>
    <row r="76" spans="1:8">
      <c r="A76" s="51"/>
      <c r="B76" s="48" t="s">
        <v>59</v>
      </c>
      <c r="D76" s="109" t="str">
        <f>+B76</f>
        <v xml:space="preserve">Heritage Market </v>
      </c>
      <c r="F76" s="145" t="s">
        <v>30</v>
      </c>
      <c r="H76" s="146" t="s">
        <v>66</v>
      </c>
    </row>
    <row r="77" spans="1:8">
      <c r="A77" s="51"/>
      <c r="B77" s="48" t="s">
        <v>60</v>
      </c>
      <c r="D77" s="109" t="str">
        <f>+B77</f>
        <v xml:space="preserve">Chipotle </v>
      </c>
      <c r="F77" s="145" t="s">
        <v>30</v>
      </c>
      <c r="H77" s="146" t="s">
        <v>66</v>
      </c>
    </row>
    <row r="78" spans="1:8">
      <c r="A78" s="51"/>
      <c r="B78" s="48" t="s">
        <v>61</v>
      </c>
      <c r="D78" s="109" t="str">
        <f>+B78</f>
        <v>Panera</v>
      </c>
      <c r="F78" s="145" t="s">
        <v>30</v>
      </c>
      <c r="H78" s="146" t="s">
        <v>66</v>
      </c>
    </row>
    <row r="79" spans="1:8">
      <c r="A79" s="51"/>
      <c r="B79" s="48" t="s">
        <v>62</v>
      </c>
      <c r="D79" s="109" t="str">
        <f>+B79</f>
        <v>Market Pavillion</v>
      </c>
      <c r="F79" s="145" t="s">
        <v>30</v>
      </c>
      <c r="H79" s="146" t="s">
        <v>66</v>
      </c>
    </row>
    <row r="80" spans="1:8">
      <c r="A80" s="51"/>
      <c r="B80" s="48"/>
      <c r="D80" s="28"/>
      <c r="F80" s="28"/>
      <c r="H80" s="98"/>
    </row>
    <row r="81" spans="1:8">
      <c r="A81" s="51"/>
      <c r="B81" s="99" t="s">
        <v>63</v>
      </c>
      <c r="C81" s="1"/>
      <c r="H81" s="100"/>
    </row>
    <row r="82" spans="1:8">
      <c r="A82" s="51"/>
      <c r="B82" s="48" t="s">
        <v>64</v>
      </c>
      <c r="D82" s="109" t="str">
        <f t="shared" si="0"/>
        <v>All Meal Plans (exclusive of Meal Plan Dining $)</v>
      </c>
      <c r="F82" s="149" t="s">
        <v>65</v>
      </c>
      <c r="H82" s="146" t="s">
        <v>66</v>
      </c>
    </row>
    <row r="83" spans="1:8">
      <c r="A83" s="51"/>
      <c r="B83" s="48"/>
      <c r="D83" s="28"/>
      <c r="F83" s="28"/>
      <c r="H83" s="98"/>
    </row>
    <row r="84" spans="1:8">
      <c r="A84" s="51"/>
      <c r="B84" s="99" t="s">
        <v>67</v>
      </c>
      <c r="C84" s="1"/>
      <c r="H84" s="100"/>
    </row>
    <row r="85" spans="1:8">
      <c r="A85" s="51"/>
      <c r="B85" s="48" t="s">
        <v>68</v>
      </c>
      <c r="D85" s="109" t="str">
        <f t="shared" si="0"/>
        <v>Catering</v>
      </c>
      <c r="F85" s="109" t="s">
        <v>65</v>
      </c>
      <c r="H85" s="146" t="s">
        <v>66</v>
      </c>
    </row>
    <row r="86" spans="1:8">
      <c r="A86" s="51"/>
      <c r="B86" s="48" t="s">
        <v>69</v>
      </c>
      <c r="D86" s="109" t="str">
        <f t="shared" si="0"/>
        <v>Athletic Catering</v>
      </c>
      <c r="F86" s="109" t="s">
        <v>65</v>
      </c>
      <c r="H86" s="146" t="s">
        <v>66</v>
      </c>
    </row>
    <row r="87" spans="1:8">
      <c r="A87" s="51"/>
      <c r="B87" s="48" t="s">
        <v>70</v>
      </c>
      <c r="D87" s="109" t="str">
        <f t="shared" si="0"/>
        <v>Alcohol</v>
      </c>
      <c r="F87" s="109" t="s">
        <v>65</v>
      </c>
      <c r="H87" s="146" t="s">
        <v>66</v>
      </c>
    </row>
    <row r="88" spans="1:8">
      <c r="A88" s="51"/>
      <c r="B88" s="48" t="s">
        <v>71</v>
      </c>
      <c r="D88" s="109" t="str">
        <f t="shared" si="0"/>
        <v>Summer Conferences &amp; Camps</v>
      </c>
      <c r="F88" s="109" t="s">
        <v>65</v>
      </c>
      <c r="H88" s="146" t="s">
        <v>66</v>
      </c>
    </row>
    <row r="89" spans="1:8">
      <c r="A89" s="51"/>
      <c r="B89" s="48"/>
      <c r="D89" s="28"/>
      <c r="F89" s="28"/>
      <c r="H89" s="98"/>
    </row>
    <row r="90" spans="1:8">
      <c r="A90" s="51"/>
      <c r="B90" s="102" t="s">
        <v>72</v>
      </c>
      <c r="C90" s="105"/>
      <c r="H90" s="100"/>
    </row>
    <row r="91" spans="1:8" ht="5.0999999999999996" customHeight="1">
      <c r="A91" s="51"/>
      <c r="B91" s="101"/>
      <c r="C91" s="106"/>
      <c r="H91" s="100"/>
    </row>
    <row r="92" spans="1:8">
      <c r="A92" s="51"/>
      <c r="B92" s="99" t="s">
        <v>28</v>
      </c>
      <c r="C92" s="1"/>
      <c r="H92" s="100"/>
    </row>
    <row r="93" spans="1:8">
      <c r="A93" s="51"/>
      <c r="B93" s="48" t="s">
        <v>73</v>
      </c>
      <c r="D93" s="109" t="str">
        <f>+B93</f>
        <v>Starbucks (Hubert Library)</v>
      </c>
      <c r="F93" s="109" t="s">
        <v>65</v>
      </c>
      <c r="H93" s="146" t="s">
        <v>66</v>
      </c>
    </row>
    <row r="94" spans="1:8">
      <c r="A94" s="51"/>
      <c r="B94" s="48" t="s">
        <v>74</v>
      </c>
      <c r="D94" s="109" t="str">
        <f t="shared" ref="D94:D96" si="1">+B94</f>
        <v>Moe's Southwest Grill (Wolfe Center)</v>
      </c>
      <c r="F94" s="144" t="s">
        <v>65</v>
      </c>
      <c r="H94" s="146" t="s">
        <v>66</v>
      </c>
    </row>
    <row r="95" spans="1:8">
      <c r="A95" s="51"/>
      <c r="B95" s="48" t="s">
        <v>75</v>
      </c>
      <c r="D95" s="109" t="str">
        <f t="shared" si="1"/>
        <v>Grille Works (Wolfe Center)</v>
      </c>
      <c r="F95" s="144" t="s">
        <v>65</v>
      </c>
      <c r="H95" s="146" t="s">
        <v>66</v>
      </c>
    </row>
    <row r="96" spans="1:8">
      <c r="A96" s="51"/>
      <c r="B96" s="48" t="s">
        <v>76</v>
      </c>
      <c r="D96" s="109" t="str">
        <f t="shared" si="1"/>
        <v>Subway (Wolfe Center)</v>
      </c>
      <c r="F96" s="144" t="s">
        <v>65</v>
      </c>
      <c r="H96" s="146" t="s">
        <v>66</v>
      </c>
    </row>
    <row r="97" spans="1:10">
      <c r="A97" s="51"/>
      <c r="B97" s="48" t="s">
        <v>77</v>
      </c>
      <c r="D97" s="109" t="str">
        <f>+B97</f>
        <v xml:space="preserve">CFA </v>
      </c>
      <c r="F97" s="145" t="s">
        <v>65</v>
      </c>
      <c r="H97" s="146" t="s">
        <v>66</v>
      </c>
      <c r="J97" s="19"/>
    </row>
    <row r="98" spans="1:10">
      <c r="A98" s="51"/>
      <c r="B98" s="48" t="s">
        <v>79</v>
      </c>
      <c r="D98" s="109"/>
      <c r="F98" s="145"/>
      <c r="H98" s="148"/>
    </row>
    <row r="99" spans="1:10">
      <c r="A99" s="51"/>
      <c r="B99" s="48" t="s">
        <v>79</v>
      </c>
      <c r="D99" s="109"/>
      <c r="F99" s="145"/>
      <c r="H99" s="148"/>
    </row>
    <row r="100" spans="1:10">
      <c r="A100" s="51"/>
      <c r="B100" s="48"/>
      <c r="D100" s="28"/>
      <c r="F100" s="28"/>
      <c r="H100" s="98"/>
    </row>
    <row r="101" spans="1:10" ht="13.35" customHeight="1">
      <c r="A101" s="51"/>
      <c r="B101" s="99" t="s">
        <v>67</v>
      </c>
      <c r="C101" s="1"/>
      <c r="H101" s="100"/>
    </row>
    <row r="102" spans="1:10">
      <c r="A102" s="51"/>
      <c r="B102" s="48" t="s">
        <v>80</v>
      </c>
      <c r="D102" s="109" t="str">
        <f>+B102</f>
        <v xml:space="preserve">Ath. Concessions </v>
      </c>
      <c r="F102" s="109" t="s">
        <v>30</v>
      </c>
      <c r="H102" s="146">
        <v>0.15</v>
      </c>
    </row>
    <row r="103" spans="1:10">
      <c r="A103" s="51"/>
      <c r="B103" s="48" t="s">
        <v>81</v>
      </c>
      <c r="D103" s="144" t="s">
        <v>81</v>
      </c>
      <c r="F103" s="144" t="s">
        <v>30</v>
      </c>
      <c r="H103" s="147">
        <v>0.1</v>
      </c>
    </row>
    <row r="104" spans="1:10">
      <c r="A104" s="51"/>
      <c r="B104" s="48" t="s">
        <v>79</v>
      </c>
      <c r="D104" s="144"/>
      <c r="F104" s="144"/>
      <c r="H104" s="147"/>
    </row>
    <row r="105" spans="1:10">
      <c r="A105" s="51"/>
      <c r="B105" s="48" t="s">
        <v>79</v>
      </c>
      <c r="D105" s="144"/>
      <c r="F105" s="144"/>
      <c r="H105" s="147"/>
    </row>
    <row r="106" spans="1:10">
      <c r="A106" s="51"/>
      <c r="B106" s="49"/>
      <c r="C106" s="6"/>
      <c r="D106" s="29"/>
      <c r="E106" s="6"/>
      <c r="F106" s="29"/>
      <c r="G106" s="6"/>
      <c r="H106" s="97"/>
    </row>
    <row r="107" spans="1:10">
      <c r="A107" s="51"/>
      <c r="H107" s="162"/>
    </row>
    <row r="108" spans="1:10">
      <c r="A108" s="50"/>
    </row>
    <row r="109" spans="1:10">
      <c r="A109" s="3"/>
      <c r="B109" s="1" t="s">
        <v>83</v>
      </c>
      <c r="C109" s="1"/>
      <c r="D109" s="3"/>
      <c r="E109" s="3"/>
      <c r="G109" s="3"/>
    </row>
    <row r="110" spans="1:10">
      <c r="A110" s="3"/>
      <c r="D110" s="3"/>
      <c r="E110" s="3"/>
      <c r="G110" s="3"/>
    </row>
    <row r="111" spans="1:10">
      <c r="A111" s="3"/>
      <c r="B111" s="2" t="s">
        <v>84</v>
      </c>
      <c r="C111" s="151">
        <v>2000000</v>
      </c>
      <c r="D111" s="3"/>
      <c r="E111" s="45"/>
      <c r="G111" s="3"/>
    </row>
    <row r="112" spans="1:10">
      <c r="A112" s="3"/>
      <c r="B112" s="2" t="s">
        <v>86</v>
      </c>
      <c r="C112" s="151">
        <v>2000000</v>
      </c>
      <c r="D112" s="3"/>
      <c r="E112" s="45"/>
      <c r="G112" s="3"/>
    </row>
    <row r="113" spans="1:7">
      <c r="A113" s="3"/>
      <c r="B113" s="2" t="s">
        <v>87</v>
      </c>
      <c r="C113" s="151">
        <v>2000000</v>
      </c>
      <c r="D113" s="3"/>
      <c r="E113" s="45"/>
      <c r="G113" s="3"/>
    </row>
    <row r="114" spans="1:7">
      <c r="A114" s="3"/>
      <c r="B114" s="2" t="s">
        <v>88</v>
      </c>
      <c r="C114" s="151">
        <v>2000000</v>
      </c>
      <c r="D114" s="3"/>
      <c r="E114" s="45"/>
      <c r="G114" s="3"/>
    </row>
    <row r="115" spans="1:7">
      <c r="A115" s="3"/>
      <c r="B115" s="2" t="s">
        <v>89</v>
      </c>
      <c r="C115" s="151">
        <v>2000000</v>
      </c>
      <c r="D115" s="3"/>
      <c r="E115" s="45"/>
      <c r="G115" s="3"/>
    </row>
    <row r="116" spans="1:7">
      <c r="A116" s="3"/>
      <c r="B116" s="2" t="s">
        <v>90</v>
      </c>
      <c r="C116" s="151">
        <v>2000000</v>
      </c>
      <c r="D116" s="3"/>
      <c r="E116" s="45"/>
      <c r="G116" s="3"/>
    </row>
    <row r="117" spans="1:7">
      <c r="A117" s="3"/>
      <c r="B117" s="2" t="s">
        <v>91</v>
      </c>
      <c r="C117" s="151">
        <v>2000000</v>
      </c>
      <c r="D117" s="3"/>
      <c r="E117" s="45"/>
      <c r="G117" s="3"/>
    </row>
    <row r="118" spans="1:7">
      <c r="A118" s="3"/>
      <c r="B118" s="2" t="s">
        <v>92</v>
      </c>
      <c r="C118" s="151">
        <v>2000000</v>
      </c>
      <c r="D118" s="3"/>
      <c r="E118" s="45"/>
      <c r="G118" s="3"/>
    </row>
    <row r="119" spans="1:7">
      <c r="A119" s="3"/>
      <c r="B119" s="2" t="s">
        <v>93</v>
      </c>
      <c r="C119" s="151">
        <v>2000000</v>
      </c>
      <c r="D119" s="3"/>
      <c r="E119" s="45"/>
      <c r="G119" s="3"/>
    </row>
    <row r="120" spans="1:7">
      <c r="A120" s="3"/>
      <c r="B120" s="2" t="s">
        <v>94</v>
      </c>
      <c r="C120" s="151">
        <v>2000000</v>
      </c>
      <c r="D120" s="3"/>
      <c r="E120" s="45"/>
      <c r="G120" s="3"/>
    </row>
    <row r="121" spans="1:7">
      <c r="A121" s="3"/>
      <c r="B121" s="2" t="s">
        <v>95</v>
      </c>
      <c r="C121" s="151"/>
      <c r="D121" s="3"/>
      <c r="E121" s="45"/>
      <c r="G121" s="3"/>
    </row>
    <row r="122" spans="1:7">
      <c r="B122" s="2" t="s">
        <v>95</v>
      </c>
      <c r="C122" s="151"/>
      <c r="D122" s="3"/>
      <c r="E122" s="45"/>
      <c r="G122" s="3"/>
    </row>
    <row r="124" spans="1:7">
      <c r="A124" s="108" t="s">
        <v>218</v>
      </c>
      <c r="B124" s="1" t="s">
        <v>218</v>
      </c>
    </row>
  </sheetData>
  <mergeCells count="29">
    <mergeCell ref="B27:D27"/>
    <mergeCell ref="B45:C45"/>
    <mergeCell ref="B30:D30"/>
    <mergeCell ref="B31:D31"/>
    <mergeCell ref="B32:D32"/>
    <mergeCell ref="B33:D33"/>
    <mergeCell ref="B34:D34"/>
    <mergeCell ref="B35:D35"/>
    <mergeCell ref="B25:D25"/>
    <mergeCell ref="B44:C44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9:D29"/>
    <mergeCell ref="B26:D26"/>
    <mergeCell ref="B28:D28"/>
    <mergeCell ref="B22:D22"/>
    <mergeCell ref="B23:D23"/>
    <mergeCell ref="B9:D9"/>
    <mergeCell ref="B10:D10"/>
    <mergeCell ref="B24:D24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1:J100"/>
  <sheetViews>
    <sheetView topLeftCell="A16" workbookViewId="0" xr3:uid="{44B22561-5205-5C8A-B808-2C70100D228F}">
      <selection activeCell="L41" sqref="L41"/>
    </sheetView>
  </sheetViews>
  <sheetFormatPr defaultColWidth="9.140625" defaultRowHeight="12.75"/>
  <cols>
    <col min="1" max="1" width="4.5703125" style="2" customWidth="1"/>
    <col min="2" max="2" width="11.7109375" style="2" customWidth="1"/>
    <col min="3" max="3" width="28.7109375" style="2" customWidth="1"/>
    <col min="4" max="4" width="36.28515625" style="2" customWidth="1"/>
    <col min="5" max="5" width="2.5703125" style="2" customWidth="1"/>
    <col min="6" max="6" width="14.7109375" style="2" customWidth="1"/>
    <col min="7" max="7" width="2.5703125" style="2" customWidth="1"/>
    <col min="8" max="8" width="14.7109375" style="2" customWidth="1"/>
    <col min="9" max="16384" width="9.140625" style="2"/>
  </cols>
  <sheetData>
    <row r="1" spans="1:8">
      <c r="A1" s="1" t="s">
        <v>0</v>
      </c>
    </row>
    <row r="2" spans="1:8">
      <c r="A2" s="1" t="s">
        <v>1</v>
      </c>
    </row>
    <row r="3" spans="1:8">
      <c r="A3" s="1" t="s">
        <v>299</v>
      </c>
    </row>
    <row r="4" spans="1:8">
      <c r="A4" s="1"/>
    </row>
    <row r="5" spans="1:8">
      <c r="A5" s="1" t="s">
        <v>16</v>
      </c>
      <c r="C5" s="109" t="s">
        <v>220</v>
      </c>
    </row>
    <row r="7" spans="1:8">
      <c r="A7" s="108" t="s">
        <v>138</v>
      </c>
      <c r="B7" s="1" t="s">
        <v>331</v>
      </c>
    </row>
    <row r="8" spans="1:8">
      <c r="A8" s="107"/>
      <c r="B8" s="1" t="s">
        <v>332</v>
      </c>
    </row>
    <row r="9" spans="1:8">
      <c r="B9" s="4" t="s">
        <v>333</v>
      </c>
    </row>
    <row r="11" spans="1:8">
      <c r="A11" s="50"/>
      <c r="B11" s="1" t="s">
        <v>328</v>
      </c>
      <c r="C11" s="1"/>
      <c r="D11" s="3"/>
      <c r="E11" s="3"/>
      <c r="G11" s="3"/>
    </row>
    <row r="12" spans="1:8">
      <c r="A12" s="50"/>
      <c r="B12" s="4" t="s">
        <v>329</v>
      </c>
      <c r="C12" s="4"/>
      <c r="D12" s="3"/>
      <c r="E12" s="3"/>
      <c r="G12" s="3"/>
    </row>
    <row r="13" spans="1:8">
      <c r="A13" s="50"/>
      <c r="B13" s="4"/>
      <c r="C13" s="4"/>
      <c r="D13" s="3"/>
      <c r="E13" s="3"/>
      <c r="G13" s="3"/>
    </row>
    <row r="14" spans="1:8">
      <c r="A14" s="51"/>
      <c r="B14" s="239" t="s">
        <v>21</v>
      </c>
      <c r="C14" s="240"/>
      <c r="D14" s="93" t="s">
        <v>22</v>
      </c>
      <c r="E14" s="93"/>
      <c r="F14" s="93" t="s">
        <v>23</v>
      </c>
      <c r="G14" s="95"/>
      <c r="H14" s="93" t="s">
        <v>330</v>
      </c>
    </row>
    <row r="15" spans="1:8">
      <c r="A15" s="51"/>
      <c r="B15" s="241"/>
      <c r="C15" s="242"/>
      <c r="D15" s="87"/>
      <c r="E15" s="87"/>
      <c r="F15" s="87" t="s">
        <v>25</v>
      </c>
      <c r="G15" s="96"/>
      <c r="H15" s="87"/>
    </row>
    <row r="16" spans="1:8">
      <c r="A16" s="51"/>
      <c r="B16" s="103" t="s">
        <v>27</v>
      </c>
      <c r="C16" s="104"/>
      <c r="D16" s="28"/>
      <c r="E16" s="28"/>
      <c r="F16" s="28"/>
      <c r="G16" s="28"/>
      <c r="H16" s="98"/>
    </row>
    <row r="17" spans="1:8" ht="5.0999999999999996" customHeight="1">
      <c r="A17" s="51"/>
      <c r="B17" s="99"/>
      <c r="C17" s="1"/>
      <c r="H17" s="100"/>
    </row>
    <row r="18" spans="1:8">
      <c r="A18" s="51"/>
      <c r="B18" s="99" t="s">
        <v>28</v>
      </c>
      <c r="C18" s="1"/>
      <c r="H18" s="100"/>
    </row>
    <row r="19" spans="1:8">
      <c r="A19" s="51"/>
      <c r="B19" s="48" t="s">
        <v>29</v>
      </c>
      <c r="D19" s="109" t="s">
        <v>29</v>
      </c>
      <c r="F19" s="109" t="s">
        <v>30</v>
      </c>
      <c r="H19" s="146">
        <v>0.1</v>
      </c>
    </row>
    <row r="20" spans="1:8">
      <c r="A20" s="51"/>
      <c r="B20" s="48" t="s">
        <v>32</v>
      </c>
      <c r="D20" s="109" t="s">
        <v>32</v>
      </c>
      <c r="F20" s="109" t="s">
        <v>30</v>
      </c>
      <c r="H20" s="146">
        <v>0.1</v>
      </c>
    </row>
    <row r="21" spans="1:8">
      <c r="A21" s="51"/>
      <c r="B21" s="48" t="s">
        <v>33</v>
      </c>
      <c r="D21" s="144" t="s">
        <v>33</v>
      </c>
      <c r="F21" s="144" t="s">
        <v>30</v>
      </c>
      <c r="H21" s="147">
        <v>0.1</v>
      </c>
    </row>
    <row r="22" spans="1:8">
      <c r="A22" s="51"/>
      <c r="B22" s="48" t="s">
        <v>34</v>
      </c>
      <c r="D22" s="144" t="s">
        <v>34</v>
      </c>
      <c r="F22" s="144" t="s">
        <v>30</v>
      </c>
      <c r="H22" s="147">
        <v>0.05</v>
      </c>
    </row>
    <row r="23" spans="1:8">
      <c r="A23" s="51"/>
      <c r="B23" s="48" t="s">
        <v>35</v>
      </c>
      <c r="D23" s="144" t="s">
        <v>35</v>
      </c>
      <c r="F23" s="144" t="s">
        <v>36</v>
      </c>
      <c r="H23" s="147">
        <v>0.1</v>
      </c>
    </row>
    <row r="24" spans="1:8">
      <c r="A24" s="51"/>
      <c r="B24" s="48" t="s">
        <v>37</v>
      </c>
      <c r="D24" s="144" t="s">
        <v>37</v>
      </c>
      <c r="F24" s="144" t="s">
        <v>30</v>
      </c>
      <c r="H24" s="147">
        <v>0.1</v>
      </c>
    </row>
    <row r="25" spans="1:8">
      <c r="A25" s="51"/>
      <c r="B25" s="48" t="s">
        <v>38</v>
      </c>
      <c r="D25" s="144" t="s">
        <v>38</v>
      </c>
      <c r="F25" s="144" t="s">
        <v>36</v>
      </c>
      <c r="H25" s="147">
        <v>0.1</v>
      </c>
    </row>
    <row r="26" spans="1:8">
      <c r="A26" s="51"/>
      <c r="B26" s="48" t="s">
        <v>39</v>
      </c>
      <c r="D26" s="144" t="s">
        <v>39</v>
      </c>
      <c r="F26" s="144" t="s">
        <v>30</v>
      </c>
      <c r="H26" s="147">
        <v>0.05</v>
      </c>
    </row>
    <row r="27" spans="1:8">
      <c r="A27" s="51"/>
      <c r="B27" s="48" t="s">
        <v>40</v>
      </c>
      <c r="D27" s="144" t="s">
        <v>40</v>
      </c>
      <c r="F27" s="144" t="s">
        <v>30</v>
      </c>
      <c r="H27" s="147">
        <v>0.05</v>
      </c>
    </row>
    <row r="28" spans="1:8">
      <c r="A28" s="51"/>
      <c r="B28" s="48" t="s">
        <v>41</v>
      </c>
      <c r="D28" s="144" t="s">
        <v>41</v>
      </c>
      <c r="F28" s="144" t="s">
        <v>30</v>
      </c>
      <c r="H28" s="147">
        <v>0.05</v>
      </c>
    </row>
    <row r="29" spans="1:8">
      <c r="A29" s="51"/>
      <c r="B29" s="48" t="s">
        <v>42</v>
      </c>
      <c r="D29" s="144" t="s">
        <v>42</v>
      </c>
      <c r="F29" s="144" t="s">
        <v>30</v>
      </c>
      <c r="H29" s="147">
        <v>0.05</v>
      </c>
    </row>
    <row r="30" spans="1:8">
      <c r="A30" s="51"/>
      <c r="B30" s="48" t="s">
        <v>43</v>
      </c>
      <c r="D30" s="144" t="s">
        <v>43</v>
      </c>
      <c r="F30" s="144" t="s">
        <v>30</v>
      </c>
      <c r="H30" s="147">
        <v>0.05</v>
      </c>
    </row>
    <row r="31" spans="1:8">
      <c r="A31" s="51"/>
      <c r="B31" s="48" t="s">
        <v>44</v>
      </c>
      <c r="D31" s="144" t="s">
        <v>44</v>
      </c>
      <c r="F31" s="144" t="s">
        <v>30</v>
      </c>
      <c r="H31" s="147">
        <v>0.05</v>
      </c>
    </row>
    <row r="32" spans="1:8">
      <c r="A32" s="51"/>
      <c r="B32" s="48" t="s">
        <v>45</v>
      </c>
      <c r="D32" s="144" t="s">
        <v>45</v>
      </c>
      <c r="F32" s="144" t="s">
        <v>30</v>
      </c>
      <c r="H32" s="147">
        <v>0.05</v>
      </c>
    </row>
    <row r="33" spans="1:8">
      <c r="A33" s="51"/>
      <c r="B33" s="48" t="s">
        <v>46</v>
      </c>
      <c r="D33" s="144" t="s">
        <v>46</v>
      </c>
      <c r="F33" s="144" t="s">
        <v>36</v>
      </c>
      <c r="H33" s="147">
        <v>0.1</v>
      </c>
    </row>
    <row r="34" spans="1:8">
      <c r="A34" s="51"/>
      <c r="B34" s="48" t="s">
        <v>47</v>
      </c>
      <c r="D34" s="144" t="s">
        <v>47</v>
      </c>
      <c r="F34" s="144" t="s">
        <v>30</v>
      </c>
      <c r="H34" s="147">
        <v>0.05</v>
      </c>
    </row>
    <row r="35" spans="1:8">
      <c r="A35" s="51"/>
      <c r="B35" s="48" t="s">
        <v>48</v>
      </c>
      <c r="D35" s="144" t="s">
        <v>48</v>
      </c>
      <c r="F35" s="144" t="s">
        <v>30</v>
      </c>
      <c r="H35" s="147">
        <v>0.05</v>
      </c>
    </row>
    <row r="36" spans="1:8">
      <c r="A36" s="51"/>
      <c r="B36" s="48" t="s">
        <v>49</v>
      </c>
      <c r="D36" s="144" t="s">
        <v>49</v>
      </c>
      <c r="F36" s="144" t="s">
        <v>30</v>
      </c>
      <c r="H36" s="147">
        <v>0.05</v>
      </c>
    </row>
    <row r="37" spans="1:8">
      <c r="A37" s="51"/>
      <c r="B37" s="48" t="s">
        <v>50</v>
      </c>
      <c r="D37" s="144" t="s">
        <v>50</v>
      </c>
      <c r="F37" s="144" t="s">
        <v>30</v>
      </c>
      <c r="H37" s="147">
        <v>0.05</v>
      </c>
    </row>
    <row r="38" spans="1:8">
      <c r="A38" s="51"/>
      <c r="B38" s="48" t="s">
        <v>51</v>
      </c>
      <c r="D38" s="144" t="s">
        <v>51</v>
      </c>
      <c r="F38" s="144" t="s">
        <v>30</v>
      </c>
      <c r="H38" s="147">
        <v>0.05</v>
      </c>
    </row>
    <row r="39" spans="1:8">
      <c r="A39" s="51"/>
      <c r="B39" s="48" t="s">
        <v>52</v>
      </c>
      <c r="D39" s="144" t="s">
        <v>52</v>
      </c>
      <c r="F39" s="144" t="s">
        <v>36</v>
      </c>
      <c r="H39" s="147">
        <v>0.1</v>
      </c>
    </row>
    <row r="40" spans="1:8">
      <c r="A40" s="51"/>
      <c r="B40" s="48" t="s">
        <v>53</v>
      </c>
      <c r="D40" s="144" t="s">
        <v>53</v>
      </c>
      <c r="F40" s="144" t="s">
        <v>30</v>
      </c>
      <c r="H40" s="147">
        <v>0.05</v>
      </c>
    </row>
    <row r="41" spans="1:8">
      <c r="A41" s="51"/>
      <c r="B41" s="48" t="s">
        <v>54</v>
      </c>
      <c r="D41" s="144" t="s">
        <v>54</v>
      </c>
      <c r="F41" s="144" t="s">
        <v>30</v>
      </c>
      <c r="H41" s="147">
        <v>0.05</v>
      </c>
    </row>
    <row r="42" spans="1:8">
      <c r="A42" s="51"/>
      <c r="B42" s="48" t="s">
        <v>55</v>
      </c>
      <c r="D42" s="144" t="s">
        <v>55</v>
      </c>
      <c r="F42" s="144" t="s">
        <v>30</v>
      </c>
      <c r="H42" s="147">
        <v>0.05</v>
      </c>
    </row>
    <row r="43" spans="1:8">
      <c r="A43" s="51"/>
      <c r="B43" s="48" t="s">
        <v>56</v>
      </c>
      <c r="D43" s="144" t="s">
        <v>56</v>
      </c>
      <c r="F43" s="144" t="s">
        <v>36</v>
      </c>
      <c r="H43" s="147">
        <v>0.1</v>
      </c>
    </row>
    <row r="44" spans="1:8">
      <c r="A44" s="51"/>
      <c r="B44" s="48" t="s">
        <v>57</v>
      </c>
      <c r="D44" s="144" t="s">
        <v>57</v>
      </c>
      <c r="F44" s="144" t="s">
        <v>36</v>
      </c>
      <c r="H44" s="147">
        <v>0.1</v>
      </c>
    </row>
    <row r="45" spans="1:8">
      <c r="A45" s="51"/>
      <c r="B45" s="48" t="s">
        <v>58</v>
      </c>
      <c r="D45" s="144" t="s">
        <v>58</v>
      </c>
      <c r="F45" s="144" t="s">
        <v>36</v>
      </c>
      <c r="H45" s="147">
        <v>0.1</v>
      </c>
    </row>
    <row r="46" spans="1:8">
      <c r="A46" s="51"/>
      <c r="B46" s="48" t="s">
        <v>59</v>
      </c>
      <c r="D46" s="145" t="s">
        <v>59</v>
      </c>
      <c r="F46" s="145" t="s">
        <v>30</v>
      </c>
      <c r="H46" s="148">
        <v>0.1</v>
      </c>
    </row>
    <row r="47" spans="1:8">
      <c r="A47" s="51"/>
      <c r="B47" s="48" t="s">
        <v>61</v>
      </c>
      <c r="D47" s="145" t="s">
        <v>61</v>
      </c>
      <c r="F47" s="145" t="s">
        <v>30</v>
      </c>
      <c r="H47" s="148">
        <v>0.05</v>
      </c>
    </row>
    <row r="48" spans="1:8">
      <c r="A48" s="51"/>
      <c r="B48" s="48" t="s">
        <v>62</v>
      </c>
      <c r="D48" s="145" t="s">
        <v>62</v>
      </c>
      <c r="F48" s="145" t="s">
        <v>30</v>
      </c>
      <c r="H48" s="148">
        <v>0.1</v>
      </c>
    </row>
    <row r="49" spans="1:8">
      <c r="A49" s="51"/>
      <c r="B49" s="48"/>
      <c r="D49" s="28"/>
      <c r="F49" s="28"/>
      <c r="H49" s="98"/>
    </row>
    <row r="50" spans="1:8">
      <c r="A50" s="51"/>
      <c r="B50" s="99" t="s">
        <v>63</v>
      </c>
      <c r="C50" s="1"/>
      <c r="H50" s="100"/>
    </row>
    <row r="51" spans="1:8">
      <c r="A51" s="51"/>
      <c r="B51" s="48" t="s">
        <v>64</v>
      </c>
      <c r="D51" s="149" t="s">
        <v>64</v>
      </c>
      <c r="F51" s="149" t="s">
        <v>65</v>
      </c>
      <c r="H51" s="150">
        <v>0.12</v>
      </c>
    </row>
    <row r="52" spans="1:8">
      <c r="A52" s="51"/>
      <c r="B52" s="48"/>
      <c r="D52" s="28"/>
      <c r="F52" s="28"/>
      <c r="H52" s="98"/>
    </row>
    <row r="53" spans="1:8">
      <c r="A53" s="51"/>
      <c r="B53" s="99" t="s">
        <v>67</v>
      </c>
      <c r="C53" s="1"/>
      <c r="H53" s="100"/>
    </row>
    <row r="54" spans="1:8">
      <c r="A54" s="51"/>
      <c r="B54" s="48" t="s">
        <v>68</v>
      </c>
      <c r="D54" s="149" t="s">
        <v>68</v>
      </c>
      <c r="F54" s="149" t="s">
        <v>65</v>
      </c>
      <c r="H54" s="150">
        <v>0.15</v>
      </c>
    </row>
    <row r="55" spans="1:8">
      <c r="A55" s="51"/>
      <c r="B55" s="48" t="s">
        <v>69</v>
      </c>
      <c r="D55" s="145" t="s">
        <v>69</v>
      </c>
      <c r="F55" s="145" t="s">
        <v>65</v>
      </c>
      <c r="H55" s="148">
        <v>0.15</v>
      </c>
    </row>
    <row r="56" spans="1:8">
      <c r="A56" s="51"/>
      <c r="B56" s="48" t="s">
        <v>70</v>
      </c>
      <c r="D56" s="145" t="s">
        <v>70</v>
      </c>
      <c r="F56" s="145" t="s">
        <v>65</v>
      </c>
      <c r="H56" s="148">
        <v>0.15</v>
      </c>
    </row>
    <row r="57" spans="1:8">
      <c r="A57" s="51"/>
      <c r="B57" s="48" t="s">
        <v>71</v>
      </c>
      <c r="D57" s="145" t="s">
        <v>71</v>
      </c>
      <c r="F57" s="145" t="s">
        <v>65</v>
      </c>
      <c r="H57" s="148">
        <v>0.15</v>
      </c>
    </row>
    <row r="58" spans="1:8">
      <c r="A58" s="51"/>
      <c r="B58" s="48"/>
      <c r="D58" s="28"/>
      <c r="F58" s="28"/>
      <c r="H58" s="98"/>
    </row>
    <row r="59" spans="1:8">
      <c r="A59" s="51"/>
      <c r="B59" s="102" t="s">
        <v>72</v>
      </c>
      <c r="C59" s="105"/>
      <c r="H59" s="100"/>
    </row>
    <row r="60" spans="1:8" ht="5.0999999999999996" customHeight="1">
      <c r="A60" s="51"/>
      <c r="B60" s="101"/>
      <c r="C60" s="106"/>
      <c r="H60" s="100"/>
    </row>
    <row r="61" spans="1:8">
      <c r="A61" s="51"/>
      <c r="B61" s="99" t="s">
        <v>28</v>
      </c>
      <c r="C61" s="1"/>
      <c r="H61" s="100"/>
    </row>
    <row r="62" spans="1:8">
      <c r="A62" s="51"/>
      <c r="B62" s="48" t="s">
        <v>73</v>
      </c>
      <c r="D62" s="109" t="s">
        <v>73</v>
      </c>
      <c r="F62" s="109" t="s">
        <v>65</v>
      </c>
      <c r="H62" s="146">
        <v>0.05</v>
      </c>
    </row>
    <row r="63" spans="1:8">
      <c r="A63" s="51"/>
      <c r="B63" s="48" t="s">
        <v>74</v>
      </c>
      <c r="D63" s="144" t="s">
        <v>74</v>
      </c>
      <c r="F63" s="144" t="s">
        <v>65</v>
      </c>
      <c r="H63" s="147">
        <v>0.05</v>
      </c>
    </row>
    <row r="64" spans="1:8">
      <c r="A64" s="51"/>
      <c r="B64" s="48" t="s">
        <v>75</v>
      </c>
      <c r="D64" s="144" t="s">
        <v>75</v>
      </c>
      <c r="F64" s="144" t="s">
        <v>65</v>
      </c>
      <c r="H64" s="147">
        <v>0.1</v>
      </c>
    </row>
    <row r="65" spans="1:10">
      <c r="A65" s="51"/>
      <c r="B65" s="48" t="s">
        <v>76</v>
      </c>
      <c r="D65" s="144" t="s">
        <v>76</v>
      </c>
      <c r="F65" s="144" t="s">
        <v>65</v>
      </c>
      <c r="H65" s="147">
        <v>0.05</v>
      </c>
    </row>
    <row r="66" spans="1:10" ht="12.6" customHeight="1">
      <c r="A66" s="51"/>
      <c r="B66" s="48" t="s">
        <v>77</v>
      </c>
      <c r="D66" s="145" t="s">
        <v>77</v>
      </c>
      <c r="F66" s="145" t="s">
        <v>65</v>
      </c>
      <c r="H66" s="148">
        <v>0.05</v>
      </c>
      <c r="J66" s="19"/>
    </row>
    <row r="67" spans="1:10">
      <c r="A67" s="51"/>
      <c r="B67" s="48" t="s">
        <v>79</v>
      </c>
      <c r="D67" s="145"/>
      <c r="F67" s="145"/>
      <c r="H67" s="148"/>
    </row>
    <row r="68" spans="1:10">
      <c r="A68" s="51"/>
      <c r="B68" s="48" t="s">
        <v>79</v>
      </c>
      <c r="D68" s="145"/>
      <c r="F68" s="145"/>
      <c r="H68" s="148"/>
    </row>
    <row r="69" spans="1:10">
      <c r="A69" s="51"/>
      <c r="B69" s="161"/>
      <c r="D69" s="145"/>
      <c r="F69" s="145"/>
      <c r="H69" s="148"/>
    </row>
    <row r="70" spans="1:10" ht="13.35" customHeight="1">
      <c r="A70" s="51"/>
      <c r="B70" s="99" t="s">
        <v>67</v>
      </c>
      <c r="C70" s="1"/>
      <c r="H70" s="100"/>
    </row>
    <row r="71" spans="1:10">
      <c r="A71" s="51"/>
      <c r="B71" s="48" t="s">
        <v>334</v>
      </c>
      <c r="D71" s="109"/>
      <c r="F71" s="109"/>
      <c r="H71" s="146"/>
    </row>
    <row r="72" spans="1:10">
      <c r="A72" s="51"/>
      <c r="B72" s="48" t="s">
        <v>70</v>
      </c>
      <c r="D72" s="144"/>
      <c r="F72" s="144"/>
      <c r="H72" s="147"/>
    </row>
    <row r="73" spans="1:10">
      <c r="A73" s="51"/>
      <c r="B73" s="48" t="s">
        <v>79</v>
      </c>
      <c r="D73" s="144"/>
      <c r="F73" s="144"/>
      <c r="H73" s="147"/>
    </row>
    <row r="74" spans="1:10">
      <c r="A74" s="51"/>
      <c r="B74" s="48" t="s">
        <v>79</v>
      </c>
      <c r="D74" s="144"/>
      <c r="F74" s="144"/>
      <c r="H74" s="147"/>
    </row>
    <row r="75" spans="1:10">
      <c r="A75" s="51"/>
      <c r="B75" s="49"/>
      <c r="C75" s="6"/>
      <c r="D75" s="29"/>
      <c r="E75" s="6"/>
      <c r="F75" s="29"/>
      <c r="G75" s="6"/>
      <c r="H75" s="97"/>
    </row>
    <row r="76" spans="1:10">
      <c r="A76" s="51"/>
    </row>
    <row r="77" spans="1:10">
      <c r="A77" s="50"/>
      <c r="B77" s="1" t="s">
        <v>335</v>
      </c>
      <c r="C77" s="1"/>
      <c r="D77" s="3"/>
      <c r="E77" s="3"/>
      <c r="G77" s="3"/>
    </row>
    <row r="78" spans="1:10">
      <c r="A78" s="3"/>
      <c r="D78" s="3"/>
      <c r="E78" s="3"/>
      <c r="G78" s="3"/>
    </row>
    <row r="79" spans="1:10">
      <c r="A79" s="3"/>
      <c r="B79" s="2" t="s">
        <v>84</v>
      </c>
      <c r="C79" s="151">
        <v>1859964.7107644</v>
      </c>
      <c r="D79" s="3"/>
      <c r="E79" s="45"/>
      <c r="G79" s="3"/>
    </row>
    <row r="80" spans="1:10">
      <c r="A80" s="3"/>
      <c r="B80" s="2" t="s">
        <v>86</v>
      </c>
      <c r="C80" s="151">
        <v>1882426.7081317427</v>
      </c>
      <c r="D80" s="3"/>
      <c r="E80" s="45"/>
      <c r="G80" s="3"/>
    </row>
    <row r="81" spans="1:7">
      <c r="A81" s="3"/>
      <c r="B81" s="2" t="s">
        <v>87</v>
      </c>
      <c r="C81" s="151">
        <v>1917259.2661738337</v>
      </c>
      <c r="D81" s="3"/>
      <c r="E81" s="45"/>
      <c r="G81" s="3"/>
    </row>
    <row r="82" spans="1:7">
      <c r="A82" s="3"/>
      <c r="B82" s="2" t="s">
        <v>88</v>
      </c>
      <c r="C82" s="151">
        <v>2009208.6131738836</v>
      </c>
      <c r="D82" s="3"/>
      <c r="E82" s="45"/>
      <c r="G82" s="3"/>
    </row>
    <row r="83" spans="1:7">
      <c r="A83" s="3"/>
      <c r="B83" s="2" t="s">
        <v>89</v>
      </c>
      <c r="C83" s="151">
        <v>2057481.5103935944</v>
      </c>
      <c r="D83" s="3"/>
      <c r="E83" s="45"/>
      <c r="G83" s="3"/>
    </row>
    <row r="84" spans="1:7">
      <c r="A84" s="3"/>
      <c r="B84" s="2" t="s">
        <v>90</v>
      </c>
      <c r="C84" s="151">
        <v>2098193.0332763181</v>
      </c>
      <c r="D84" s="3"/>
      <c r="E84" s="45"/>
      <c r="G84" s="3"/>
    </row>
    <row r="85" spans="1:7">
      <c r="A85" s="3"/>
      <c r="B85" s="2" t="s">
        <v>91</v>
      </c>
      <c r="C85" s="151">
        <v>2139751.5185079561</v>
      </c>
      <c r="D85" s="3"/>
      <c r="E85" s="45"/>
      <c r="G85" s="3"/>
    </row>
    <row r="86" spans="1:7">
      <c r="A86" s="3"/>
      <c r="B86" s="2" t="s">
        <v>92</v>
      </c>
      <c r="C86" s="151">
        <v>2212175.3460433343</v>
      </c>
      <c r="D86" s="3"/>
      <c r="E86" s="45"/>
      <c r="G86" s="3"/>
    </row>
    <row r="87" spans="1:7">
      <c r="A87" s="3"/>
      <c r="B87" s="2" t="s">
        <v>93</v>
      </c>
      <c r="C87" s="151">
        <v>2282483.311245122</v>
      </c>
      <c r="D87" s="3"/>
      <c r="E87" s="45"/>
      <c r="G87" s="3"/>
    </row>
    <row r="88" spans="1:7">
      <c r="A88" s="3"/>
      <c r="B88" s="2" t="s">
        <v>94</v>
      </c>
      <c r="C88" s="151">
        <v>2352694.6346721258</v>
      </c>
      <c r="D88" s="3"/>
      <c r="E88" s="45"/>
      <c r="G88" s="3"/>
    </row>
    <row r="89" spans="1:7">
      <c r="A89" s="3"/>
      <c r="B89" s="2" t="s">
        <v>95</v>
      </c>
      <c r="C89" s="151"/>
      <c r="D89" s="3"/>
      <c r="E89" s="45"/>
      <c r="G89" s="3"/>
    </row>
    <row r="90" spans="1:7">
      <c r="A90" s="3"/>
      <c r="B90" s="2" t="s">
        <v>95</v>
      </c>
      <c r="C90" s="151"/>
      <c r="D90" s="3"/>
      <c r="E90" s="45"/>
      <c r="G90" s="3"/>
    </row>
    <row r="93" spans="1:7">
      <c r="B93" s="44" t="s">
        <v>336</v>
      </c>
      <c r="C93" s="191"/>
      <c r="D93" s="191"/>
      <c r="E93" s="191"/>
      <c r="F93" s="191"/>
      <c r="G93" s="191"/>
    </row>
    <row r="94" spans="1:7">
      <c r="B94" s="44" t="s">
        <v>337</v>
      </c>
      <c r="C94" s="191"/>
      <c r="D94" s="191"/>
      <c r="E94" s="191"/>
      <c r="F94" s="191"/>
      <c r="G94" s="191"/>
    </row>
    <row r="95" spans="1:7">
      <c r="B95" s="218" t="s">
        <v>338</v>
      </c>
      <c r="C95" s="191"/>
      <c r="D95" s="191"/>
      <c r="E95" s="191"/>
      <c r="F95" s="191"/>
      <c r="G95" s="191"/>
    </row>
    <row r="96" spans="1:7">
      <c r="B96" s="191" t="s">
        <v>339</v>
      </c>
      <c r="C96" s="191"/>
      <c r="D96" s="191"/>
      <c r="E96" s="191"/>
      <c r="F96" s="191"/>
      <c r="G96" s="191"/>
    </row>
    <row r="97" spans="2:7">
      <c r="B97" s="191"/>
      <c r="C97" s="191"/>
      <c r="D97" s="191"/>
      <c r="E97" s="191"/>
      <c r="F97" s="191"/>
      <c r="G97" s="191"/>
    </row>
    <row r="98" spans="2:7">
      <c r="B98" s="191" t="s">
        <v>340</v>
      </c>
      <c r="C98" s="191"/>
      <c r="D98" s="191"/>
      <c r="E98" s="191"/>
      <c r="F98" s="191"/>
      <c r="G98" s="191"/>
    </row>
    <row r="99" spans="2:7">
      <c r="B99" s="191"/>
      <c r="C99" s="191"/>
      <c r="D99" s="191"/>
      <c r="E99" s="191"/>
      <c r="F99" s="191"/>
      <c r="G99" s="191"/>
    </row>
    <row r="100" spans="2:7">
      <c r="B100" s="191" t="s">
        <v>341</v>
      </c>
      <c r="C100" s="191"/>
      <c r="D100" s="191"/>
      <c r="E100" s="191"/>
      <c r="F100" s="191"/>
      <c r="G100" s="191"/>
    </row>
  </sheetData>
  <mergeCells count="2">
    <mergeCell ref="B15:C15"/>
    <mergeCell ref="B14:C1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3B6BDD1-FDFD-4597-8908-0585F4C82592}"/>
</file>

<file path=customXml/itemProps2.xml><?xml version="1.0" encoding="utf-8"?>
<ds:datastoreItem xmlns:ds="http://schemas.openxmlformats.org/officeDocument/2006/customXml" ds:itemID="{D51FF89D-BE49-4FE6-916D-3F58052F2821}"/>
</file>

<file path=customXml/itemProps3.xml><?xml version="1.0" encoding="utf-8"?>
<ds:datastoreItem xmlns:ds="http://schemas.openxmlformats.org/officeDocument/2006/customXml" ds:itemID="{805EE452-713E-41B8-BB35-19AF5119BB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Envision Strategies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Peg Rodger</dc:creator>
  <cp:keywords/>
  <dc:description/>
  <cp:lastModifiedBy>Aimee Nunez</cp:lastModifiedBy>
  <cp:revision/>
  <dcterms:created xsi:type="dcterms:W3CDTF">2009-05-13T17:08:18Z</dcterms:created>
  <dcterms:modified xsi:type="dcterms:W3CDTF">2018-09-21T14:01:11Z</dcterms:modified>
  <cp:category/>
  <cp:contentStatus/>
</cp:coreProperties>
</file>